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 name="Sheet3"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 i="69" l="1"/>
  <c r="F20" i="6" l="1"/>
  <c r="BB10" i="3"/>
  <c r="BB13" i="3"/>
  <c r="BB14" i="3"/>
  <c r="BB15" i="3"/>
  <c r="BA15" i="3" s="1"/>
  <c r="BB16" i="3"/>
  <c r="BB17" i="3"/>
  <c r="BB18" i="3"/>
  <c r="BB19" i="3"/>
  <c r="BA19" i="3" s="1"/>
  <c r="AZ19" i="3" s="1"/>
  <c r="BB20" i="3"/>
  <c r="BB21" i="3"/>
  <c r="BB22" i="3"/>
  <c r="BB23" i="3"/>
  <c r="BA23" i="3" s="1"/>
  <c r="AZ23" i="3" s="1"/>
  <c r="BB24" i="3"/>
  <c r="BB25" i="3"/>
  <c r="BB26" i="3"/>
  <c r="BB27" i="3"/>
  <c r="BA27" i="3" s="1"/>
  <c r="AZ27" i="3" s="1"/>
  <c r="BB28" i="3"/>
  <c r="BB29" i="3"/>
  <c r="BB30" i="3"/>
  <c r="BB31" i="3"/>
  <c r="BA31" i="3" s="1"/>
  <c r="BB32" i="3"/>
  <c r="BB33" i="3"/>
  <c r="BB34" i="3"/>
  <c r="BB35" i="3"/>
  <c r="BA35" i="3" s="1"/>
  <c r="AZ35" i="3" s="1"/>
  <c r="BB36" i="3"/>
  <c r="BB37" i="3"/>
  <c r="BB38" i="3"/>
  <c r="BB39" i="3"/>
  <c r="BA39" i="3" s="1"/>
  <c r="BB40" i="3"/>
  <c r="BB41" i="3"/>
  <c r="BB42" i="3"/>
  <c r="BB43" i="3"/>
  <c r="BA43" i="3" s="1"/>
  <c r="AZ43" i="3" s="1"/>
  <c r="BB44" i="3"/>
  <c r="BB45" i="3"/>
  <c r="BB46" i="3"/>
  <c r="BB47" i="3"/>
  <c r="BA47" i="3" s="1"/>
  <c r="AZ47" i="3" s="1"/>
  <c r="BB48" i="3"/>
  <c r="BB49" i="3"/>
  <c r="BB50" i="3"/>
  <c r="BB51" i="3"/>
  <c r="BA51" i="3" s="1"/>
  <c r="AZ51" i="3" s="1"/>
  <c r="BB52" i="3"/>
  <c r="BB53" i="3"/>
  <c r="BB54" i="3"/>
  <c r="BB55" i="3"/>
  <c r="BA55" i="3" s="1"/>
  <c r="AZ55" i="3" s="1"/>
  <c r="BB56" i="3"/>
  <c r="BB57" i="3"/>
  <c r="BB58" i="3"/>
  <c r="BB59" i="3"/>
  <c r="BA59" i="3" s="1"/>
  <c r="BB60" i="3"/>
  <c r="BB61" i="3"/>
  <c r="BB62" i="3"/>
  <c r="BB63" i="3"/>
  <c r="BA63" i="3" s="1"/>
  <c r="BB64" i="3"/>
  <c r="BB65" i="3"/>
  <c r="BB66" i="3"/>
  <c r="BB67" i="3"/>
  <c r="BA67" i="3" s="1"/>
  <c r="AZ67" i="3" s="1"/>
  <c r="BB68" i="3"/>
  <c r="BB69" i="3"/>
  <c r="BB70" i="3"/>
  <c r="BB71" i="3"/>
  <c r="BA71" i="3" s="1"/>
  <c r="BB72" i="3"/>
  <c r="BB73" i="3"/>
  <c r="BB74" i="3"/>
  <c r="BB75" i="3"/>
  <c r="BA75" i="3" s="1"/>
  <c r="AZ75" i="3" s="1"/>
  <c r="BB76" i="3"/>
  <c r="BB77" i="3"/>
  <c r="BB78" i="3"/>
  <c r="BB79" i="3"/>
  <c r="BA79" i="3" s="1"/>
  <c r="AZ79" i="3" s="1"/>
  <c r="BB80" i="3"/>
  <c r="BB81" i="3"/>
  <c r="BB82" i="3"/>
  <c r="BB83" i="3"/>
  <c r="BA83" i="3" s="1"/>
  <c r="AZ83" i="3" s="1"/>
  <c r="BB84" i="3"/>
  <c r="BB85" i="3"/>
  <c r="BB86" i="3"/>
  <c r="BB87" i="3"/>
  <c r="BA87" i="3" s="1"/>
  <c r="AZ87" i="3" s="1"/>
  <c r="BB88" i="3"/>
  <c r="BB89" i="3"/>
  <c r="BB90" i="3"/>
  <c r="BB91" i="3"/>
  <c r="BA91" i="3" s="1"/>
  <c r="BB92" i="3"/>
  <c r="BB93" i="3"/>
  <c r="BB94" i="3"/>
  <c r="BB95" i="3"/>
  <c r="BA95" i="3" s="1"/>
  <c r="BB96" i="3"/>
  <c r="BB97" i="3"/>
  <c r="BB98" i="3"/>
  <c r="BB99" i="3"/>
  <c r="BA99" i="3" s="1"/>
  <c r="AZ99" i="3" s="1"/>
  <c r="BB100" i="3"/>
  <c r="BB101" i="3"/>
  <c r="BB102" i="3"/>
  <c r="BB103" i="3"/>
  <c r="BA103" i="3" s="1"/>
  <c r="BB104" i="3"/>
  <c r="BB105" i="3"/>
  <c r="BB106" i="3"/>
  <c r="BB107" i="3"/>
  <c r="BA107" i="3" s="1"/>
  <c r="AZ107" i="3" s="1"/>
  <c r="BB108" i="3"/>
  <c r="BB109" i="3"/>
  <c r="BB110" i="3"/>
  <c r="BB111" i="3"/>
  <c r="BA111" i="3" s="1"/>
  <c r="AZ111" i="3" s="1"/>
  <c r="BB112" i="3"/>
  <c r="BB113" i="3"/>
  <c r="BB114" i="3"/>
  <c r="BB115" i="3"/>
  <c r="BA115" i="3" s="1"/>
  <c r="AZ115" i="3" s="1"/>
  <c r="BB116" i="3"/>
  <c r="BB117" i="3"/>
  <c r="BB118" i="3"/>
  <c r="BB119" i="3"/>
  <c r="BA119" i="3" s="1"/>
  <c r="AZ119" i="3" s="1"/>
  <c r="BB120" i="3"/>
  <c r="BB121" i="3"/>
  <c r="BB122" i="3"/>
  <c r="BB123" i="3"/>
  <c r="BA123" i="3" s="1"/>
  <c r="AZ123" i="3" s="1"/>
  <c r="BB124" i="3"/>
  <c r="BB125" i="3"/>
  <c r="BB126" i="3"/>
  <c r="BB127" i="3"/>
  <c r="BA127" i="3" s="1"/>
  <c r="BB128" i="3"/>
  <c r="BB129" i="3"/>
  <c r="BB130" i="3"/>
  <c r="BB131" i="3"/>
  <c r="BA131" i="3" s="1"/>
  <c r="AZ131" i="3" s="1"/>
  <c r="BB132" i="3"/>
  <c r="BB133" i="3"/>
  <c r="BB134" i="3"/>
  <c r="BB135" i="3"/>
  <c r="BA135" i="3" s="1"/>
  <c r="AZ135" i="3" s="1"/>
  <c r="BB136" i="3"/>
  <c r="BB137" i="3"/>
  <c r="BB138" i="3"/>
  <c r="BB139" i="3"/>
  <c r="BA139" i="3" s="1"/>
  <c r="AZ139" i="3" s="1"/>
  <c r="BB140" i="3"/>
  <c r="BB141" i="3"/>
  <c r="BB142" i="3"/>
  <c r="BB143" i="3"/>
  <c r="BA143" i="3" s="1"/>
  <c r="BB144" i="3"/>
  <c r="BB145" i="3"/>
  <c r="BB146" i="3"/>
  <c r="BB147" i="3"/>
  <c r="BA147" i="3" s="1"/>
  <c r="AZ147" i="3" s="1"/>
  <c r="BB148" i="3"/>
  <c r="BB149" i="3"/>
  <c r="BB150" i="3"/>
  <c r="BB151" i="3"/>
  <c r="BA151" i="3" s="1"/>
  <c r="AZ151" i="3" s="1"/>
  <c r="BB152" i="3"/>
  <c r="BB153" i="3"/>
  <c r="BB154" i="3"/>
  <c r="BB155" i="3"/>
  <c r="BA155" i="3" s="1"/>
  <c r="AZ155" i="3" s="1"/>
  <c r="BB156" i="3"/>
  <c r="BB157" i="3"/>
  <c r="BB158" i="3"/>
  <c r="BB159" i="3"/>
  <c r="BA159" i="3" s="1"/>
  <c r="BB160" i="3"/>
  <c r="BB161" i="3"/>
  <c r="BB162" i="3"/>
  <c r="BB163" i="3"/>
  <c r="BA163" i="3" s="1"/>
  <c r="AZ163" i="3" s="1"/>
  <c r="BB164" i="3"/>
  <c r="BB165" i="3"/>
  <c r="BB166" i="3"/>
  <c r="BB167" i="3"/>
  <c r="BA167" i="3" s="1"/>
  <c r="BB168" i="3"/>
  <c r="BB169" i="3"/>
  <c r="BB170" i="3"/>
  <c r="BB171" i="3"/>
  <c r="BA171" i="3" s="1"/>
  <c r="BB172" i="3"/>
  <c r="BB173" i="3"/>
  <c r="BB174" i="3"/>
  <c r="BB175" i="3"/>
  <c r="BA175" i="3" s="1"/>
  <c r="BB176" i="3"/>
  <c r="BB177" i="3"/>
  <c r="BB178" i="3"/>
  <c r="BB179" i="3"/>
  <c r="BA179" i="3" s="1"/>
  <c r="BB180" i="3"/>
  <c r="BB181" i="3"/>
  <c r="BB182" i="3"/>
  <c r="BB183" i="3"/>
  <c r="BA183" i="3" s="1"/>
  <c r="BB184" i="3"/>
  <c r="BB185" i="3"/>
  <c r="BB186" i="3"/>
  <c r="BB187" i="3"/>
  <c r="BA187" i="3" s="1"/>
  <c r="BB188" i="3"/>
  <c r="BB189" i="3"/>
  <c r="BB190" i="3"/>
  <c r="BB191" i="3"/>
  <c r="BA191" i="3" s="1"/>
  <c r="BB192" i="3"/>
  <c r="BB193" i="3"/>
  <c r="BB194" i="3"/>
  <c r="BB195" i="3"/>
  <c r="BA195" i="3" s="1"/>
  <c r="BB196" i="3"/>
  <c r="BB197" i="3"/>
  <c r="BB198" i="3"/>
  <c r="BB199" i="3"/>
  <c r="BA199" i="3" s="1"/>
  <c r="BB200" i="3"/>
  <c r="BB201" i="3"/>
  <c r="BB202" i="3"/>
  <c r="BB203" i="3"/>
  <c r="BA203" i="3" s="1"/>
  <c r="BB204" i="3"/>
  <c r="BB205" i="3"/>
  <c r="BB206" i="3"/>
  <c r="BB207" i="3"/>
  <c r="BA207" i="3" s="1"/>
  <c r="BB208" i="3"/>
  <c r="BB209" i="3"/>
  <c r="BB210" i="3"/>
  <c r="BB211" i="3"/>
  <c r="BA211" i="3" s="1"/>
  <c r="BB212" i="3"/>
  <c r="BB213" i="3"/>
  <c r="BB214" i="3"/>
  <c r="BB215" i="3"/>
  <c r="BA215" i="3" s="1"/>
  <c r="BB216" i="3"/>
  <c r="BB217" i="3"/>
  <c r="BB218" i="3"/>
  <c r="BB219" i="3"/>
  <c r="BA219" i="3" s="1"/>
  <c r="BB220" i="3"/>
  <c r="BB221" i="3"/>
  <c r="BB222" i="3"/>
  <c r="BB223" i="3"/>
  <c r="BA223" i="3" s="1"/>
  <c r="BB224" i="3"/>
  <c r="BB225" i="3"/>
  <c r="BB226" i="3"/>
  <c r="BB227" i="3"/>
  <c r="BA227" i="3" s="1"/>
  <c r="BB228" i="3"/>
  <c r="BB229" i="3"/>
  <c r="BB230" i="3"/>
  <c r="BB231" i="3"/>
  <c r="BA231" i="3" s="1"/>
  <c r="BB232" i="3"/>
  <c r="BB233" i="3"/>
  <c r="BB234" i="3"/>
  <c r="BB235" i="3"/>
  <c r="BA235" i="3" s="1"/>
  <c r="BB236" i="3"/>
  <c r="BB237" i="3"/>
  <c r="BB238" i="3"/>
  <c r="BB239" i="3"/>
  <c r="BA239" i="3" s="1"/>
  <c r="BB240" i="3"/>
  <c r="BB241" i="3"/>
  <c r="BB242" i="3"/>
  <c r="BB243" i="3"/>
  <c r="BA243" i="3" s="1"/>
  <c r="BB244" i="3"/>
  <c r="BB245" i="3"/>
  <c r="BB246" i="3"/>
  <c r="BB247" i="3"/>
  <c r="BA247" i="3" s="1"/>
  <c r="BB248" i="3"/>
  <c r="BB249" i="3"/>
  <c r="BB250" i="3"/>
  <c r="BB251" i="3"/>
  <c r="BA251" i="3" s="1"/>
  <c r="BB252" i="3"/>
  <c r="BB253" i="3"/>
  <c r="BB254" i="3"/>
  <c r="BB255" i="3"/>
  <c r="BA255" i="3" s="1"/>
  <c r="BB256" i="3"/>
  <c r="BB257" i="3"/>
  <c r="BB258" i="3"/>
  <c r="BB259" i="3"/>
  <c r="BA259" i="3" s="1"/>
  <c r="BB260" i="3"/>
  <c r="BB261" i="3"/>
  <c r="BB262" i="3"/>
  <c r="BB263" i="3"/>
  <c r="BA263" i="3" s="1"/>
  <c r="BB264" i="3"/>
  <c r="BB265" i="3"/>
  <c r="BB266" i="3"/>
  <c r="BB267" i="3"/>
  <c r="BA267" i="3" s="1"/>
  <c r="BB268" i="3"/>
  <c r="BB269" i="3"/>
  <c r="BB270" i="3"/>
  <c r="BB271" i="3"/>
  <c r="BA271" i="3" s="1"/>
  <c r="BB272" i="3"/>
  <c r="BB273" i="3"/>
  <c r="BB274" i="3"/>
  <c r="BB275" i="3"/>
  <c r="BA275" i="3" s="1"/>
  <c r="BB276" i="3"/>
  <c r="BB277" i="3"/>
  <c r="BB278" i="3"/>
  <c r="BB279" i="3"/>
  <c r="BA279" i="3" s="1"/>
  <c r="BB280" i="3"/>
  <c r="BB281" i="3"/>
  <c r="BB282" i="3"/>
  <c r="BB283" i="3"/>
  <c r="BA283" i="3" s="1"/>
  <c r="BB284" i="3"/>
  <c r="BB285" i="3"/>
  <c r="BB286" i="3"/>
  <c r="BB287" i="3"/>
  <c r="BA287" i="3" s="1"/>
  <c r="BB288" i="3"/>
  <c r="BB289" i="3"/>
  <c r="BB290" i="3"/>
  <c r="BB291" i="3"/>
  <c r="BA291" i="3" s="1"/>
  <c r="BB292" i="3"/>
  <c r="BB293" i="3"/>
  <c r="BB294" i="3"/>
  <c r="BB295" i="3"/>
  <c r="BA295" i="3" s="1"/>
  <c r="BB296" i="3"/>
  <c r="BB297" i="3"/>
  <c r="BB298" i="3"/>
  <c r="BB299" i="3"/>
  <c r="BA299" i="3" s="1"/>
  <c r="BB300" i="3"/>
  <c r="BB301" i="3"/>
  <c r="BB302" i="3"/>
  <c r="BB303" i="3"/>
  <c r="BA303" i="3" s="1"/>
  <c r="BB304" i="3"/>
  <c r="BB305" i="3"/>
  <c r="BB306" i="3"/>
  <c r="BB307" i="3"/>
  <c r="BA307" i="3" s="1"/>
  <c r="BB308" i="3"/>
  <c r="BB309" i="3"/>
  <c r="BB310" i="3"/>
  <c r="BB311" i="3"/>
  <c r="BA311" i="3" s="1"/>
  <c r="BB312" i="3"/>
  <c r="BB313" i="3"/>
  <c r="BB314" i="3"/>
  <c r="BB315" i="3"/>
  <c r="BA315" i="3" s="1"/>
  <c r="BB316" i="3"/>
  <c r="BB317" i="3"/>
  <c r="BB318" i="3"/>
  <c r="BB319" i="3"/>
  <c r="BA319" i="3" s="1"/>
  <c r="BB320" i="3"/>
  <c r="BB321" i="3"/>
  <c r="BB322" i="3"/>
  <c r="BB323" i="3"/>
  <c r="BA323" i="3" s="1"/>
  <c r="BB324" i="3"/>
  <c r="BB325" i="3"/>
  <c r="BB326" i="3"/>
  <c r="BB327" i="3"/>
  <c r="BA327" i="3" s="1"/>
  <c r="BB328" i="3"/>
  <c r="BB329" i="3"/>
  <c r="BB330" i="3"/>
  <c r="BB331" i="3"/>
  <c r="BA331" i="3" s="1"/>
  <c r="BB332" i="3"/>
  <c r="BB333" i="3"/>
  <c r="BB334" i="3"/>
  <c r="BB335" i="3"/>
  <c r="BA335" i="3" s="1"/>
  <c r="BB336" i="3"/>
  <c r="BB337" i="3"/>
  <c r="BB338" i="3"/>
  <c r="BB339" i="3"/>
  <c r="BA339" i="3" s="1"/>
  <c r="BB340" i="3"/>
  <c r="BB341" i="3"/>
  <c r="BB342" i="3"/>
  <c r="BB343" i="3"/>
  <c r="BA343" i="3" s="1"/>
  <c r="BB344" i="3"/>
  <c r="BB345" i="3"/>
  <c r="BB346" i="3"/>
  <c r="BB347" i="3"/>
  <c r="BA347" i="3" s="1"/>
  <c r="BB348" i="3"/>
  <c r="BB349" i="3"/>
  <c r="BB350" i="3"/>
  <c r="BB351" i="3"/>
  <c r="BA351" i="3" s="1"/>
  <c r="BB352" i="3"/>
  <c r="BB353" i="3"/>
  <c r="BB354" i="3"/>
  <c r="BB355" i="3"/>
  <c r="BA355" i="3" s="1"/>
  <c r="BB356" i="3"/>
  <c r="BB357" i="3"/>
  <c r="BB358" i="3"/>
  <c r="BB359" i="3"/>
  <c r="BA359" i="3" s="1"/>
  <c r="BB360" i="3"/>
  <c r="BB361" i="3"/>
  <c r="BB362" i="3"/>
  <c r="BB363" i="3"/>
  <c r="BA363" i="3" s="1"/>
  <c r="BB364" i="3"/>
  <c r="BB365" i="3"/>
  <c r="BB366" i="3"/>
  <c r="BB367" i="3"/>
  <c r="BA367" i="3" s="1"/>
  <c r="BB368" i="3"/>
  <c r="BB369" i="3"/>
  <c r="BB370" i="3"/>
  <c r="BB371" i="3"/>
  <c r="BA371" i="3" s="1"/>
  <c r="AZ371" i="3" s="1"/>
  <c r="BB372" i="3"/>
  <c r="BB373" i="3"/>
  <c r="BB374" i="3"/>
  <c r="BB375" i="3"/>
  <c r="BA375" i="3" s="1"/>
  <c r="AZ375" i="3" s="1"/>
  <c r="BB376" i="3"/>
  <c r="BB377" i="3"/>
  <c r="BB378" i="3"/>
  <c r="BB379" i="3"/>
  <c r="BA379" i="3" s="1"/>
  <c r="AZ379" i="3" s="1"/>
  <c r="BB380" i="3"/>
  <c r="BB381" i="3"/>
  <c r="BB382" i="3"/>
  <c r="BB383" i="3"/>
  <c r="BA383" i="3" s="1"/>
  <c r="AZ383" i="3" s="1"/>
  <c r="BB384" i="3"/>
  <c r="BB385" i="3"/>
  <c r="BB386" i="3"/>
  <c r="BB387" i="3"/>
  <c r="BA387" i="3" s="1"/>
  <c r="AZ387" i="3" s="1"/>
  <c r="BB388" i="3"/>
  <c r="BB389" i="3"/>
  <c r="BB390" i="3"/>
  <c r="BB391" i="3"/>
  <c r="BA391" i="3" s="1"/>
  <c r="AZ391" i="3" s="1"/>
  <c r="BB392" i="3"/>
  <c r="BB393" i="3"/>
  <c r="BB394" i="3"/>
  <c r="BB395" i="3"/>
  <c r="BA395" i="3" s="1"/>
  <c r="AZ395" i="3" s="1"/>
  <c r="BB396" i="3"/>
  <c r="BB397" i="3"/>
  <c r="BB398" i="3"/>
  <c r="BB399" i="3"/>
  <c r="BA399" i="3" s="1"/>
  <c r="AZ399" i="3" s="1"/>
  <c r="BB400" i="3"/>
  <c r="BB401" i="3"/>
  <c r="BB402" i="3"/>
  <c r="BB403" i="3"/>
  <c r="BA403" i="3" s="1"/>
  <c r="AZ403" i="3" s="1"/>
  <c r="BB404" i="3"/>
  <c r="BB405" i="3"/>
  <c r="BB406" i="3"/>
  <c r="BB407" i="3"/>
  <c r="BA407" i="3" s="1"/>
  <c r="AZ407" i="3" s="1"/>
  <c r="BB408" i="3"/>
  <c r="BB409" i="3"/>
  <c r="BB410" i="3"/>
  <c r="BB411" i="3"/>
  <c r="BA411" i="3" s="1"/>
  <c r="AZ411" i="3" s="1"/>
  <c r="BB412" i="3"/>
  <c r="BB413" i="3"/>
  <c r="BB414" i="3"/>
  <c r="BB415" i="3"/>
  <c r="BA415" i="3" s="1"/>
  <c r="AZ415" i="3" s="1"/>
  <c r="BB416" i="3"/>
  <c r="BB417" i="3"/>
  <c r="BB418" i="3"/>
  <c r="BB419" i="3"/>
  <c r="BA419" i="3" s="1"/>
  <c r="AZ419" i="3" s="1"/>
  <c r="BB420" i="3"/>
  <c r="BB421" i="3"/>
  <c r="BB422" i="3"/>
  <c r="BB423" i="3"/>
  <c r="BA423" i="3" s="1"/>
  <c r="AZ423" i="3" s="1"/>
  <c r="BB424" i="3"/>
  <c r="BB425" i="3"/>
  <c r="BB426" i="3"/>
  <c r="BB427" i="3"/>
  <c r="BA427" i="3" s="1"/>
  <c r="AZ427" i="3" s="1"/>
  <c r="BB428" i="3"/>
  <c r="BB429" i="3"/>
  <c r="BB430" i="3"/>
  <c r="BB431" i="3"/>
  <c r="BA431" i="3" s="1"/>
  <c r="BB432" i="3"/>
  <c r="BB433" i="3"/>
  <c r="BB434" i="3"/>
  <c r="BB435" i="3"/>
  <c r="BA435" i="3" s="1"/>
  <c r="AZ435" i="3" s="1"/>
  <c r="BB436" i="3"/>
  <c r="BB437" i="3"/>
  <c r="BB438" i="3"/>
  <c r="BB439" i="3"/>
  <c r="BA439" i="3" s="1"/>
  <c r="AZ439" i="3" s="1"/>
  <c r="BB440" i="3"/>
  <c r="BB441" i="3"/>
  <c r="BB442" i="3"/>
  <c r="BB443" i="3"/>
  <c r="BA443" i="3" s="1"/>
  <c r="AZ443" i="3" s="1"/>
  <c r="BB444" i="3"/>
  <c r="BB445" i="3"/>
  <c r="BB446" i="3"/>
  <c r="BB447" i="3"/>
  <c r="BA447" i="3" s="1"/>
  <c r="AZ447" i="3" s="1"/>
  <c r="BB448" i="3"/>
  <c r="BB449" i="3"/>
  <c r="BB450" i="3"/>
  <c r="BB451" i="3"/>
  <c r="BA451" i="3" s="1"/>
  <c r="AZ451" i="3" s="1"/>
  <c r="BB452" i="3"/>
  <c r="BB453" i="3"/>
  <c r="BB454" i="3"/>
  <c r="BB455" i="3"/>
  <c r="BA455" i="3" s="1"/>
  <c r="AZ455" i="3" s="1"/>
  <c r="BB456" i="3"/>
  <c r="BB457" i="3"/>
  <c r="BB458" i="3"/>
  <c r="BB459" i="3"/>
  <c r="BA459" i="3" s="1"/>
  <c r="AZ459" i="3" s="1"/>
  <c r="BB460" i="3"/>
  <c r="BB461" i="3"/>
  <c r="BB462" i="3"/>
  <c r="BB463" i="3"/>
  <c r="BA463" i="3" s="1"/>
  <c r="BB464" i="3"/>
  <c r="BB465" i="3"/>
  <c r="BB466" i="3"/>
  <c r="BB467" i="3"/>
  <c r="BA467" i="3" s="1"/>
  <c r="AZ467" i="3" s="1"/>
  <c r="BB468" i="3"/>
  <c r="BB469" i="3"/>
  <c r="BB470" i="3"/>
  <c r="BB471" i="3"/>
  <c r="BA471" i="3" s="1"/>
  <c r="AZ471" i="3" s="1"/>
  <c r="BB472" i="3"/>
  <c r="BB473" i="3"/>
  <c r="BB474" i="3"/>
  <c r="BB475" i="3"/>
  <c r="BA475" i="3" s="1"/>
  <c r="AZ475" i="3" s="1"/>
  <c r="BB476" i="3"/>
  <c r="BB477" i="3"/>
  <c r="BB478" i="3"/>
  <c r="BB479" i="3"/>
  <c r="BA479" i="3" s="1"/>
  <c r="AZ479" i="3" s="1"/>
  <c r="BB480" i="3"/>
  <c r="BB481" i="3"/>
  <c r="BB482" i="3"/>
  <c r="BB483" i="3"/>
  <c r="BA483" i="3" s="1"/>
  <c r="AZ483" i="3" s="1"/>
  <c r="BB484" i="3"/>
  <c r="BB485" i="3"/>
  <c r="BB486" i="3"/>
  <c r="BB487" i="3"/>
  <c r="BA487" i="3" s="1"/>
  <c r="AZ487" i="3" s="1"/>
  <c r="BB488" i="3"/>
  <c r="BB489" i="3"/>
  <c r="BB490" i="3"/>
  <c r="BB491" i="3"/>
  <c r="BA491" i="3" s="1"/>
  <c r="AZ491" i="3" s="1"/>
  <c r="BB492" i="3"/>
  <c r="BB493" i="3"/>
  <c r="BB494" i="3"/>
  <c r="BB495" i="3"/>
  <c r="BA495" i="3" s="1"/>
  <c r="BB496" i="3"/>
  <c r="BB497" i="3"/>
  <c r="BB498" i="3"/>
  <c r="BB499" i="3"/>
  <c r="BA499" i="3" s="1"/>
  <c r="AZ499" i="3" s="1"/>
  <c r="BB500" i="3"/>
  <c r="BB501" i="3"/>
  <c r="BB502" i="3"/>
  <c r="BB503" i="3"/>
  <c r="BA503" i="3" s="1"/>
  <c r="AZ503" i="3" s="1"/>
  <c r="BB504" i="3"/>
  <c r="BB505" i="3"/>
  <c r="BB506" i="3"/>
  <c r="BB507" i="3"/>
  <c r="BA507" i="3" s="1"/>
  <c r="AZ507" i="3" s="1"/>
  <c r="BB508" i="3"/>
  <c r="BB509" i="3"/>
  <c r="BB510" i="3"/>
  <c r="BB511" i="3"/>
  <c r="BA511" i="3" s="1"/>
  <c r="AZ511" i="3" s="1"/>
  <c r="BB512" i="3"/>
  <c r="BB513" i="3"/>
  <c r="BB514" i="3"/>
  <c r="BB515" i="3"/>
  <c r="BA515" i="3" s="1"/>
  <c r="AZ515" i="3" s="1"/>
  <c r="BB516" i="3"/>
  <c r="BB517" i="3"/>
  <c r="BB518" i="3"/>
  <c r="BB519" i="3"/>
  <c r="BA519" i="3" s="1"/>
  <c r="AZ519" i="3" s="1"/>
  <c r="BB520" i="3"/>
  <c r="BB521" i="3"/>
  <c r="BB522" i="3"/>
  <c r="BB523" i="3"/>
  <c r="BB524" i="3"/>
  <c r="BB525" i="3"/>
  <c r="BB526" i="3"/>
  <c r="BB527" i="3"/>
  <c r="BA527" i="3" s="1"/>
  <c r="BB528" i="3"/>
  <c r="BB529" i="3"/>
  <c r="BB530" i="3"/>
  <c r="BB531" i="3"/>
  <c r="BA531" i="3" s="1"/>
  <c r="AZ531" i="3" s="1"/>
  <c r="BB532" i="3"/>
  <c r="BB533" i="3"/>
  <c r="BB534" i="3"/>
  <c r="BB535" i="3"/>
  <c r="BA535" i="3" s="1"/>
  <c r="BB536" i="3"/>
  <c r="BB537" i="3"/>
  <c r="BB538" i="3"/>
  <c r="BB539" i="3"/>
  <c r="BA539" i="3" s="1"/>
  <c r="BB540" i="3"/>
  <c r="BB541" i="3"/>
  <c r="BB542" i="3"/>
  <c r="BB543" i="3"/>
  <c r="BA543" i="3" s="1"/>
  <c r="BB544" i="3"/>
  <c r="BB545" i="3"/>
  <c r="BB546" i="3"/>
  <c r="BB547" i="3"/>
  <c r="BA547" i="3" s="1"/>
  <c r="AZ547" i="3" s="1"/>
  <c r="BB548" i="3"/>
  <c r="BB549" i="3"/>
  <c r="BB550" i="3"/>
  <c r="BB551" i="3"/>
  <c r="BA551" i="3" s="1"/>
  <c r="BB552" i="3"/>
  <c r="BB553" i="3"/>
  <c r="BB554" i="3"/>
  <c r="BB555" i="3"/>
  <c r="BA555" i="3" s="1"/>
  <c r="BB556" i="3"/>
  <c r="BB557" i="3"/>
  <c r="BB558" i="3"/>
  <c r="BB559" i="3"/>
  <c r="BA559" i="3" s="1"/>
  <c r="BB560" i="3"/>
  <c r="BB561" i="3"/>
  <c r="BB562" i="3"/>
  <c r="BB563" i="3"/>
  <c r="BA563" i="3" s="1"/>
  <c r="AZ563" i="3" s="1"/>
  <c r="BB564" i="3"/>
  <c r="BB565" i="3"/>
  <c r="BB566" i="3"/>
  <c r="BB567" i="3"/>
  <c r="BA567" i="3" s="1"/>
  <c r="AZ567" i="3" s="1"/>
  <c r="BB568" i="3"/>
  <c r="BB569" i="3"/>
  <c r="BB570" i="3"/>
  <c r="BB571" i="3"/>
  <c r="BA571" i="3" s="1"/>
  <c r="BB572"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E5" i="6" s="1"/>
  <c r="D21" i="12" s="1"/>
  <c r="C21" i="12" s="1"/>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A180" i="3" s="1"/>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A244" i="3" s="1"/>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A308" i="3" s="1"/>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5" i="3" s="1"/>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A532" i="3" s="1"/>
  <c r="AZ532" i="3" s="1"/>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A560" i="3" s="1"/>
  <c r="AZ560" i="3" s="1"/>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5" i="3" s="1"/>
  <c r="BM15" i="3"/>
  <c r="BM16" i="3"/>
  <c r="BM17" i="3"/>
  <c r="BM18" i="3"/>
  <c r="BM19" i="3"/>
  <c r="BM20" i="3"/>
  <c r="BM21" i="3"/>
  <c r="BM22" i="3"/>
  <c r="BM23" i="3"/>
  <c r="BL23" i="3" s="1"/>
  <c r="BM24" i="3"/>
  <c r="BM25" i="3"/>
  <c r="BM26" i="3"/>
  <c r="BM27" i="3"/>
  <c r="BL27" i="3" s="1"/>
  <c r="BM28" i="3"/>
  <c r="BM29" i="3"/>
  <c r="BM30" i="3"/>
  <c r="BM31" i="3"/>
  <c r="BM32" i="3"/>
  <c r="BM33" i="3"/>
  <c r="BM34" i="3"/>
  <c r="BM35" i="3"/>
  <c r="BM36" i="3"/>
  <c r="BM37" i="3"/>
  <c r="BM38" i="3"/>
  <c r="BM39" i="3"/>
  <c r="BM40" i="3"/>
  <c r="BM41" i="3"/>
  <c r="BM42" i="3"/>
  <c r="BM43" i="3"/>
  <c r="BL43" i="3" s="1"/>
  <c r="BM44" i="3"/>
  <c r="BM45" i="3"/>
  <c r="BM46" i="3"/>
  <c r="BM47" i="3"/>
  <c r="BL47" i="3" s="1"/>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L75" i="3" s="1"/>
  <c r="BM76" i="3"/>
  <c r="BM77" i="3"/>
  <c r="BM78" i="3"/>
  <c r="BM79" i="3"/>
  <c r="BL79" i="3" s="1"/>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L107" i="3" s="1"/>
  <c r="BM108" i="3"/>
  <c r="BM109" i="3"/>
  <c r="BM110" i="3"/>
  <c r="BM111" i="3"/>
  <c r="BL111" i="3" s="1"/>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L18" i="3" s="1"/>
  <c r="AZ18" i="3" s="1"/>
  <c r="BO19" i="3"/>
  <c r="BO20" i="3"/>
  <c r="BO21" i="3"/>
  <c r="BO22" i="3"/>
  <c r="BL22" i="3" s="1"/>
  <c r="AZ22" i="3" s="1"/>
  <c r="BO23" i="3"/>
  <c r="BO24" i="3"/>
  <c r="BO25" i="3"/>
  <c r="BO26" i="3"/>
  <c r="BL26" i="3" s="1"/>
  <c r="AZ26" i="3" s="1"/>
  <c r="BO27" i="3"/>
  <c r="BO28" i="3"/>
  <c r="BO29" i="3"/>
  <c r="BO30" i="3"/>
  <c r="BL30" i="3" s="1"/>
  <c r="BO31" i="3"/>
  <c r="BO32" i="3"/>
  <c r="BO33" i="3"/>
  <c r="BO34" i="3"/>
  <c r="BL34" i="3" s="1"/>
  <c r="BO35" i="3"/>
  <c r="BO36" i="3"/>
  <c r="BO37" i="3"/>
  <c r="BO38" i="3"/>
  <c r="BL38" i="3" s="1"/>
  <c r="AZ38" i="3" s="1"/>
  <c r="BO39" i="3"/>
  <c r="BO40" i="3"/>
  <c r="BO41" i="3"/>
  <c r="BO42" i="3"/>
  <c r="BL42" i="3" s="1"/>
  <c r="BO43" i="3"/>
  <c r="BO44" i="3"/>
  <c r="BO45" i="3"/>
  <c r="BO46" i="3"/>
  <c r="BL46" i="3" s="1"/>
  <c r="AZ46" i="3" s="1"/>
  <c r="BO47" i="3"/>
  <c r="BO48" i="3"/>
  <c r="BO49" i="3"/>
  <c r="BO50" i="3"/>
  <c r="BL50" i="3" s="1"/>
  <c r="BO51" i="3"/>
  <c r="BO52" i="3"/>
  <c r="BO53" i="3"/>
  <c r="BO54" i="3"/>
  <c r="BL54" i="3" s="1"/>
  <c r="AZ54" i="3" s="1"/>
  <c r="BO55" i="3"/>
  <c r="BO56" i="3"/>
  <c r="BO57" i="3"/>
  <c r="BO58" i="3"/>
  <c r="BL58" i="3" s="1"/>
  <c r="BO59" i="3"/>
  <c r="BO60" i="3"/>
  <c r="BO61" i="3"/>
  <c r="BO62" i="3"/>
  <c r="BL62" i="3" s="1"/>
  <c r="BO63" i="3"/>
  <c r="BO64" i="3"/>
  <c r="BO65" i="3"/>
  <c r="BO66" i="3"/>
  <c r="BL66" i="3" s="1"/>
  <c r="BO67" i="3"/>
  <c r="BO68" i="3"/>
  <c r="BO69" i="3"/>
  <c r="BO70" i="3"/>
  <c r="BL70" i="3" s="1"/>
  <c r="AZ70" i="3" s="1"/>
  <c r="BO71" i="3"/>
  <c r="BO72" i="3"/>
  <c r="BO73" i="3"/>
  <c r="BO74" i="3"/>
  <c r="BL74" i="3" s="1"/>
  <c r="BO75" i="3"/>
  <c r="BO76" i="3"/>
  <c r="BO77" i="3"/>
  <c r="BO78" i="3"/>
  <c r="BL78" i="3" s="1"/>
  <c r="AZ78" i="3" s="1"/>
  <c r="BO79" i="3"/>
  <c r="BO80" i="3"/>
  <c r="BO81" i="3"/>
  <c r="BO82" i="3"/>
  <c r="BL82" i="3" s="1"/>
  <c r="BO83" i="3"/>
  <c r="BO84" i="3"/>
  <c r="BO85" i="3"/>
  <c r="BO86" i="3"/>
  <c r="BL86" i="3" s="1"/>
  <c r="AZ86" i="3" s="1"/>
  <c r="BO87" i="3"/>
  <c r="BO88" i="3"/>
  <c r="BO89" i="3"/>
  <c r="BO90" i="3"/>
  <c r="BL90" i="3" s="1"/>
  <c r="BO91" i="3"/>
  <c r="BO92" i="3"/>
  <c r="BO93" i="3"/>
  <c r="BO94" i="3"/>
  <c r="BL94" i="3" s="1"/>
  <c r="BO95" i="3"/>
  <c r="BO96" i="3"/>
  <c r="BO97" i="3"/>
  <c r="BO98" i="3"/>
  <c r="BL98" i="3" s="1"/>
  <c r="BO99" i="3"/>
  <c r="BO100" i="3"/>
  <c r="BO101" i="3"/>
  <c r="BO102" i="3"/>
  <c r="BL102" i="3" s="1"/>
  <c r="AZ102" i="3" s="1"/>
  <c r="BO103" i="3"/>
  <c r="BO104" i="3"/>
  <c r="BO105" i="3"/>
  <c r="BO106" i="3"/>
  <c r="BL106" i="3" s="1"/>
  <c r="BO107" i="3"/>
  <c r="BO108" i="3"/>
  <c r="BO109" i="3"/>
  <c r="BO110" i="3"/>
  <c r="BL110" i="3" s="1"/>
  <c r="AZ110" i="3" s="1"/>
  <c r="BO111" i="3"/>
  <c r="BO112" i="3"/>
  <c r="BO113" i="3"/>
  <c r="BO114" i="3"/>
  <c r="BL114" i="3" s="1"/>
  <c r="BO115" i="3"/>
  <c r="BO116" i="3"/>
  <c r="BO117" i="3"/>
  <c r="BO118" i="3"/>
  <c r="BL118" i="3" s="1"/>
  <c r="AZ118" i="3" s="1"/>
  <c r="BO119" i="3"/>
  <c r="BO120" i="3"/>
  <c r="BO121" i="3"/>
  <c r="BO122" i="3"/>
  <c r="BL122" i="3" s="1"/>
  <c r="BO123" i="3"/>
  <c r="BO124" i="3"/>
  <c r="BO125" i="3"/>
  <c r="BO126" i="3"/>
  <c r="BL126" i="3" s="1"/>
  <c r="BO127" i="3"/>
  <c r="BO128" i="3"/>
  <c r="BO129" i="3"/>
  <c r="BO130" i="3"/>
  <c r="BL130" i="3" s="1"/>
  <c r="BO131" i="3"/>
  <c r="BO132" i="3"/>
  <c r="BO133" i="3"/>
  <c r="BO134" i="3"/>
  <c r="BL134" i="3" s="1"/>
  <c r="BO135" i="3"/>
  <c r="BO136" i="3"/>
  <c r="BO137" i="3"/>
  <c r="BO138" i="3"/>
  <c r="BL138" i="3" s="1"/>
  <c r="BO139" i="3"/>
  <c r="BO140" i="3"/>
  <c r="BO141" i="3"/>
  <c r="BO142" i="3"/>
  <c r="BL142" i="3" s="1"/>
  <c r="BO143" i="3"/>
  <c r="BO144" i="3"/>
  <c r="BO145" i="3"/>
  <c r="BO146" i="3"/>
  <c r="BL146" i="3" s="1"/>
  <c r="BO147" i="3"/>
  <c r="BO148" i="3"/>
  <c r="BO149" i="3"/>
  <c r="BO150" i="3"/>
  <c r="BL150" i="3" s="1"/>
  <c r="BO151" i="3"/>
  <c r="BO152" i="3"/>
  <c r="BO153" i="3"/>
  <c r="BO154" i="3"/>
  <c r="BL154" i="3" s="1"/>
  <c r="BO155" i="3"/>
  <c r="BO156" i="3"/>
  <c r="BO157" i="3"/>
  <c r="BO158" i="3"/>
  <c r="BL158" i="3" s="1"/>
  <c r="BO159" i="3"/>
  <c r="BO160" i="3"/>
  <c r="BO161" i="3"/>
  <c r="BO162" i="3"/>
  <c r="BL162" i="3" s="1"/>
  <c r="BO163" i="3"/>
  <c r="BO164" i="3"/>
  <c r="BO165" i="3"/>
  <c r="BO166" i="3"/>
  <c r="BL166" i="3" s="1"/>
  <c r="AZ166" i="3" s="1"/>
  <c r="BO167" i="3"/>
  <c r="BO168" i="3"/>
  <c r="BO169" i="3"/>
  <c r="BO170" i="3"/>
  <c r="BL170" i="3" s="1"/>
  <c r="AZ170" i="3" s="1"/>
  <c r="BO171" i="3"/>
  <c r="BO172" i="3"/>
  <c r="BO173" i="3"/>
  <c r="BO174" i="3"/>
  <c r="BL174" i="3" s="1"/>
  <c r="AZ174" i="3" s="1"/>
  <c r="BO175" i="3"/>
  <c r="BO176" i="3"/>
  <c r="BO177" i="3"/>
  <c r="BO178" i="3"/>
  <c r="BL178" i="3" s="1"/>
  <c r="AZ178" i="3" s="1"/>
  <c r="BO179" i="3"/>
  <c r="BO180" i="3"/>
  <c r="BO181" i="3"/>
  <c r="BO182" i="3"/>
  <c r="BL182" i="3" s="1"/>
  <c r="AZ182" i="3" s="1"/>
  <c r="BO183" i="3"/>
  <c r="BO184" i="3"/>
  <c r="BO185" i="3"/>
  <c r="BO186" i="3"/>
  <c r="BL186" i="3" s="1"/>
  <c r="AZ186" i="3" s="1"/>
  <c r="BO187" i="3"/>
  <c r="BO188" i="3"/>
  <c r="BO189" i="3"/>
  <c r="BO190" i="3"/>
  <c r="BL190" i="3" s="1"/>
  <c r="AZ190" i="3" s="1"/>
  <c r="BO191" i="3"/>
  <c r="BO192" i="3"/>
  <c r="BO193" i="3"/>
  <c r="BO194" i="3"/>
  <c r="BL194" i="3" s="1"/>
  <c r="AZ194" i="3" s="1"/>
  <c r="BO195" i="3"/>
  <c r="BO196" i="3"/>
  <c r="BO197" i="3"/>
  <c r="BO198" i="3"/>
  <c r="BL198" i="3" s="1"/>
  <c r="AZ198" i="3" s="1"/>
  <c r="BO199" i="3"/>
  <c r="BO200" i="3"/>
  <c r="BO201" i="3"/>
  <c r="BO202" i="3"/>
  <c r="BL202" i="3" s="1"/>
  <c r="AZ202" i="3" s="1"/>
  <c r="BO203" i="3"/>
  <c r="BO204" i="3"/>
  <c r="BO205" i="3"/>
  <c r="BO206" i="3"/>
  <c r="BL206" i="3" s="1"/>
  <c r="AZ206" i="3" s="1"/>
  <c r="BO207" i="3"/>
  <c r="BO208" i="3"/>
  <c r="BO209" i="3"/>
  <c r="BO210" i="3"/>
  <c r="BL210" i="3" s="1"/>
  <c r="AZ210" i="3" s="1"/>
  <c r="BO211" i="3"/>
  <c r="BO212" i="3"/>
  <c r="BO213" i="3"/>
  <c r="BO214" i="3"/>
  <c r="BL214" i="3" s="1"/>
  <c r="AZ214" i="3" s="1"/>
  <c r="BO215" i="3"/>
  <c r="BO216" i="3"/>
  <c r="BO217" i="3"/>
  <c r="BO218" i="3"/>
  <c r="BL218" i="3" s="1"/>
  <c r="AZ218" i="3" s="1"/>
  <c r="BO219" i="3"/>
  <c r="BO220" i="3"/>
  <c r="BO221" i="3"/>
  <c r="BO222" i="3"/>
  <c r="BL222" i="3" s="1"/>
  <c r="AZ222" i="3" s="1"/>
  <c r="BO223" i="3"/>
  <c r="BO224" i="3"/>
  <c r="BO225" i="3"/>
  <c r="BO226" i="3"/>
  <c r="BL226" i="3" s="1"/>
  <c r="AZ226" i="3" s="1"/>
  <c r="BO227" i="3"/>
  <c r="BO228" i="3"/>
  <c r="BO229" i="3"/>
  <c r="BO230" i="3"/>
  <c r="BL230" i="3" s="1"/>
  <c r="AZ230" i="3" s="1"/>
  <c r="BO231" i="3"/>
  <c r="BO232" i="3"/>
  <c r="BO233" i="3"/>
  <c r="BO234" i="3"/>
  <c r="BL234" i="3" s="1"/>
  <c r="AZ234" i="3" s="1"/>
  <c r="BO235" i="3"/>
  <c r="BO236" i="3"/>
  <c r="BO237" i="3"/>
  <c r="BO238" i="3"/>
  <c r="BL238" i="3" s="1"/>
  <c r="AZ238" i="3" s="1"/>
  <c r="BO239" i="3"/>
  <c r="BO240" i="3"/>
  <c r="BO241" i="3"/>
  <c r="BO242" i="3"/>
  <c r="BL242" i="3" s="1"/>
  <c r="AZ242" i="3" s="1"/>
  <c r="BO243" i="3"/>
  <c r="BO244" i="3"/>
  <c r="BO245" i="3"/>
  <c r="BO246" i="3"/>
  <c r="BL246" i="3" s="1"/>
  <c r="AZ246" i="3" s="1"/>
  <c r="BO247" i="3"/>
  <c r="BO248" i="3"/>
  <c r="BO249" i="3"/>
  <c r="BO250" i="3"/>
  <c r="BL250" i="3" s="1"/>
  <c r="AZ250" i="3" s="1"/>
  <c r="BO251" i="3"/>
  <c r="BO252" i="3"/>
  <c r="BO253" i="3"/>
  <c r="BO254" i="3"/>
  <c r="BL254" i="3" s="1"/>
  <c r="AZ254" i="3" s="1"/>
  <c r="BO255" i="3"/>
  <c r="BO256" i="3"/>
  <c r="BO257" i="3"/>
  <c r="BO258" i="3"/>
  <c r="BL258" i="3" s="1"/>
  <c r="AZ258" i="3" s="1"/>
  <c r="BO259" i="3"/>
  <c r="BO260" i="3"/>
  <c r="BO261" i="3"/>
  <c r="BO262" i="3"/>
  <c r="BL262" i="3" s="1"/>
  <c r="AZ262" i="3" s="1"/>
  <c r="BO263" i="3"/>
  <c r="BO264" i="3"/>
  <c r="BO265" i="3"/>
  <c r="BO266" i="3"/>
  <c r="BL266" i="3" s="1"/>
  <c r="AZ266" i="3" s="1"/>
  <c r="BO267" i="3"/>
  <c r="BO268" i="3"/>
  <c r="BO269" i="3"/>
  <c r="BO270" i="3"/>
  <c r="BL270" i="3" s="1"/>
  <c r="AZ270" i="3" s="1"/>
  <c r="BO271" i="3"/>
  <c r="BO272" i="3"/>
  <c r="BO273" i="3"/>
  <c r="BO274" i="3"/>
  <c r="BL274" i="3" s="1"/>
  <c r="AZ274" i="3" s="1"/>
  <c r="BO275" i="3"/>
  <c r="BO276" i="3"/>
  <c r="BO277" i="3"/>
  <c r="BO278" i="3"/>
  <c r="BL278" i="3" s="1"/>
  <c r="AZ278" i="3" s="1"/>
  <c r="BO279" i="3"/>
  <c r="BO280" i="3"/>
  <c r="BO281" i="3"/>
  <c r="BO282" i="3"/>
  <c r="BL282" i="3" s="1"/>
  <c r="AZ282" i="3" s="1"/>
  <c r="BO283" i="3"/>
  <c r="BO284" i="3"/>
  <c r="BO285" i="3"/>
  <c r="BO286" i="3"/>
  <c r="BL286" i="3" s="1"/>
  <c r="AZ286" i="3" s="1"/>
  <c r="BO287" i="3"/>
  <c r="BO288" i="3"/>
  <c r="BO289" i="3"/>
  <c r="BO290" i="3"/>
  <c r="BL290" i="3" s="1"/>
  <c r="AZ290" i="3" s="1"/>
  <c r="BO291" i="3"/>
  <c r="BO292" i="3"/>
  <c r="BO293" i="3"/>
  <c r="BO294" i="3"/>
  <c r="BL294" i="3" s="1"/>
  <c r="AZ294" i="3" s="1"/>
  <c r="BO295" i="3"/>
  <c r="BO296" i="3"/>
  <c r="BO297" i="3"/>
  <c r="BO298" i="3"/>
  <c r="BL298" i="3" s="1"/>
  <c r="AZ298" i="3" s="1"/>
  <c r="BO299" i="3"/>
  <c r="BO300" i="3"/>
  <c r="BO301" i="3"/>
  <c r="BO302" i="3"/>
  <c r="BL302" i="3" s="1"/>
  <c r="AZ302" i="3" s="1"/>
  <c r="BO303" i="3"/>
  <c r="BO304" i="3"/>
  <c r="BO305" i="3"/>
  <c r="BO306" i="3"/>
  <c r="BL306" i="3" s="1"/>
  <c r="AZ306" i="3" s="1"/>
  <c r="BO307" i="3"/>
  <c r="BO308" i="3"/>
  <c r="BO309" i="3"/>
  <c r="BO310" i="3"/>
  <c r="BL310" i="3" s="1"/>
  <c r="AZ310" i="3" s="1"/>
  <c r="BO311" i="3"/>
  <c r="BO312" i="3"/>
  <c r="BO313" i="3"/>
  <c r="BO314" i="3"/>
  <c r="BL314" i="3" s="1"/>
  <c r="AZ314" i="3" s="1"/>
  <c r="BO315" i="3"/>
  <c r="BO316" i="3"/>
  <c r="BO317" i="3"/>
  <c r="BO318" i="3"/>
  <c r="BL318" i="3" s="1"/>
  <c r="AZ318" i="3" s="1"/>
  <c r="BO319" i="3"/>
  <c r="BO320" i="3"/>
  <c r="BO321" i="3"/>
  <c r="BO322" i="3"/>
  <c r="BL322" i="3" s="1"/>
  <c r="AZ322" i="3" s="1"/>
  <c r="BO323" i="3"/>
  <c r="BO324" i="3"/>
  <c r="BO325" i="3"/>
  <c r="BO326" i="3"/>
  <c r="BL326" i="3" s="1"/>
  <c r="AZ326" i="3" s="1"/>
  <c r="BO327" i="3"/>
  <c r="BO328" i="3"/>
  <c r="BO329" i="3"/>
  <c r="BO330" i="3"/>
  <c r="BL330" i="3" s="1"/>
  <c r="AZ330" i="3" s="1"/>
  <c r="BO331" i="3"/>
  <c r="BO332" i="3"/>
  <c r="BO333" i="3"/>
  <c r="BO334" i="3"/>
  <c r="BL334" i="3" s="1"/>
  <c r="AZ334" i="3" s="1"/>
  <c r="BO335" i="3"/>
  <c r="BO336" i="3"/>
  <c r="BO337" i="3"/>
  <c r="BO338" i="3"/>
  <c r="BL338" i="3" s="1"/>
  <c r="AZ338" i="3" s="1"/>
  <c r="BO339" i="3"/>
  <c r="BO340" i="3"/>
  <c r="BO341" i="3"/>
  <c r="BO342" i="3"/>
  <c r="BL342" i="3" s="1"/>
  <c r="AZ342" i="3" s="1"/>
  <c r="BO343" i="3"/>
  <c r="BO344" i="3"/>
  <c r="BO345" i="3"/>
  <c r="BO346" i="3"/>
  <c r="BL346" i="3" s="1"/>
  <c r="AZ346" i="3" s="1"/>
  <c r="BO347" i="3"/>
  <c r="BO348" i="3"/>
  <c r="BO349" i="3"/>
  <c r="BO350" i="3"/>
  <c r="BL350" i="3" s="1"/>
  <c r="AZ350" i="3" s="1"/>
  <c r="BO351" i="3"/>
  <c r="BO352" i="3"/>
  <c r="BO353" i="3"/>
  <c r="BO354" i="3"/>
  <c r="BL354" i="3" s="1"/>
  <c r="AZ354" i="3" s="1"/>
  <c r="BO355" i="3"/>
  <c r="BO356" i="3"/>
  <c r="BO357" i="3"/>
  <c r="BO358" i="3"/>
  <c r="BL358" i="3" s="1"/>
  <c r="AZ358" i="3" s="1"/>
  <c r="BO359" i="3"/>
  <c r="BO360" i="3"/>
  <c r="BO361" i="3"/>
  <c r="BO362" i="3"/>
  <c r="BL362" i="3" s="1"/>
  <c r="AZ362" i="3" s="1"/>
  <c r="BO363" i="3"/>
  <c r="BO364" i="3"/>
  <c r="BO365" i="3"/>
  <c r="BO366" i="3"/>
  <c r="BL366" i="3" s="1"/>
  <c r="AZ366" i="3" s="1"/>
  <c r="BO367" i="3"/>
  <c r="BO368" i="3"/>
  <c r="BO369" i="3"/>
  <c r="BO370" i="3"/>
  <c r="BL370" i="3" s="1"/>
  <c r="BO371" i="3"/>
  <c r="BO372" i="3"/>
  <c r="BO373" i="3"/>
  <c r="BO374" i="3"/>
  <c r="BL374" i="3" s="1"/>
  <c r="BO375" i="3"/>
  <c r="BO376" i="3"/>
  <c r="BO377" i="3"/>
  <c r="BO378" i="3"/>
  <c r="BL378" i="3" s="1"/>
  <c r="BO379" i="3"/>
  <c r="BO380" i="3"/>
  <c r="BO381" i="3"/>
  <c r="BO382" i="3"/>
  <c r="BL382" i="3" s="1"/>
  <c r="BO383" i="3"/>
  <c r="BO384" i="3"/>
  <c r="BO385" i="3"/>
  <c r="BO386" i="3"/>
  <c r="BL386" i="3" s="1"/>
  <c r="BO387" i="3"/>
  <c r="BO388" i="3"/>
  <c r="BO389" i="3"/>
  <c r="BO390" i="3"/>
  <c r="BL390" i="3" s="1"/>
  <c r="BO391" i="3"/>
  <c r="BO392" i="3"/>
  <c r="BO393" i="3"/>
  <c r="BO394" i="3"/>
  <c r="BL394" i="3" s="1"/>
  <c r="BO395" i="3"/>
  <c r="BO396" i="3"/>
  <c r="BO397" i="3"/>
  <c r="BO398" i="3"/>
  <c r="BL398" i="3" s="1"/>
  <c r="BO399" i="3"/>
  <c r="BO400" i="3"/>
  <c r="BO401" i="3"/>
  <c r="BO402" i="3"/>
  <c r="BL402" i="3" s="1"/>
  <c r="BO403" i="3"/>
  <c r="BO404" i="3"/>
  <c r="BO405" i="3"/>
  <c r="BO406" i="3"/>
  <c r="BL406" i="3" s="1"/>
  <c r="BO407" i="3"/>
  <c r="BO408" i="3"/>
  <c r="BO409" i="3"/>
  <c r="BO410" i="3"/>
  <c r="BL410" i="3" s="1"/>
  <c r="BO411" i="3"/>
  <c r="BO412" i="3"/>
  <c r="BO413" i="3"/>
  <c r="BO414" i="3"/>
  <c r="BL414" i="3" s="1"/>
  <c r="BO415" i="3"/>
  <c r="BO416" i="3"/>
  <c r="BO417" i="3"/>
  <c r="BO418" i="3"/>
  <c r="BL418" i="3" s="1"/>
  <c r="BO419" i="3"/>
  <c r="BO420" i="3"/>
  <c r="BO421" i="3"/>
  <c r="BO422" i="3"/>
  <c r="BL422" i="3" s="1"/>
  <c r="BO423" i="3"/>
  <c r="BO424" i="3"/>
  <c r="BO425" i="3"/>
  <c r="BO426" i="3"/>
  <c r="BL426" i="3" s="1"/>
  <c r="BO427" i="3"/>
  <c r="BO428" i="3"/>
  <c r="BO429" i="3"/>
  <c r="BO430" i="3"/>
  <c r="BL430" i="3" s="1"/>
  <c r="BO431" i="3"/>
  <c r="BO432" i="3"/>
  <c r="BO433" i="3"/>
  <c r="BO434" i="3"/>
  <c r="BL434" i="3" s="1"/>
  <c r="BO435" i="3"/>
  <c r="BO436" i="3"/>
  <c r="BO437" i="3"/>
  <c r="BO438" i="3"/>
  <c r="BL438" i="3" s="1"/>
  <c r="BO439" i="3"/>
  <c r="BO440" i="3"/>
  <c r="BO441" i="3"/>
  <c r="BO442" i="3"/>
  <c r="BL442" i="3" s="1"/>
  <c r="BO443" i="3"/>
  <c r="BO444" i="3"/>
  <c r="BO445" i="3"/>
  <c r="BO446" i="3"/>
  <c r="BL446" i="3" s="1"/>
  <c r="BO447" i="3"/>
  <c r="BO448" i="3"/>
  <c r="BO449" i="3"/>
  <c r="BO450" i="3"/>
  <c r="BL450" i="3" s="1"/>
  <c r="BO451" i="3"/>
  <c r="BO452" i="3"/>
  <c r="BO453" i="3"/>
  <c r="BO454" i="3"/>
  <c r="BL454" i="3" s="1"/>
  <c r="BO455" i="3"/>
  <c r="BO456" i="3"/>
  <c r="BO457" i="3"/>
  <c r="BO458" i="3"/>
  <c r="BL458" i="3" s="1"/>
  <c r="BO459" i="3"/>
  <c r="BO460" i="3"/>
  <c r="BO461" i="3"/>
  <c r="BO462" i="3"/>
  <c r="BL462" i="3" s="1"/>
  <c r="BO463" i="3"/>
  <c r="BO464" i="3"/>
  <c r="BO465" i="3"/>
  <c r="BO466" i="3"/>
  <c r="BL466" i="3" s="1"/>
  <c r="BO467" i="3"/>
  <c r="BO468" i="3"/>
  <c r="BO469" i="3"/>
  <c r="BO470" i="3"/>
  <c r="BL470" i="3" s="1"/>
  <c r="BO471" i="3"/>
  <c r="BO472" i="3"/>
  <c r="BO473" i="3"/>
  <c r="BO474" i="3"/>
  <c r="BL474" i="3" s="1"/>
  <c r="BO475" i="3"/>
  <c r="BO476" i="3"/>
  <c r="BO477" i="3"/>
  <c r="BO478" i="3"/>
  <c r="BL478" i="3" s="1"/>
  <c r="BO479" i="3"/>
  <c r="BO480" i="3"/>
  <c r="BO481" i="3"/>
  <c r="BO482" i="3"/>
  <c r="BL482" i="3" s="1"/>
  <c r="BO483" i="3"/>
  <c r="BO484" i="3"/>
  <c r="BO485" i="3"/>
  <c r="BO486" i="3"/>
  <c r="BL486" i="3" s="1"/>
  <c r="BO487" i="3"/>
  <c r="BO488" i="3"/>
  <c r="BO489" i="3"/>
  <c r="BO490" i="3"/>
  <c r="BL490" i="3" s="1"/>
  <c r="BO491" i="3"/>
  <c r="BO492" i="3"/>
  <c r="BO493" i="3"/>
  <c r="BO494" i="3"/>
  <c r="BL494" i="3" s="1"/>
  <c r="BO495" i="3"/>
  <c r="BO496" i="3"/>
  <c r="BO497" i="3"/>
  <c r="BO498" i="3"/>
  <c r="BL498" i="3" s="1"/>
  <c r="BO499" i="3"/>
  <c r="BO500" i="3"/>
  <c r="BO501" i="3"/>
  <c r="BO502" i="3"/>
  <c r="BL502" i="3" s="1"/>
  <c r="BO503" i="3"/>
  <c r="BO504" i="3"/>
  <c r="BO505" i="3"/>
  <c r="BO506" i="3"/>
  <c r="BL506" i="3" s="1"/>
  <c r="BO507" i="3"/>
  <c r="BO508" i="3"/>
  <c r="BO509" i="3"/>
  <c r="BO510" i="3"/>
  <c r="BL510" i="3" s="1"/>
  <c r="BO511" i="3"/>
  <c r="BO512" i="3"/>
  <c r="BO513" i="3"/>
  <c r="BO514" i="3"/>
  <c r="BL514" i="3" s="1"/>
  <c r="BO515" i="3"/>
  <c r="BO516" i="3"/>
  <c r="BO517" i="3"/>
  <c r="BO518" i="3"/>
  <c r="BL518" i="3" s="1"/>
  <c r="BO519" i="3"/>
  <c r="BO520" i="3"/>
  <c r="BO521" i="3"/>
  <c r="BO522" i="3"/>
  <c r="BL522" i="3" s="1"/>
  <c r="AZ522" i="3" s="1"/>
  <c r="BO523" i="3"/>
  <c r="BO524" i="3"/>
  <c r="BO525" i="3"/>
  <c r="BO526" i="3"/>
  <c r="BL526" i="3" s="1"/>
  <c r="AZ526" i="3" s="1"/>
  <c r="BO527" i="3"/>
  <c r="BO528" i="3"/>
  <c r="BO529" i="3"/>
  <c r="BO530" i="3"/>
  <c r="BL530" i="3" s="1"/>
  <c r="AZ530" i="3" s="1"/>
  <c r="BO531" i="3"/>
  <c r="BO532" i="3"/>
  <c r="BO533" i="3"/>
  <c r="BO534" i="3"/>
  <c r="BL534" i="3" s="1"/>
  <c r="AZ534" i="3" s="1"/>
  <c r="BO535" i="3"/>
  <c r="BO536" i="3"/>
  <c r="BO537" i="3"/>
  <c r="BO538" i="3"/>
  <c r="BL538" i="3" s="1"/>
  <c r="AZ538" i="3" s="1"/>
  <c r="BO539" i="3"/>
  <c r="BO540" i="3"/>
  <c r="BO541" i="3"/>
  <c r="BO542" i="3"/>
  <c r="BL542" i="3" s="1"/>
  <c r="AZ542" i="3" s="1"/>
  <c r="BO543" i="3"/>
  <c r="BO544" i="3"/>
  <c r="BO545" i="3"/>
  <c r="BO546" i="3"/>
  <c r="BL546" i="3" s="1"/>
  <c r="AZ546" i="3" s="1"/>
  <c r="BO547" i="3"/>
  <c r="BO548" i="3"/>
  <c r="BO549" i="3"/>
  <c r="BO550" i="3"/>
  <c r="BL550" i="3" s="1"/>
  <c r="AZ550" i="3" s="1"/>
  <c r="BO551" i="3"/>
  <c r="BO552" i="3"/>
  <c r="BO553" i="3"/>
  <c r="BO554" i="3"/>
  <c r="BL554" i="3" s="1"/>
  <c r="AZ554" i="3" s="1"/>
  <c r="BO555" i="3"/>
  <c r="BO556" i="3"/>
  <c r="BO557" i="3"/>
  <c r="BO558" i="3"/>
  <c r="BL558" i="3" s="1"/>
  <c r="AZ558" i="3" s="1"/>
  <c r="BO559" i="3"/>
  <c r="BO560" i="3"/>
  <c r="BO561" i="3"/>
  <c r="BO562" i="3"/>
  <c r="BL562" i="3" s="1"/>
  <c r="AZ562" i="3" s="1"/>
  <c r="BO563" i="3"/>
  <c r="BO564" i="3"/>
  <c r="BO565" i="3"/>
  <c r="BO566" i="3"/>
  <c r="BL566" i="3" s="1"/>
  <c r="AZ566" i="3" s="1"/>
  <c r="BO567" i="3"/>
  <c r="BO568" i="3"/>
  <c r="BO569" i="3"/>
  <c r="BO570" i="3"/>
  <c r="BL570" i="3" s="1"/>
  <c r="AZ570" i="3" s="1"/>
  <c r="BO571" i="3"/>
  <c r="BO572" i="3"/>
  <c r="BN13" i="3"/>
  <c r="BP13" i="3"/>
  <c r="BR13" i="3"/>
  <c r="BT13" i="3"/>
  <c r="BL13" i="3"/>
  <c r="BN14" i="3"/>
  <c r="BP14" i="3"/>
  <c r="BR14" i="3"/>
  <c r="BT14" i="3"/>
  <c r="BN15" i="3"/>
  <c r="BP15" i="3"/>
  <c r="BR15" i="3"/>
  <c r="BT15" i="3"/>
  <c r="BN16" i="3"/>
  <c r="BP16" i="3"/>
  <c r="BL16" i="3" s="1"/>
  <c r="BR16" i="3"/>
  <c r="BT16" i="3"/>
  <c r="BN17" i="3"/>
  <c r="BP17" i="3"/>
  <c r="BR17" i="3"/>
  <c r="BT17" i="3"/>
  <c r="BL17" i="3"/>
  <c r="BA18" i="3"/>
  <c r="BN18" i="3"/>
  <c r="BP18" i="3"/>
  <c r="BR18" i="3"/>
  <c r="BT18" i="3"/>
  <c r="BN19" i="3"/>
  <c r="BP19" i="3"/>
  <c r="BR19" i="3"/>
  <c r="BT19" i="3"/>
  <c r="BL19" i="3"/>
  <c r="BN20" i="3"/>
  <c r="BP20" i="3"/>
  <c r="BR20" i="3"/>
  <c r="BT20" i="3"/>
  <c r="BN21" i="3"/>
  <c r="BP21" i="3"/>
  <c r="BR21" i="3"/>
  <c r="BT21" i="3"/>
  <c r="BL21" i="3"/>
  <c r="BA22" i="3"/>
  <c r="BN22" i="3"/>
  <c r="BP22" i="3"/>
  <c r="BR22" i="3"/>
  <c r="BT22" i="3"/>
  <c r="BN23" i="3"/>
  <c r="BP23" i="3"/>
  <c r="BR23" i="3"/>
  <c r="BT23" i="3"/>
  <c r="BN24" i="3"/>
  <c r="BP24" i="3"/>
  <c r="BR24" i="3"/>
  <c r="BT24" i="3"/>
  <c r="BN25" i="3"/>
  <c r="BP25" i="3"/>
  <c r="BR25" i="3"/>
  <c r="BL25" i="3" s="1"/>
  <c r="BT25" i="3"/>
  <c r="BA26" i="3"/>
  <c r="BN26" i="3"/>
  <c r="BP26" i="3"/>
  <c r="BR26" i="3"/>
  <c r="BT26" i="3"/>
  <c r="BN27" i="3"/>
  <c r="BP27" i="3"/>
  <c r="BR27" i="3"/>
  <c r="BT27" i="3"/>
  <c r="BN28" i="3"/>
  <c r="BP28" i="3"/>
  <c r="BL28" i="3" s="1"/>
  <c r="BR28" i="3"/>
  <c r="BT28" i="3"/>
  <c r="BN29" i="3"/>
  <c r="BL29" i="3" s="1"/>
  <c r="BP29" i="3"/>
  <c r="BR29" i="3"/>
  <c r="BT29" i="3"/>
  <c r="BA30" i="3"/>
  <c r="BN30" i="3"/>
  <c r="BP30" i="3"/>
  <c r="BR30" i="3"/>
  <c r="BT30" i="3"/>
  <c r="BN31" i="3"/>
  <c r="BP31" i="3"/>
  <c r="BR31" i="3"/>
  <c r="BT31" i="3"/>
  <c r="BN32" i="3"/>
  <c r="BP32" i="3"/>
  <c r="BR32" i="3"/>
  <c r="BT32" i="3"/>
  <c r="BL32" i="3"/>
  <c r="BN33" i="3"/>
  <c r="BP33" i="3"/>
  <c r="BR33" i="3"/>
  <c r="BT33" i="3"/>
  <c r="BL33" i="3"/>
  <c r="BA34" i="3"/>
  <c r="BN34" i="3"/>
  <c r="BP34" i="3"/>
  <c r="BR34" i="3"/>
  <c r="BT34" i="3"/>
  <c r="BN35" i="3"/>
  <c r="BP35" i="3"/>
  <c r="BR35" i="3"/>
  <c r="BT35" i="3"/>
  <c r="BL35" i="3"/>
  <c r="BN36" i="3"/>
  <c r="BP36" i="3"/>
  <c r="BL36" i="3" s="1"/>
  <c r="BR36" i="3"/>
  <c r="BT36" i="3"/>
  <c r="BN37" i="3"/>
  <c r="BP37" i="3"/>
  <c r="BR37" i="3"/>
  <c r="BT37" i="3"/>
  <c r="BL37" i="3"/>
  <c r="BA38" i="3"/>
  <c r="BN38" i="3"/>
  <c r="BP38" i="3"/>
  <c r="BR38" i="3"/>
  <c r="BT38" i="3"/>
  <c r="BN39" i="3"/>
  <c r="BP39" i="3"/>
  <c r="BR39" i="3"/>
  <c r="BT39" i="3"/>
  <c r="BN40" i="3"/>
  <c r="BP40" i="3"/>
  <c r="BR40" i="3"/>
  <c r="BT40" i="3"/>
  <c r="BN41" i="3"/>
  <c r="BP41" i="3"/>
  <c r="BR41" i="3"/>
  <c r="BT41" i="3"/>
  <c r="BL41" i="3"/>
  <c r="BA42" i="3"/>
  <c r="BN42" i="3"/>
  <c r="BP42" i="3"/>
  <c r="BR42" i="3"/>
  <c r="BT42" i="3"/>
  <c r="BN43" i="3"/>
  <c r="BP43" i="3"/>
  <c r="BR43" i="3"/>
  <c r="BT43" i="3"/>
  <c r="BN44" i="3"/>
  <c r="BP44" i="3"/>
  <c r="BR44" i="3"/>
  <c r="BT44" i="3"/>
  <c r="BL44" i="3"/>
  <c r="BN45" i="3"/>
  <c r="BP45" i="3"/>
  <c r="BR45" i="3"/>
  <c r="BT45" i="3"/>
  <c r="BA46" i="3"/>
  <c r="BN46" i="3"/>
  <c r="BP46" i="3"/>
  <c r="BR46" i="3"/>
  <c r="BT46" i="3"/>
  <c r="BN47" i="3"/>
  <c r="BP47" i="3"/>
  <c r="BR47" i="3"/>
  <c r="BT47" i="3"/>
  <c r="BN48" i="3"/>
  <c r="BP48" i="3"/>
  <c r="BR48" i="3"/>
  <c r="BT48" i="3"/>
  <c r="BL48" i="3" s="1"/>
  <c r="BN49" i="3"/>
  <c r="BP49" i="3"/>
  <c r="BR49" i="3"/>
  <c r="BL49" i="3" s="1"/>
  <c r="BT49" i="3"/>
  <c r="BA50" i="3"/>
  <c r="BN50" i="3"/>
  <c r="BP50" i="3"/>
  <c r="BR50" i="3"/>
  <c r="BT50" i="3"/>
  <c r="BN51" i="3"/>
  <c r="BP51" i="3"/>
  <c r="BR51" i="3"/>
  <c r="BT51" i="3"/>
  <c r="BL51" i="3" s="1"/>
  <c r="BN52" i="3"/>
  <c r="BP52" i="3"/>
  <c r="BL52" i="3" s="1"/>
  <c r="BR52" i="3"/>
  <c r="BT52" i="3"/>
  <c r="BN53" i="3"/>
  <c r="BP53" i="3"/>
  <c r="BR53" i="3"/>
  <c r="BT53" i="3"/>
  <c r="BL53" i="3"/>
  <c r="BA54" i="3"/>
  <c r="BN54" i="3"/>
  <c r="BP54" i="3"/>
  <c r="BR54" i="3"/>
  <c r="BT54" i="3"/>
  <c r="BN55" i="3"/>
  <c r="BP55" i="3"/>
  <c r="BR55" i="3"/>
  <c r="BT55" i="3"/>
  <c r="BL55" i="3" s="1"/>
  <c r="BN56" i="3"/>
  <c r="BP56" i="3"/>
  <c r="BL56" i="3" s="1"/>
  <c r="BR56" i="3"/>
  <c r="BT56" i="3"/>
  <c r="BN57" i="3"/>
  <c r="BP57" i="3"/>
  <c r="BR57" i="3"/>
  <c r="BT57" i="3"/>
  <c r="BL57" i="3"/>
  <c r="BA58" i="3"/>
  <c r="BN58" i="3"/>
  <c r="BP58" i="3"/>
  <c r="BR58" i="3"/>
  <c r="BT58" i="3"/>
  <c r="BN59" i="3"/>
  <c r="BP59" i="3"/>
  <c r="BR59" i="3"/>
  <c r="BT59" i="3"/>
  <c r="BN60" i="3"/>
  <c r="BP60" i="3"/>
  <c r="BR60" i="3"/>
  <c r="BT60" i="3"/>
  <c r="BL60" i="3" s="1"/>
  <c r="BN61" i="3"/>
  <c r="BP61" i="3"/>
  <c r="BL61" i="3" s="1"/>
  <c r="BR61" i="3"/>
  <c r="BT61" i="3"/>
  <c r="BA62" i="3"/>
  <c r="BN62" i="3"/>
  <c r="BP62" i="3"/>
  <c r="BR62" i="3"/>
  <c r="BT62" i="3"/>
  <c r="BN63" i="3"/>
  <c r="BP63" i="3"/>
  <c r="BR63" i="3"/>
  <c r="BT63" i="3"/>
  <c r="BN64" i="3"/>
  <c r="BP64" i="3"/>
  <c r="BR64" i="3"/>
  <c r="BT64" i="3"/>
  <c r="BL64" i="3"/>
  <c r="BN65" i="3"/>
  <c r="BP65" i="3"/>
  <c r="BR65" i="3"/>
  <c r="BT65" i="3"/>
  <c r="BL65" i="3"/>
  <c r="BA66" i="3"/>
  <c r="BN66" i="3"/>
  <c r="BP66" i="3"/>
  <c r="BR66" i="3"/>
  <c r="BT66" i="3"/>
  <c r="BN67" i="3"/>
  <c r="BP67" i="3"/>
  <c r="BR67" i="3"/>
  <c r="BT67" i="3"/>
  <c r="BL67" i="3"/>
  <c r="BN68" i="3"/>
  <c r="BP68" i="3"/>
  <c r="BL68" i="3" s="1"/>
  <c r="BR68" i="3"/>
  <c r="BT68" i="3"/>
  <c r="BN69" i="3"/>
  <c r="BP69" i="3"/>
  <c r="BR69" i="3"/>
  <c r="BT69" i="3"/>
  <c r="BL69" i="3"/>
  <c r="BA70" i="3"/>
  <c r="BN70" i="3"/>
  <c r="BP70" i="3"/>
  <c r="BR70" i="3"/>
  <c r="BT70" i="3"/>
  <c r="BN71" i="3"/>
  <c r="BP71" i="3"/>
  <c r="BR71" i="3"/>
  <c r="BT71" i="3"/>
  <c r="BN72" i="3"/>
  <c r="BP72" i="3"/>
  <c r="BL72" i="3" s="1"/>
  <c r="BR72" i="3"/>
  <c r="BT72" i="3"/>
  <c r="BN73" i="3"/>
  <c r="BP73" i="3"/>
  <c r="BR73" i="3"/>
  <c r="BT73" i="3"/>
  <c r="BL73" i="3"/>
  <c r="BA74" i="3"/>
  <c r="BN74" i="3"/>
  <c r="BP74" i="3"/>
  <c r="BR74" i="3"/>
  <c r="BT74" i="3"/>
  <c r="BN75" i="3"/>
  <c r="BP75" i="3"/>
  <c r="BR75" i="3"/>
  <c r="BT75" i="3"/>
  <c r="BN76" i="3"/>
  <c r="BP76" i="3"/>
  <c r="BR76" i="3"/>
  <c r="BT76" i="3"/>
  <c r="BL76" i="3"/>
  <c r="BN77" i="3"/>
  <c r="BP77" i="3"/>
  <c r="BR77" i="3"/>
  <c r="BT77" i="3"/>
  <c r="BA78" i="3"/>
  <c r="BN78" i="3"/>
  <c r="BP78" i="3"/>
  <c r="BR78" i="3"/>
  <c r="BT78" i="3"/>
  <c r="BN79" i="3"/>
  <c r="BP79" i="3"/>
  <c r="BR79" i="3"/>
  <c r="BT79" i="3"/>
  <c r="BN80" i="3"/>
  <c r="BP80" i="3"/>
  <c r="BR80" i="3"/>
  <c r="BT80" i="3"/>
  <c r="BL80" i="3" s="1"/>
  <c r="BN81" i="3"/>
  <c r="BP81" i="3"/>
  <c r="BR81" i="3"/>
  <c r="BL81" i="3" s="1"/>
  <c r="BT81" i="3"/>
  <c r="BA82" i="3"/>
  <c r="BN82" i="3"/>
  <c r="BP82" i="3"/>
  <c r="BR82" i="3"/>
  <c r="BT82" i="3"/>
  <c r="BN83" i="3"/>
  <c r="BP83" i="3"/>
  <c r="BR83" i="3"/>
  <c r="BT83" i="3"/>
  <c r="BL83" i="3" s="1"/>
  <c r="BN84" i="3"/>
  <c r="BP84" i="3"/>
  <c r="BL84" i="3" s="1"/>
  <c r="BR84" i="3"/>
  <c r="BT84" i="3"/>
  <c r="BN85" i="3"/>
  <c r="BP85" i="3"/>
  <c r="BR85" i="3"/>
  <c r="BT85" i="3"/>
  <c r="BL85" i="3"/>
  <c r="BA86" i="3"/>
  <c r="BN86" i="3"/>
  <c r="BP86" i="3"/>
  <c r="BR86" i="3"/>
  <c r="BT86" i="3"/>
  <c r="BN87" i="3"/>
  <c r="BP87" i="3"/>
  <c r="BR87" i="3"/>
  <c r="BT87" i="3"/>
  <c r="BL87" i="3"/>
  <c r="BN88" i="3"/>
  <c r="BP88" i="3"/>
  <c r="BL88" i="3" s="1"/>
  <c r="BR88" i="3"/>
  <c r="BT88" i="3"/>
  <c r="BN89" i="3"/>
  <c r="BP89" i="3"/>
  <c r="BR89" i="3"/>
  <c r="BT89" i="3"/>
  <c r="BL89" i="3"/>
  <c r="BA90" i="3"/>
  <c r="BN90" i="3"/>
  <c r="BP90" i="3"/>
  <c r="BR90" i="3"/>
  <c r="BT90" i="3"/>
  <c r="BN91" i="3"/>
  <c r="BP91" i="3"/>
  <c r="BR91" i="3"/>
  <c r="BT91" i="3"/>
  <c r="BN92" i="3"/>
  <c r="BP92" i="3"/>
  <c r="BR92" i="3"/>
  <c r="BT92" i="3"/>
  <c r="BL92" i="3" s="1"/>
  <c r="BN93" i="3"/>
  <c r="BP93" i="3"/>
  <c r="BL93" i="3" s="1"/>
  <c r="BR93" i="3"/>
  <c r="BT93" i="3"/>
  <c r="BA94" i="3"/>
  <c r="BN94" i="3"/>
  <c r="BP94" i="3"/>
  <c r="BR94" i="3"/>
  <c r="BT94" i="3"/>
  <c r="BN95" i="3"/>
  <c r="BP95" i="3"/>
  <c r="BR95" i="3"/>
  <c r="BT95" i="3"/>
  <c r="BN96" i="3"/>
  <c r="BP96" i="3"/>
  <c r="BR96" i="3"/>
  <c r="BT96" i="3"/>
  <c r="BL96" i="3"/>
  <c r="BN97" i="3"/>
  <c r="BP97" i="3"/>
  <c r="BR97" i="3"/>
  <c r="BT97" i="3"/>
  <c r="BL97" i="3"/>
  <c r="BA98" i="3"/>
  <c r="BN98" i="3"/>
  <c r="BP98" i="3"/>
  <c r="BR98" i="3"/>
  <c r="BT98" i="3"/>
  <c r="BN99" i="3"/>
  <c r="BP99" i="3"/>
  <c r="BR99" i="3"/>
  <c r="BT99" i="3"/>
  <c r="BL99" i="3"/>
  <c r="BN100" i="3"/>
  <c r="BP100" i="3"/>
  <c r="BL100" i="3" s="1"/>
  <c r="BR100" i="3"/>
  <c r="BT100" i="3"/>
  <c r="BN101" i="3"/>
  <c r="BP101" i="3"/>
  <c r="BR101" i="3"/>
  <c r="BT101" i="3"/>
  <c r="BL101" i="3"/>
  <c r="BA102" i="3"/>
  <c r="BN102" i="3"/>
  <c r="BP102" i="3"/>
  <c r="BR102" i="3"/>
  <c r="BT102" i="3"/>
  <c r="BN103" i="3"/>
  <c r="BP103" i="3"/>
  <c r="BR103" i="3"/>
  <c r="BT103" i="3"/>
  <c r="BN104" i="3"/>
  <c r="BP104" i="3"/>
  <c r="BL104" i="3" s="1"/>
  <c r="BR104" i="3"/>
  <c r="BT104" i="3"/>
  <c r="BN105" i="3"/>
  <c r="BP105" i="3"/>
  <c r="BR105" i="3"/>
  <c r="BT105" i="3"/>
  <c r="BL105" i="3"/>
  <c r="BA106" i="3"/>
  <c r="BN106" i="3"/>
  <c r="BP106" i="3"/>
  <c r="BR106" i="3"/>
  <c r="BT106" i="3"/>
  <c r="BN107" i="3"/>
  <c r="BP107" i="3"/>
  <c r="BR107" i="3"/>
  <c r="BT107" i="3"/>
  <c r="BN108" i="3"/>
  <c r="BP108" i="3"/>
  <c r="BR108" i="3"/>
  <c r="BT108" i="3"/>
  <c r="BL108" i="3"/>
  <c r="BN109" i="3"/>
  <c r="BP109" i="3"/>
  <c r="BR109" i="3"/>
  <c r="BT109" i="3"/>
  <c r="BA110" i="3"/>
  <c r="BN110" i="3"/>
  <c r="BP110" i="3"/>
  <c r="BR110" i="3"/>
  <c r="BT110" i="3"/>
  <c r="BN111" i="3"/>
  <c r="BP111" i="3"/>
  <c r="BR111" i="3"/>
  <c r="BT111" i="3"/>
  <c r="BN112" i="3"/>
  <c r="BP112" i="3"/>
  <c r="BR112" i="3"/>
  <c r="BT112" i="3"/>
  <c r="BL112" i="3"/>
  <c r="BN113" i="3"/>
  <c r="BP113" i="3"/>
  <c r="BR113" i="3"/>
  <c r="BL113" i="3" s="1"/>
  <c r="BT113" i="3"/>
  <c r="BA114" i="3"/>
  <c r="BN114" i="3"/>
  <c r="BP114" i="3"/>
  <c r="BR114" i="3"/>
  <c r="BT114" i="3"/>
  <c r="BN115" i="3"/>
  <c r="BP115" i="3"/>
  <c r="BR115" i="3"/>
  <c r="BT115" i="3"/>
  <c r="BL115" i="3"/>
  <c r="BN116" i="3"/>
  <c r="BP116" i="3"/>
  <c r="BL116" i="3" s="1"/>
  <c r="BR116" i="3"/>
  <c r="BT116" i="3"/>
  <c r="BN117" i="3"/>
  <c r="BP117" i="3"/>
  <c r="BR117" i="3"/>
  <c r="BT117" i="3"/>
  <c r="BL117" i="3"/>
  <c r="BA118" i="3"/>
  <c r="BN118" i="3"/>
  <c r="BP118" i="3"/>
  <c r="BR118" i="3"/>
  <c r="BT118" i="3"/>
  <c r="BN119" i="3"/>
  <c r="BP119" i="3"/>
  <c r="BR119" i="3"/>
  <c r="BT119" i="3"/>
  <c r="BL119" i="3"/>
  <c r="BN120" i="3"/>
  <c r="BP120" i="3"/>
  <c r="BR120" i="3"/>
  <c r="BT120" i="3"/>
  <c r="BN121" i="3"/>
  <c r="BP121" i="3"/>
  <c r="BR121" i="3"/>
  <c r="BT121" i="3"/>
  <c r="BA122" i="3"/>
  <c r="BN122" i="3"/>
  <c r="BP122" i="3"/>
  <c r="BR122" i="3"/>
  <c r="BT122" i="3"/>
  <c r="BN123" i="3"/>
  <c r="BP123" i="3"/>
  <c r="BR123" i="3"/>
  <c r="BT123" i="3"/>
  <c r="BL123" i="3"/>
  <c r="BN124" i="3"/>
  <c r="BP124" i="3"/>
  <c r="BL124" i="3" s="1"/>
  <c r="BR124" i="3"/>
  <c r="BT124" i="3"/>
  <c r="BN125" i="3"/>
  <c r="BP125" i="3"/>
  <c r="BL125" i="3" s="1"/>
  <c r="BR125" i="3"/>
  <c r="BT125" i="3"/>
  <c r="BA126" i="3"/>
  <c r="BN126" i="3"/>
  <c r="BP126" i="3"/>
  <c r="BR126" i="3"/>
  <c r="BT126" i="3"/>
  <c r="BN127" i="3"/>
  <c r="BP127" i="3"/>
  <c r="BR127" i="3"/>
  <c r="BT127" i="3"/>
  <c r="BN128" i="3"/>
  <c r="BP128" i="3"/>
  <c r="BL128" i="3" s="1"/>
  <c r="BR128" i="3"/>
  <c r="BT128" i="3"/>
  <c r="BN129" i="3"/>
  <c r="BP129" i="3"/>
  <c r="BR129" i="3"/>
  <c r="BT129" i="3"/>
  <c r="BA130" i="3"/>
  <c r="BN130" i="3"/>
  <c r="BP130" i="3"/>
  <c r="BR130" i="3"/>
  <c r="BT130" i="3"/>
  <c r="BN131" i="3"/>
  <c r="BP131" i="3"/>
  <c r="BR131" i="3"/>
  <c r="BT131" i="3"/>
  <c r="BL131" i="3"/>
  <c r="BN132" i="3"/>
  <c r="BP132" i="3"/>
  <c r="BR132" i="3"/>
  <c r="BL132" i="3" s="1"/>
  <c r="BT132" i="3"/>
  <c r="BN133" i="3"/>
  <c r="BP133" i="3"/>
  <c r="BL133" i="3" s="1"/>
  <c r="BR133" i="3"/>
  <c r="BT133" i="3"/>
  <c r="BA134" i="3"/>
  <c r="BN134" i="3"/>
  <c r="BP134" i="3"/>
  <c r="BR134" i="3"/>
  <c r="BT134" i="3"/>
  <c r="BN135" i="3"/>
  <c r="BP135" i="3"/>
  <c r="BR135" i="3"/>
  <c r="BT135" i="3"/>
  <c r="BL135" i="3"/>
  <c r="BN136" i="3"/>
  <c r="BP136" i="3"/>
  <c r="BR136" i="3"/>
  <c r="BT136" i="3"/>
  <c r="BN137" i="3"/>
  <c r="BP137" i="3"/>
  <c r="BR137" i="3"/>
  <c r="BT137" i="3"/>
  <c r="BA138" i="3"/>
  <c r="BN138" i="3"/>
  <c r="BP138" i="3"/>
  <c r="BR138" i="3"/>
  <c r="BT138" i="3"/>
  <c r="BN139" i="3"/>
  <c r="BP139" i="3"/>
  <c r="BR139" i="3"/>
  <c r="BT139" i="3"/>
  <c r="BL139" i="3"/>
  <c r="BN140" i="3"/>
  <c r="BP140" i="3"/>
  <c r="BR140" i="3"/>
  <c r="BT140" i="3"/>
  <c r="BL140" i="3"/>
  <c r="BN141" i="3"/>
  <c r="BP141" i="3"/>
  <c r="BR141" i="3"/>
  <c r="BT141" i="3"/>
  <c r="BA142" i="3"/>
  <c r="BN142" i="3"/>
  <c r="BP142" i="3"/>
  <c r="BR142" i="3"/>
  <c r="BT142" i="3"/>
  <c r="BN143" i="3"/>
  <c r="BP143" i="3"/>
  <c r="BR143" i="3"/>
  <c r="BT143" i="3"/>
  <c r="BN144" i="3"/>
  <c r="BP144" i="3"/>
  <c r="BR144" i="3"/>
  <c r="BT144" i="3"/>
  <c r="BL144" i="3"/>
  <c r="BN145" i="3"/>
  <c r="BP145" i="3"/>
  <c r="BR145" i="3"/>
  <c r="BT145" i="3"/>
  <c r="BA146" i="3"/>
  <c r="BN146" i="3"/>
  <c r="BP146" i="3"/>
  <c r="BR146" i="3"/>
  <c r="BT146" i="3"/>
  <c r="BN147" i="3"/>
  <c r="BP147" i="3"/>
  <c r="BL147" i="3" s="1"/>
  <c r="BR147" i="3"/>
  <c r="BT147" i="3"/>
  <c r="BN148" i="3"/>
  <c r="BP148" i="3"/>
  <c r="BR148" i="3"/>
  <c r="BL148" i="3" s="1"/>
  <c r="BT148" i="3"/>
  <c r="BN149" i="3"/>
  <c r="BP149" i="3"/>
  <c r="BR149" i="3"/>
  <c r="BT149" i="3"/>
  <c r="BA150" i="3"/>
  <c r="BN150" i="3"/>
  <c r="BP150" i="3"/>
  <c r="BR150" i="3"/>
  <c r="BT150" i="3"/>
  <c r="BN151" i="3"/>
  <c r="BP151" i="3"/>
  <c r="BL151" i="3" s="1"/>
  <c r="BR151" i="3"/>
  <c r="BT151" i="3"/>
  <c r="BN152" i="3"/>
  <c r="BP152" i="3"/>
  <c r="BR152" i="3"/>
  <c r="BT152" i="3"/>
  <c r="BN153" i="3"/>
  <c r="BP153" i="3"/>
  <c r="BR153" i="3"/>
  <c r="BT153" i="3"/>
  <c r="BA154" i="3"/>
  <c r="BN154" i="3"/>
  <c r="BP154" i="3"/>
  <c r="BR154" i="3"/>
  <c r="BT154" i="3"/>
  <c r="BN155" i="3"/>
  <c r="BP155" i="3"/>
  <c r="BR155" i="3"/>
  <c r="BT155" i="3"/>
  <c r="BL155" i="3"/>
  <c r="BN156" i="3"/>
  <c r="BP156" i="3"/>
  <c r="BL156" i="3" s="1"/>
  <c r="BR156" i="3"/>
  <c r="BT156" i="3"/>
  <c r="BN157" i="3"/>
  <c r="BP157" i="3"/>
  <c r="BL157" i="3" s="1"/>
  <c r="BR157" i="3"/>
  <c r="BT157" i="3"/>
  <c r="BA158" i="3"/>
  <c r="BN158" i="3"/>
  <c r="BP158" i="3"/>
  <c r="BR158" i="3"/>
  <c r="BT158" i="3"/>
  <c r="BN159" i="3"/>
  <c r="BP159" i="3"/>
  <c r="BR159" i="3"/>
  <c r="BT159" i="3"/>
  <c r="BN160" i="3"/>
  <c r="BP160" i="3"/>
  <c r="BL160" i="3" s="1"/>
  <c r="BR160" i="3"/>
  <c r="BT160" i="3"/>
  <c r="BN161" i="3"/>
  <c r="BP161" i="3"/>
  <c r="BR161" i="3"/>
  <c r="BT161" i="3"/>
  <c r="BA162" i="3"/>
  <c r="BN162" i="3"/>
  <c r="BP162" i="3"/>
  <c r="BR162" i="3"/>
  <c r="BT162" i="3"/>
  <c r="BN163" i="3"/>
  <c r="BP163" i="3"/>
  <c r="BL163" i="3" s="1"/>
  <c r="BR163" i="3"/>
  <c r="BT163" i="3"/>
  <c r="BN164" i="3"/>
  <c r="BP164" i="3"/>
  <c r="BR164" i="3"/>
  <c r="BT164" i="3"/>
  <c r="BN165" i="3"/>
  <c r="BP165" i="3"/>
  <c r="BL165" i="3" s="1"/>
  <c r="BR165" i="3"/>
  <c r="BT165" i="3"/>
  <c r="BA166" i="3"/>
  <c r="BN166" i="3"/>
  <c r="BP166" i="3"/>
  <c r="BR166" i="3"/>
  <c r="BT166" i="3"/>
  <c r="BN167" i="3"/>
  <c r="BP167" i="3"/>
  <c r="BR167" i="3"/>
  <c r="BT167" i="3"/>
  <c r="BN168" i="3"/>
  <c r="BP168" i="3"/>
  <c r="BR168" i="3"/>
  <c r="BT168" i="3"/>
  <c r="BL168" i="3" s="1"/>
  <c r="BN169" i="3"/>
  <c r="BP169" i="3"/>
  <c r="BL169" i="3" s="1"/>
  <c r="BR169" i="3"/>
  <c r="BT169" i="3"/>
  <c r="BA170" i="3"/>
  <c r="BN170" i="3"/>
  <c r="BP170" i="3"/>
  <c r="BR170" i="3"/>
  <c r="BT170" i="3"/>
  <c r="BN171" i="3"/>
  <c r="BP171" i="3"/>
  <c r="BR171" i="3"/>
  <c r="BT171" i="3"/>
  <c r="BN172" i="3"/>
  <c r="BP172" i="3"/>
  <c r="BR172" i="3"/>
  <c r="BL172" i="3" s="1"/>
  <c r="BT172" i="3"/>
  <c r="BN173" i="3"/>
  <c r="BP173" i="3"/>
  <c r="BL173" i="3" s="1"/>
  <c r="BR173" i="3"/>
  <c r="BT173" i="3"/>
  <c r="BA174" i="3"/>
  <c r="BN174" i="3"/>
  <c r="BP174" i="3"/>
  <c r="BR174" i="3"/>
  <c r="BT174" i="3"/>
  <c r="BN175" i="3"/>
  <c r="BP175" i="3"/>
  <c r="BR175" i="3"/>
  <c r="BT175" i="3"/>
  <c r="BN176" i="3"/>
  <c r="BP176" i="3"/>
  <c r="BR176" i="3"/>
  <c r="BT176" i="3"/>
  <c r="BL176" i="3" s="1"/>
  <c r="BN177" i="3"/>
  <c r="BP177" i="3"/>
  <c r="BL177" i="3" s="1"/>
  <c r="BR177" i="3"/>
  <c r="BT177" i="3"/>
  <c r="BA178" i="3"/>
  <c r="BN178" i="3"/>
  <c r="BP178" i="3"/>
  <c r="BR178" i="3"/>
  <c r="BT178" i="3"/>
  <c r="BN179" i="3"/>
  <c r="BP179" i="3"/>
  <c r="BR179" i="3"/>
  <c r="BT179" i="3"/>
  <c r="BN180" i="3"/>
  <c r="BP180" i="3"/>
  <c r="BR180" i="3"/>
  <c r="BT180" i="3"/>
  <c r="BN181" i="3"/>
  <c r="BP181" i="3"/>
  <c r="BL181" i="3" s="1"/>
  <c r="BR181" i="3"/>
  <c r="BT181" i="3"/>
  <c r="BA182" i="3"/>
  <c r="BN182" i="3"/>
  <c r="BP182" i="3"/>
  <c r="BR182" i="3"/>
  <c r="BT182" i="3"/>
  <c r="BN183" i="3"/>
  <c r="BP183" i="3"/>
  <c r="BR183" i="3"/>
  <c r="BT183" i="3"/>
  <c r="BN184" i="3"/>
  <c r="BP184" i="3"/>
  <c r="BR184" i="3"/>
  <c r="BT184" i="3"/>
  <c r="BL184" i="3" s="1"/>
  <c r="BN185" i="3"/>
  <c r="BP185" i="3"/>
  <c r="BL185" i="3" s="1"/>
  <c r="BR185" i="3"/>
  <c r="BT185" i="3"/>
  <c r="BA186" i="3"/>
  <c r="BN186" i="3"/>
  <c r="BP186" i="3"/>
  <c r="BR186" i="3"/>
  <c r="BT186" i="3"/>
  <c r="BN187" i="3"/>
  <c r="BP187" i="3"/>
  <c r="BR187" i="3"/>
  <c r="BT187" i="3"/>
  <c r="BN188" i="3"/>
  <c r="BP188" i="3"/>
  <c r="BR188" i="3"/>
  <c r="BL188" i="3" s="1"/>
  <c r="BT188" i="3"/>
  <c r="BN189" i="3"/>
  <c r="BP189" i="3"/>
  <c r="BL189" i="3" s="1"/>
  <c r="BR189" i="3"/>
  <c r="BT189" i="3"/>
  <c r="BA190" i="3"/>
  <c r="BN190" i="3"/>
  <c r="BP190" i="3"/>
  <c r="BR190" i="3"/>
  <c r="BT190" i="3"/>
  <c r="BN191" i="3"/>
  <c r="BP191" i="3"/>
  <c r="BR191" i="3"/>
  <c r="BT191" i="3"/>
  <c r="BN192" i="3"/>
  <c r="BP192" i="3"/>
  <c r="BR192" i="3"/>
  <c r="BT192" i="3"/>
  <c r="BL192" i="3" s="1"/>
  <c r="BN193" i="3"/>
  <c r="BP193" i="3"/>
  <c r="BL193" i="3" s="1"/>
  <c r="BR193" i="3"/>
  <c r="BT193" i="3"/>
  <c r="BA194" i="3"/>
  <c r="BN194" i="3"/>
  <c r="BP194" i="3"/>
  <c r="BR194" i="3"/>
  <c r="BT194" i="3"/>
  <c r="BN195" i="3"/>
  <c r="BP195" i="3"/>
  <c r="BR195" i="3"/>
  <c r="BT195" i="3"/>
  <c r="BN196" i="3"/>
  <c r="BP196" i="3"/>
  <c r="BR196" i="3"/>
  <c r="BT196" i="3"/>
  <c r="BN197" i="3"/>
  <c r="BP197" i="3"/>
  <c r="BL197" i="3" s="1"/>
  <c r="BR197" i="3"/>
  <c r="BT197" i="3"/>
  <c r="BA198" i="3"/>
  <c r="BN198" i="3"/>
  <c r="BP198" i="3"/>
  <c r="BR198" i="3"/>
  <c r="BT198" i="3"/>
  <c r="BN199" i="3"/>
  <c r="BP199" i="3"/>
  <c r="BR199" i="3"/>
  <c r="BT199" i="3"/>
  <c r="BN200" i="3"/>
  <c r="BP200" i="3"/>
  <c r="BR200" i="3"/>
  <c r="BT200" i="3"/>
  <c r="BL200" i="3" s="1"/>
  <c r="BN201" i="3"/>
  <c r="BP201" i="3"/>
  <c r="BL201" i="3" s="1"/>
  <c r="BR201" i="3"/>
  <c r="BT201" i="3"/>
  <c r="BA202" i="3"/>
  <c r="BN202" i="3"/>
  <c r="BP202" i="3"/>
  <c r="BR202" i="3"/>
  <c r="BT202" i="3"/>
  <c r="BN203" i="3"/>
  <c r="BP203" i="3"/>
  <c r="BR203" i="3"/>
  <c r="BT203" i="3"/>
  <c r="BN204" i="3"/>
  <c r="BP204" i="3"/>
  <c r="BR204" i="3"/>
  <c r="BL204" i="3" s="1"/>
  <c r="BT204" i="3"/>
  <c r="BN205" i="3"/>
  <c r="BP205" i="3"/>
  <c r="BL205" i="3" s="1"/>
  <c r="BR205" i="3"/>
  <c r="BT205" i="3"/>
  <c r="BA206" i="3"/>
  <c r="BN206" i="3"/>
  <c r="BP206" i="3"/>
  <c r="BR206" i="3"/>
  <c r="BT206" i="3"/>
  <c r="BN207" i="3"/>
  <c r="BP207" i="3"/>
  <c r="BR207" i="3"/>
  <c r="BT207" i="3"/>
  <c r="BN208" i="3"/>
  <c r="BP208" i="3"/>
  <c r="BR208" i="3"/>
  <c r="BT208" i="3"/>
  <c r="BL208" i="3" s="1"/>
  <c r="BN209" i="3"/>
  <c r="BP209" i="3"/>
  <c r="BL209" i="3" s="1"/>
  <c r="BR209" i="3"/>
  <c r="BT209" i="3"/>
  <c r="BA210" i="3"/>
  <c r="BN210" i="3"/>
  <c r="BP210" i="3"/>
  <c r="BR210" i="3"/>
  <c r="BT210" i="3"/>
  <c r="BN211" i="3"/>
  <c r="BP211" i="3"/>
  <c r="BR211" i="3"/>
  <c r="BT211" i="3"/>
  <c r="BA212" i="3"/>
  <c r="BN212" i="3"/>
  <c r="BP212" i="3"/>
  <c r="BR212" i="3"/>
  <c r="BT212" i="3"/>
  <c r="BN213" i="3"/>
  <c r="BP213" i="3"/>
  <c r="BL213" i="3" s="1"/>
  <c r="BR213" i="3"/>
  <c r="BT213" i="3"/>
  <c r="BA214" i="3"/>
  <c r="BN214" i="3"/>
  <c r="BP214" i="3"/>
  <c r="BR214" i="3"/>
  <c r="BT214" i="3"/>
  <c r="BN215" i="3"/>
  <c r="BP215" i="3"/>
  <c r="BR215" i="3"/>
  <c r="BT215" i="3"/>
  <c r="BN216" i="3"/>
  <c r="BP216" i="3"/>
  <c r="BR216" i="3"/>
  <c r="BT216" i="3"/>
  <c r="BL216" i="3" s="1"/>
  <c r="BN217" i="3"/>
  <c r="BP217" i="3"/>
  <c r="BL217" i="3" s="1"/>
  <c r="BR217" i="3"/>
  <c r="BT217" i="3"/>
  <c r="BA218" i="3"/>
  <c r="BN218" i="3"/>
  <c r="BP218" i="3"/>
  <c r="BR218" i="3"/>
  <c r="BT218" i="3"/>
  <c r="BN219" i="3"/>
  <c r="BP219" i="3"/>
  <c r="BR219" i="3"/>
  <c r="BT219" i="3"/>
  <c r="BN220" i="3"/>
  <c r="BP220" i="3"/>
  <c r="BR220" i="3"/>
  <c r="BL220" i="3" s="1"/>
  <c r="BT220" i="3"/>
  <c r="BN221" i="3"/>
  <c r="BP221" i="3"/>
  <c r="BL221" i="3" s="1"/>
  <c r="BR221" i="3"/>
  <c r="BT221" i="3"/>
  <c r="BA222" i="3"/>
  <c r="BN222" i="3"/>
  <c r="BP222" i="3"/>
  <c r="BR222" i="3"/>
  <c r="BT222" i="3"/>
  <c r="BN223" i="3"/>
  <c r="BP223" i="3"/>
  <c r="BR223" i="3"/>
  <c r="BT223" i="3"/>
  <c r="BN224" i="3"/>
  <c r="BP224" i="3"/>
  <c r="BR224" i="3"/>
  <c r="BT224" i="3"/>
  <c r="BL224" i="3" s="1"/>
  <c r="BN225" i="3"/>
  <c r="BP225" i="3"/>
  <c r="BL225" i="3" s="1"/>
  <c r="BR225" i="3"/>
  <c r="BT225" i="3"/>
  <c r="BA226" i="3"/>
  <c r="BN226" i="3"/>
  <c r="BP226" i="3"/>
  <c r="BR226" i="3"/>
  <c r="BT226" i="3"/>
  <c r="BN227" i="3"/>
  <c r="BP227" i="3"/>
  <c r="BR227" i="3"/>
  <c r="BT227" i="3"/>
  <c r="BN228" i="3"/>
  <c r="BP228" i="3"/>
  <c r="BR228" i="3"/>
  <c r="BT228" i="3"/>
  <c r="BN229" i="3"/>
  <c r="BP229" i="3"/>
  <c r="BL229" i="3" s="1"/>
  <c r="BR229" i="3"/>
  <c r="BT229" i="3"/>
  <c r="BA230" i="3"/>
  <c r="BN230" i="3"/>
  <c r="BP230" i="3"/>
  <c r="BR230" i="3"/>
  <c r="BT230" i="3"/>
  <c r="BN231" i="3"/>
  <c r="BP231" i="3"/>
  <c r="BR231" i="3"/>
  <c r="BT231" i="3"/>
  <c r="BN232" i="3"/>
  <c r="BP232" i="3"/>
  <c r="BR232" i="3"/>
  <c r="BT232" i="3"/>
  <c r="BL232" i="3" s="1"/>
  <c r="BN233" i="3"/>
  <c r="BP233" i="3"/>
  <c r="BL233" i="3" s="1"/>
  <c r="BR233" i="3"/>
  <c r="BT233" i="3"/>
  <c r="BA234" i="3"/>
  <c r="BN234" i="3"/>
  <c r="BP234" i="3"/>
  <c r="BR234" i="3"/>
  <c r="BT234" i="3"/>
  <c r="BN235" i="3"/>
  <c r="BP235" i="3"/>
  <c r="BR235" i="3"/>
  <c r="BT235" i="3"/>
  <c r="BN236" i="3"/>
  <c r="BP236" i="3"/>
  <c r="BR236" i="3"/>
  <c r="BL236" i="3" s="1"/>
  <c r="BT236" i="3"/>
  <c r="BN237" i="3"/>
  <c r="BP237" i="3"/>
  <c r="BL237" i="3" s="1"/>
  <c r="BR237" i="3"/>
  <c r="BT237" i="3"/>
  <c r="BA238" i="3"/>
  <c r="BN238" i="3"/>
  <c r="BP238" i="3"/>
  <c r="BR238" i="3"/>
  <c r="BT238" i="3"/>
  <c r="BN239" i="3"/>
  <c r="BP239" i="3"/>
  <c r="BR239" i="3"/>
  <c r="BT239" i="3"/>
  <c r="BN240" i="3"/>
  <c r="BP240" i="3"/>
  <c r="BR240" i="3"/>
  <c r="BT240" i="3"/>
  <c r="BL240" i="3" s="1"/>
  <c r="BN241" i="3"/>
  <c r="BP241" i="3"/>
  <c r="BL241" i="3" s="1"/>
  <c r="BR241" i="3"/>
  <c r="BT241" i="3"/>
  <c r="BA242" i="3"/>
  <c r="BN242" i="3"/>
  <c r="BP242" i="3"/>
  <c r="BR242" i="3"/>
  <c r="BT242" i="3"/>
  <c r="BN243" i="3"/>
  <c r="BP243" i="3"/>
  <c r="BR243" i="3"/>
  <c r="BT243" i="3"/>
  <c r="BN244" i="3"/>
  <c r="BP244" i="3"/>
  <c r="BR244" i="3"/>
  <c r="BT244" i="3"/>
  <c r="BN245" i="3"/>
  <c r="BP245" i="3"/>
  <c r="BL245" i="3" s="1"/>
  <c r="BR245" i="3"/>
  <c r="BT245" i="3"/>
  <c r="BA246" i="3"/>
  <c r="BN246" i="3"/>
  <c r="BP246" i="3"/>
  <c r="BR246" i="3"/>
  <c r="BT246" i="3"/>
  <c r="BN247" i="3"/>
  <c r="BP247" i="3"/>
  <c r="BR247" i="3"/>
  <c r="BT247" i="3"/>
  <c r="BN248" i="3"/>
  <c r="BP248" i="3"/>
  <c r="BR248" i="3"/>
  <c r="BT248" i="3"/>
  <c r="BL248" i="3" s="1"/>
  <c r="BN249" i="3"/>
  <c r="BP249" i="3"/>
  <c r="BL249" i="3" s="1"/>
  <c r="BR249" i="3"/>
  <c r="BT249" i="3"/>
  <c r="BA250" i="3"/>
  <c r="BN250" i="3"/>
  <c r="BP250" i="3"/>
  <c r="BR250" i="3"/>
  <c r="BT250" i="3"/>
  <c r="BN251" i="3"/>
  <c r="BP251" i="3"/>
  <c r="BR251" i="3"/>
  <c r="BT251" i="3"/>
  <c r="BN252" i="3"/>
  <c r="BP252" i="3"/>
  <c r="BR252" i="3"/>
  <c r="BL252" i="3" s="1"/>
  <c r="BT252" i="3"/>
  <c r="BN253" i="3"/>
  <c r="BP253" i="3"/>
  <c r="BL253" i="3" s="1"/>
  <c r="BR253" i="3"/>
  <c r="BT253" i="3"/>
  <c r="BA254" i="3"/>
  <c r="BN254" i="3"/>
  <c r="BP254" i="3"/>
  <c r="BR254" i="3"/>
  <c r="BT254" i="3"/>
  <c r="BN255" i="3"/>
  <c r="BP255" i="3"/>
  <c r="BR255" i="3"/>
  <c r="BT255" i="3"/>
  <c r="BN256" i="3"/>
  <c r="BP256" i="3"/>
  <c r="BR256" i="3"/>
  <c r="BT256" i="3"/>
  <c r="BL256" i="3" s="1"/>
  <c r="BN257" i="3"/>
  <c r="BP257" i="3"/>
  <c r="BL257" i="3" s="1"/>
  <c r="BR257" i="3"/>
  <c r="BT257" i="3"/>
  <c r="BA258" i="3"/>
  <c r="BN258" i="3"/>
  <c r="BP258" i="3"/>
  <c r="BR258" i="3"/>
  <c r="BT258" i="3"/>
  <c r="BN259" i="3"/>
  <c r="BP259" i="3"/>
  <c r="BR259" i="3"/>
  <c r="BT259" i="3"/>
  <c r="BN260" i="3"/>
  <c r="BP260" i="3"/>
  <c r="BR260" i="3"/>
  <c r="BT260" i="3"/>
  <c r="BN261" i="3"/>
  <c r="BP261" i="3"/>
  <c r="BL261" i="3" s="1"/>
  <c r="BR261" i="3"/>
  <c r="BT261" i="3"/>
  <c r="BA262" i="3"/>
  <c r="BN262" i="3"/>
  <c r="BP262" i="3"/>
  <c r="BR262" i="3"/>
  <c r="BT262" i="3"/>
  <c r="BN263" i="3"/>
  <c r="BP263" i="3"/>
  <c r="BR263" i="3"/>
  <c r="BT263" i="3"/>
  <c r="BN264" i="3"/>
  <c r="BP264" i="3"/>
  <c r="BR264" i="3"/>
  <c r="BT264" i="3"/>
  <c r="BL264" i="3" s="1"/>
  <c r="BN265" i="3"/>
  <c r="BP265" i="3"/>
  <c r="BL265" i="3" s="1"/>
  <c r="BR265" i="3"/>
  <c r="BT265" i="3"/>
  <c r="BA266" i="3"/>
  <c r="BN266" i="3"/>
  <c r="BP266" i="3"/>
  <c r="BR266" i="3"/>
  <c r="BT266" i="3"/>
  <c r="BN267" i="3"/>
  <c r="BP267" i="3"/>
  <c r="BR267" i="3"/>
  <c r="BT267" i="3"/>
  <c r="BN268" i="3"/>
  <c r="BP268" i="3"/>
  <c r="BR268" i="3"/>
  <c r="BL268" i="3" s="1"/>
  <c r="BT268" i="3"/>
  <c r="BN269" i="3"/>
  <c r="BP269" i="3"/>
  <c r="BL269" i="3" s="1"/>
  <c r="BR269" i="3"/>
  <c r="BT269" i="3"/>
  <c r="BA270" i="3"/>
  <c r="BN270" i="3"/>
  <c r="BP270" i="3"/>
  <c r="BR270" i="3"/>
  <c r="BT270" i="3"/>
  <c r="BN271" i="3"/>
  <c r="BP271" i="3"/>
  <c r="BR271" i="3"/>
  <c r="BT271" i="3"/>
  <c r="BN272" i="3"/>
  <c r="BP272" i="3"/>
  <c r="BR272" i="3"/>
  <c r="BT272" i="3"/>
  <c r="BL272" i="3" s="1"/>
  <c r="BN273" i="3"/>
  <c r="BP273" i="3"/>
  <c r="BL273" i="3" s="1"/>
  <c r="BR273" i="3"/>
  <c r="BT273" i="3"/>
  <c r="BA274" i="3"/>
  <c r="BN274" i="3"/>
  <c r="BP274" i="3"/>
  <c r="BR274" i="3"/>
  <c r="BT274" i="3"/>
  <c r="BN275" i="3"/>
  <c r="BP275" i="3"/>
  <c r="BR275" i="3"/>
  <c r="BT275" i="3"/>
  <c r="BA276" i="3"/>
  <c r="BN276" i="3"/>
  <c r="BP276" i="3"/>
  <c r="BR276" i="3"/>
  <c r="BT276" i="3"/>
  <c r="BN277" i="3"/>
  <c r="BP277" i="3"/>
  <c r="BL277" i="3" s="1"/>
  <c r="BR277" i="3"/>
  <c r="BT277" i="3"/>
  <c r="BA278" i="3"/>
  <c r="BN278" i="3"/>
  <c r="BP278" i="3"/>
  <c r="BR278" i="3"/>
  <c r="BT278" i="3"/>
  <c r="BN279" i="3"/>
  <c r="BP279" i="3"/>
  <c r="BR279" i="3"/>
  <c r="BT279" i="3"/>
  <c r="BN280" i="3"/>
  <c r="BP280" i="3"/>
  <c r="BR280" i="3"/>
  <c r="BT280" i="3"/>
  <c r="BL280" i="3" s="1"/>
  <c r="BN281" i="3"/>
  <c r="BP281" i="3"/>
  <c r="BL281" i="3" s="1"/>
  <c r="BR281" i="3"/>
  <c r="BT281" i="3"/>
  <c r="BA282" i="3"/>
  <c r="BN282" i="3"/>
  <c r="BP282" i="3"/>
  <c r="BR282" i="3"/>
  <c r="BT282" i="3"/>
  <c r="BN283" i="3"/>
  <c r="BP283" i="3"/>
  <c r="BR283" i="3"/>
  <c r="BT283" i="3"/>
  <c r="BN284" i="3"/>
  <c r="BP284" i="3"/>
  <c r="BR284" i="3"/>
  <c r="BL284" i="3" s="1"/>
  <c r="BT284" i="3"/>
  <c r="BN285" i="3"/>
  <c r="BP285" i="3"/>
  <c r="BL285" i="3" s="1"/>
  <c r="BR285" i="3"/>
  <c r="BT285" i="3"/>
  <c r="BA286" i="3"/>
  <c r="BN286" i="3"/>
  <c r="BP286" i="3"/>
  <c r="BR286" i="3"/>
  <c r="BT286" i="3"/>
  <c r="BN287" i="3"/>
  <c r="BP287" i="3"/>
  <c r="BR287" i="3"/>
  <c r="BT287" i="3"/>
  <c r="BN288" i="3"/>
  <c r="BP288" i="3"/>
  <c r="BR288" i="3"/>
  <c r="BT288" i="3"/>
  <c r="BL288" i="3" s="1"/>
  <c r="BN289" i="3"/>
  <c r="BP289" i="3"/>
  <c r="BL289" i="3" s="1"/>
  <c r="BR289" i="3"/>
  <c r="BT289" i="3"/>
  <c r="BA290" i="3"/>
  <c r="BN290" i="3"/>
  <c r="BP290" i="3"/>
  <c r="BR290" i="3"/>
  <c r="BT290" i="3"/>
  <c r="BN291" i="3"/>
  <c r="BP291" i="3"/>
  <c r="BR291" i="3"/>
  <c r="BT291" i="3"/>
  <c r="BN292" i="3"/>
  <c r="BP292" i="3"/>
  <c r="BR292" i="3"/>
  <c r="BT292" i="3"/>
  <c r="BN293" i="3"/>
  <c r="BP293" i="3"/>
  <c r="BL293" i="3" s="1"/>
  <c r="BR293" i="3"/>
  <c r="BT293" i="3"/>
  <c r="BA294" i="3"/>
  <c r="BN294" i="3"/>
  <c r="BP294" i="3"/>
  <c r="BR294" i="3"/>
  <c r="BT294" i="3"/>
  <c r="BN295" i="3"/>
  <c r="BP295" i="3"/>
  <c r="BR295" i="3"/>
  <c r="BT295" i="3"/>
  <c r="BN296" i="3"/>
  <c r="BP296" i="3"/>
  <c r="BR296" i="3"/>
  <c r="BT296" i="3"/>
  <c r="BL296" i="3" s="1"/>
  <c r="BN297" i="3"/>
  <c r="BP297" i="3"/>
  <c r="BL297" i="3" s="1"/>
  <c r="BR297" i="3"/>
  <c r="BT297" i="3"/>
  <c r="BA298" i="3"/>
  <c r="BN298" i="3"/>
  <c r="BP298" i="3"/>
  <c r="BR298" i="3"/>
  <c r="BT298" i="3"/>
  <c r="BN299" i="3"/>
  <c r="BP299" i="3"/>
  <c r="BR299" i="3"/>
  <c r="BT299" i="3"/>
  <c r="BN300" i="3"/>
  <c r="BP300" i="3"/>
  <c r="BR300" i="3"/>
  <c r="BL300" i="3" s="1"/>
  <c r="BT300" i="3"/>
  <c r="BN301" i="3"/>
  <c r="BP301" i="3"/>
  <c r="BL301" i="3" s="1"/>
  <c r="BR301" i="3"/>
  <c r="BT301" i="3"/>
  <c r="BA302" i="3"/>
  <c r="BN302" i="3"/>
  <c r="BP302" i="3"/>
  <c r="BR302" i="3"/>
  <c r="BT302" i="3"/>
  <c r="BN303" i="3"/>
  <c r="BP303" i="3"/>
  <c r="BR303" i="3"/>
  <c r="BT303" i="3"/>
  <c r="BN304" i="3"/>
  <c r="BP304" i="3"/>
  <c r="BR304" i="3"/>
  <c r="BT304" i="3"/>
  <c r="BL304" i="3" s="1"/>
  <c r="BN305" i="3"/>
  <c r="BP305" i="3"/>
  <c r="BL305" i="3" s="1"/>
  <c r="BR305" i="3"/>
  <c r="BT305" i="3"/>
  <c r="BA306" i="3"/>
  <c r="BN306" i="3"/>
  <c r="BP306" i="3"/>
  <c r="BR306" i="3"/>
  <c r="BT306" i="3"/>
  <c r="BN307" i="3"/>
  <c r="BP307" i="3"/>
  <c r="BR307" i="3"/>
  <c r="BT307" i="3"/>
  <c r="BN308" i="3"/>
  <c r="BP308" i="3"/>
  <c r="BR308" i="3"/>
  <c r="BT308" i="3"/>
  <c r="BN309" i="3"/>
  <c r="BP309" i="3"/>
  <c r="BL309" i="3" s="1"/>
  <c r="BR309" i="3"/>
  <c r="BT309" i="3"/>
  <c r="BA310" i="3"/>
  <c r="BN310" i="3"/>
  <c r="BP310" i="3"/>
  <c r="BR310" i="3"/>
  <c r="BT310" i="3"/>
  <c r="BN311" i="3"/>
  <c r="BP311" i="3"/>
  <c r="BR311" i="3"/>
  <c r="BT311" i="3"/>
  <c r="BN312" i="3"/>
  <c r="BP312" i="3"/>
  <c r="BR312" i="3"/>
  <c r="BT312" i="3"/>
  <c r="BL312" i="3" s="1"/>
  <c r="BN313" i="3"/>
  <c r="BP313" i="3"/>
  <c r="BL313" i="3" s="1"/>
  <c r="BR313" i="3"/>
  <c r="BT313" i="3"/>
  <c r="BA314" i="3"/>
  <c r="BN314" i="3"/>
  <c r="BP314" i="3"/>
  <c r="BR314" i="3"/>
  <c r="BT314" i="3"/>
  <c r="BN315" i="3"/>
  <c r="BP315" i="3"/>
  <c r="BR315" i="3"/>
  <c r="BT315" i="3"/>
  <c r="BN316" i="3"/>
  <c r="BP316" i="3"/>
  <c r="BR316" i="3"/>
  <c r="BL316" i="3" s="1"/>
  <c r="BT316" i="3"/>
  <c r="BN317" i="3"/>
  <c r="BP317" i="3"/>
  <c r="BL317" i="3" s="1"/>
  <c r="BR317" i="3"/>
  <c r="BT317" i="3"/>
  <c r="BA318" i="3"/>
  <c r="BN318" i="3"/>
  <c r="BP318" i="3"/>
  <c r="BR318" i="3"/>
  <c r="BT318" i="3"/>
  <c r="BN319" i="3"/>
  <c r="BP319" i="3"/>
  <c r="BR319" i="3"/>
  <c r="BT319" i="3"/>
  <c r="BN320" i="3"/>
  <c r="BP320" i="3"/>
  <c r="BR320" i="3"/>
  <c r="BT320" i="3"/>
  <c r="BL320" i="3" s="1"/>
  <c r="BN321" i="3"/>
  <c r="BP321" i="3"/>
  <c r="BL321" i="3" s="1"/>
  <c r="BR321" i="3"/>
  <c r="BT321" i="3"/>
  <c r="BA322" i="3"/>
  <c r="BN322" i="3"/>
  <c r="BP322" i="3"/>
  <c r="BR322" i="3"/>
  <c r="BT322" i="3"/>
  <c r="BN323" i="3"/>
  <c r="BP323" i="3"/>
  <c r="BR323" i="3"/>
  <c r="BT323" i="3"/>
  <c r="BN324" i="3"/>
  <c r="BP324" i="3"/>
  <c r="BR324" i="3"/>
  <c r="BT324" i="3"/>
  <c r="BN325" i="3"/>
  <c r="BP325" i="3"/>
  <c r="BL325" i="3" s="1"/>
  <c r="BR325" i="3"/>
  <c r="BT325" i="3"/>
  <c r="BA326" i="3"/>
  <c r="BN326" i="3"/>
  <c r="BP326" i="3"/>
  <c r="BR326" i="3"/>
  <c r="BT326" i="3"/>
  <c r="BN327" i="3"/>
  <c r="BP327" i="3"/>
  <c r="BR327" i="3"/>
  <c r="BT327" i="3"/>
  <c r="BN328" i="3"/>
  <c r="BP328" i="3"/>
  <c r="BR328" i="3"/>
  <c r="BT328" i="3"/>
  <c r="BL328" i="3" s="1"/>
  <c r="BN329" i="3"/>
  <c r="BP329" i="3"/>
  <c r="BL329" i="3" s="1"/>
  <c r="BR329" i="3"/>
  <c r="BT329" i="3"/>
  <c r="BA330" i="3"/>
  <c r="BN330" i="3"/>
  <c r="BP330" i="3"/>
  <c r="BR330" i="3"/>
  <c r="BT330" i="3"/>
  <c r="BN331" i="3"/>
  <c r="BP331" i="3"/>
  <c r="BR331" i="3"/>
  <c r="BT331" i="3"/>
  <c r="BN332" i="3"/>
  <c r="BP332" i="3"/>
  <c r="BR332" i="3"/>
  <c r="BL332" i="3" s="1"/>
  <c r="BT332" i="3"/>
  <c r="BN333" i="3"/>
  <c r="BP333" i="3"/>
  <c r="BL333" i="3" s="1"/>
  <c r="BR333" i="3"/>
  <c r="BT333" i="3"/>
  <c r="BA334" i="3"/>
  <c r="BN334" i="3"/>
  <c r="BP334" i="3"/>
  <c r="BR334" i="3"/>
  <c r="BT334" i="3"/>
  <c r="BN335" i="3"/>
  <c r="BP335" i="3"/>
  <c r="BR335" i="3"/>
  <c r="BT335" i="3"/>
  <c r="BN336" i="3"/>
  <c r="BP336" i="3"/>
  <c r="BR336" i="3"/>
  <c r="BT336" i="3"/>
  <c r="BL336" i="3" s="1"/>
  <c r="BN337" i="3"/>
  <c r="BP337" i="3"/>
  <c r="BL337" i="3" s="1"/>
  <c r="BR337" i="3"/>
  <c r="BT337" i="3"/>
  <c r="BA338" i="3"/>
  <c r="BN338" i="3"/>
  <c r="BP338" i="3"/>
  <c r="BR338" i="3"/>
  <c r="BT338" i="3"/>
  <c r="BN339" i="3"/>
  <c r="BP339" i="3"/>
  <c r="BR339" i="3"/>
  <c r="BT339" i="3"/>
  <c r="BA340" i="3"/>
  <c r="BN340" i="3"/>
  <c r="BP340" i="3"/>
  <c r="BR340" i="3"/>
  <c r="BT340" i="3"/>
  <c r="BN341" i="3"/>
  <c r="BP341" i="3"/>
  <c r="BL341" i="3" s="1"/>
  <c r="BR341" i="3"/>
  <c r="BT341" i="3"/>
  <c r="BA342" i="3"/>
  <c r="BN342" i="3"/>
  <c r="BP342" i="3"/>
  <c r="BR342" i="3"/>
  <c r="BT342" i="3"/>
  <c r="BN343" i="3"/>
  <c r="BP343" i="3"/>
  <c r="BR343" i="3"/>
  <c r="BT343" i="3"/>
  <c r="BN344" i="3"/>
  <c r="BP344" i="3"/>
  <c r="BR344" i="3"/>
  <c r="BT344" i="3"/>
  <c r="BL344" i="3" s="1"/>
  <c r="BN345" i="3"/>
  <c r="BP345" i="3"/>
  <c r="BL345" i="3" s="1"/>
  <c r="BR345" i="3"/>
  <c r="BT345" i="3"/>
  <c r="BA346" i="3"/>
  <c r="BN346" i="3"/>
  <c r="BP346" i="3"/>
  <c r="BR346" i="3"/>
  <c r="BT346" i="3"/>
  <c r="BN347" i="3"/>
  <c r="BP347" i="3"/>
  <c r="BR347" i="3"/>
  <c r="BT347" i="3"/>
  <c r="BN348" i="3"/>
  <c r="BP348" i="3"/>
  <c r="BR348" i="3"/>
  <c r="BL348" i="3" s="1"/>
  <c r="BT348" i="3"/>
  <c r="BN349" i="3"/>
  <c r="BP349" i="3"/>
  <c r="BL349" i="3" s="1"/>
  <c r="BR349" i="3"/>
  <c r="BT349" i="3"/>
  <c r="BA350" i="3"/>
  <c r="BN350" i="3"/>
  <c r="BP350" i="3"/>
  <c r="BR350" i="3"/>
  <c r="BT350" i="3"/>
  <c r="BN351" i="3"/>
  <c r="BP351" i="3"/>
  <c r="BR351" i="3"/>
  <c r="BT351" i="3"/>
  <c r="BN352" i="3"/>
  <c r="BP352" i="3"/>
  <c r="BR352" i="3"/>
  <c r="BT352" i="3"/>
  <c r="BL352" i="3" s="1"/>
  <c r="BN353" i="3"/>
  <c r="BP353" i="3"/>
  <c r="BL353" i="3" s="1"/>
  <c r="BR353" i="3"/>
  <c r="BT353" i="3"/>
  <c r="BA354" i="3"/>
  <c r="BN354" i="3"/>
  <c r="BP354" i="3"/>
  <c r="BR354" i="3"/>
  <c r="BT354" i="3"/>
  <c r="BN355" i="3"/>
  <c r="BP355" i="3"/>
  <c r="BR355" i="3"/>
  <c r="BT355" i="3"/>
  <c r="BN356" i="3"/>
  <c r="BP356" i="3"/>
  <c r="BR356" i="3"/>
  <c r="BT356" i="3"/>
  <c r="BN357" i="3"/>
  <c r="BP357" i="3"/>
  <c r="BL357" i="3" s="1"/>
  <c r="BR357" i="3"/>
  <c r="BT357" i="3"/>
  <c r="BA358" i="3"/>
  <c r="BN358" i="3"/>
  <c r="BP358" i="3"/>
  <c r="BR358" i="3"/>
  <c r="BT358" i="3"/>
  <c r="BN359" i="3"/>
  <c r="BP359" i="3"/>
  <c r="BR359" i="3"/>
  <c r="BT359" i="3"/>
  <c r="BN360" i="3"/>
  <c r="BP360" i="3"/>
  <c r="BR360" i="3"/>
  <c r="BT360" i="3"/>
  <c r="BL360" i="3" s="1"/>
  <c r="BN361" i="3"/>
  <c r="BP361" i="3"/>
  <c r="BL361" i="3" s="1"/>
  <c r="BR361" i="3"/>
  <c r="BT361" i="3"/>
  <c r="BA362" i="3"/>
  <c r="BN362" i="3"/>
  <c r="BP362" i="3"/>
  <c r="BR362" i="3"/>
  <c r="BT362" i="3"/>
  <c r="BN363" i="3"/>
  <c r="BP363" i="3"/>
  <c r="BR363" i="3"/>
  <c r="BT363" i="3"/>
  <c r="BN364" i="3"/>
  <c r="BP364" i="3"/>
  <c r="BR364" i="3"/>
  <c r="BL364" i="3" s="1"/>
  <c r="BT364" i="3"/>
  <c r="BN365" i="3"/>
  <c r="BP365" i="3"/>
  <c r="BL365" i="3" s="1"/>
  <c r="BR365" i="3"/>
  <c r="BT365" i="3"/>
  <c r="BA366" i="3"/>
  <c r="BN366" i="3"/>
  <c r="BP366" i="3"/>
  <c r="BR366" i="3"/>
  <c r="BT366" i="3"/>
  <c r="BN367" i="3"/>
  <c r="BP367" i="3"/>
  <c r="BR367" i="3"/>
  <c r="BT367" i="3"/>
  <c r="BN368" i="3"/>
  <c r="BP368" i="3"/>
  <c r="BR368" i="3"/>
  <c r="BT368" i="3"/>
  <c r="BL368" i="3" s="1"/>
  <c r="BN369" i="3"/>
  <c r="BP369" i="3"/>
  <c r="BL369" i="3" s="1"/>
  <c r="BR369" i="3"/>
  <c r="BT369" i="3"/>
  <c r="BA370" i="3"/>
  <c r="BN370" i="3"/>
  <c r="BP370" i="3"/>
  <c r="BR370" i="3"/>
  <c r="BT370" i="3"/>
  <c r="BN371" i="3"/>
  <c r="BP371" i="3"/>
  <c r="BL371" i="3" s="1"/>
  <c r="BR371" i="3"/>
  <c r="BT371" i="3"/>
  <c r="BN372" i="3"/>
  <c r="BP372" i="3"/>
  <c r="BR372" i="3"/>
  <c r="BT372" i="3"/>
  <c r="BN373" i="3"/>
  <c r="BP373" i="3"/>
  <c r="BR373" i="3"/>
  <c r="BT373" i="3"/>
  <c r="BA374" i="3"/>
  <c r="BN374" i="3"/>
  <c r="BP374" i="3"/>
  <c r="BR374" i="3"/>
  <c r="BT374" i="3"/>
  <c r="BN375" i="3"/>
  <c r="BP375" i="3"/>
  <c r="BR375" i="3"/>
  <c r="BT375" i="3"/>
  <c r="BL375" i="3"/>
  <c r="BN376" i="3"/>
  <c r="BP376" i="3"/>
  <c r="BR376" i="3"/>
  <c r="BT376" i="3"/>
  <c r="BL376" i="3"/>
  <c r="BN377" i="3"/>
  <c r="BP377" i="3"/>
  <c r="BL377" i="3" s="1"/>
  <c r="BR377" i="3"/>
  <c r="BT377" i="3"/>
  <c r="BA378" i="3"/>
  <c r="BN378" i="3"/>
  <c r="BP378" i="3"/>
  <c r="BR378" i="3"/>
  <c r="BT378" i="3"/>
  <c r="BN379" i="3"/>
  <c r="BP379" i="3"/>
  <c r="BL379" i="3" s="1"/>
  <c r="BR379" i="3"/>
  <c r="BT379" i="3"/>
  <c r="BN380" i="3"/>
  <c r="BP380" i="3"/>
  <c r="BL380" i="3" s="1"/>
  <c r="BR380" i="3"/>
  <c r="BT380" i="3"/>
  <c r="BN381" i="3"/>
  <c r="BP381" i="3"/>
  <c r="BR381" i="3"/>
  <c r="BT381" i="3"/>
  <c r="BA382" i="3"/>
  <c r="BN382" i="3"/>
  <c r="BP382" i="3"/>
  <c r="BR382" i="3"/>
  <c r="BT382" i="3"/>
  <c r="BN383" i="3"/>
  <c r="BP383" i="3"/>
  <c r="BR383" i="3"/>
  <c r="BT383" i="3"/>
  <c r="BL383" i="3"/>
  <c r="BN384" i="3"/>
  <c r="BP384" i="3"/>
  <c r="BR384" i="3"/>
  <c r="BL384" i="3" s="1"/>
  <c r="BT384" i="3"/>
  <c r="BN385" i="3"/>
  <c r="BP385" i="3"/>
  <c r="BR385" i="3"/>
  <c r="BT385" i="3"/>
  <c r="BA386" i="3"/>
  <c r="BN386" i="3"/>
  <c r="BP386" i="3"/>
  <c r="BR386" i="3"/>
  <c r="BT386" i="3"/>
  <c r="BN387" i="3"/>
  <c r="BP387" i="3"/>
  <c r="BL387" i="3" s="1"/>
  <c r="BR387" i="3"/>
  <c r="BT387" i="3"/>
  <c r="BN388" i="3"/>
  <c r="BP388" i="3"/>
  <c r="BR388" i="3"/>
  <c r="BT388" i="3"/>
  <c r="BN389" i="3"/>
  <c r="BP389" i="3"/>
  <c r="BR389" i="3"/>
  <c r="BT389" i="3"/>
  <c r="BA390" i="3"/>
  <c r="BN390" i="3"/>
  <c r="BP390" i="3"/>
  <c r="BR390" i="3"/>
  <c r="BT390" i="3"/>
  <c r="BN391" i="3"/>
  <c r="BP391" i="3"/>
  <c r="BR391" i="3"/>
  <c r="BT391" i="3"/>
  <c r="BL391" i="3"/>
  <c r="BN392" i="3"/>
  <c r="BP392" i="3"/>
  <c r="BR392" i="3"/>
  <c r="BT392" i="3"/>
  <c r="BL392" i="3"/>
  <c r="BN393" i="3"/>
  <c r="BP393" i="3"/>
  <c r="BL393" i="3" s="1"/>
  <c r="BR393" i="3"/>
  <c r="BT393" i="3"/>
  <c r="BA394" i="3"/>
  <c r="BN394" i="3"/>
  <c r="BP394" i="3"/>
  <c r="BR394" i="3"/>
  <c r="BT394" i="3"/>
  <c r="BN395" i="3"/>
  <c r="BP395" i="3"/>
  <c r="BL395" i="3" s="1"/>
  <c r="BR395" i="3"/>
  <c r="BT395" i="3"/>
  <c r="BN396" i="3"/>
  <c r="BP396" i="3"/>
  <c r="BL396" i="3" s="1"/>
  <c r="BR396" i="3"/>
  <c r="BT396" i="3"/>
  <c r="BN397" i="3"/>
  <c r="BP397" i="3"/>
  <c r="BR397" i="3"/>
  <c r="BT397" i="3"/>
  <c r="BA398" i="3"/>
  <c r="BN398" i="3"/>
  <c r="BP398" i="3"/>
  <c r="BR398" i="3"/>
  <c r="BT398" i="3"/>
  <c r="BN399" i="3"/>
  <c r="BP399" i="3"/>
  <c r="BR399" i="3"/>
  <c r="BT399" i="3"/>
  <c r="BL399" i="3"/>
  <c r="BN400" i="3"/>
  <c r="BP400" i="3"/>
  <c r="BR400" i="3"/>
  <c r="BL400" i="3" s="1"/>
  <c r="BT400" i="3"/>
  <c r="BN401" i="3"/>
  <c r="BP401" i="3"/>
  <c r="BR401" i="3"/>
  <c r="BT401" i="3"/>
  <c r="BA402" i="3"/>
  <c r="BN402" i="3"/>
  <c r="BP402" i="3"/>
  <c r="BR402" i="3"/>
  <c r="BT402" i="3"/>
  <c r="BN403" i="3"/>
  <c r="BP403" i="3"/>
  <c r="BL403" i="3" s="1"/>
  <c r="BR403" i="3"/>
  <c r="BT403" i="3"/>
  <c r="BN404" i="3"/>
  <c r="BP404" i="3"/>
  <c r="BR404" i="3"/>
  <c r="BT404" i="3"/>
  <c r="BN405" i="3"/>
  <c r="BP405" i="3"/>
  <c r="BR405" i="3"/>
  <c r="BT405" i="3"/>
  <c r="BA406" i="3"/>
  <c r="BN406" i="3"/>
  <c r="BP406" i="3"/>
  <c r="BR406" i="3"/>
  <c r="BT406" i="3"/>
  <c r="BN407" i="3"/>
  <c r="BP407" i="3"/>
  <c r="BR407" i="3"/>
  <c r="BT407" i="3"/>
  <c r="BL407" i="3"/>
  <c r="BN408" i="3"/>
  <c r="BP408" i="3"/>
  <c r="BR408" i="3"/>
  <c r="BT408" i="3"/>
  <c r="BL408" i="3"/>
  <c r="BN409" i="3"/>
  <c r="BP409" i="3"/>
  <c r="BL409" i="3" s="1"/>
  <c r="BR409" i="3"/>
  <c r="BT409" i="3"/>
  <c r="BA410" i="3"/>
  <c r="BN410" i="3"/>
  <c r="BP410" i="3"/>
  <c r="BR410" i="3"/>
  <c r="BT410" i="3"/>
  <c r="BN411" i="3"/>
  <c r="BP411" i="3"/>
  <c r="BL411" i="3" s="1"/>
  <c r="BR411" i="3"/>
  <c r="BT411" i="3"/>
  <c r="BN412" i="3"/>
  <c r="BP412" i="3"/>
  <c r="BL412" i="3" s="1"/>
  <c r="BR412" i="3"/>
  <c r="BT412" i="3"/>
  <c r="BN413" i="3"/>
  <c r="BP413" i="3"/>
  <c r="BR413" i="3"/>
  <c r="BT413" i="3"/>
  <c r="BA414" i="3"/>
  <c r="BN414" i="3"/>
  <c r="BP414" i="3"/>
  <c r="BR414" i="3"/>
  <c r="BT414" i="3"/>
  <c r="BN415" i="3"/>
  <c r="BP415" i="3"/>
  <c r="BR415" i="3"/>
  <c r="BT415" i="3"/>
  <c r="BL415" i="3"/>
  <c r="BN416" i="3"/>
  <c r="BP416" i="3"/>
  <c r="BR416" i="3"/>
  <c r="BL416" i="3" s="1"/>
  <c r="BT416" i="3"/>
  <c r="BN417" i="3"/>
  <c r="BP417" i="3"/>
  <c r="BR417" i="3"/>
  <c r="BT417" i="3"/>
  <c r="BA418" i="3"/>
  <c r="BN418" i="3"/>
  <c r="BP418" i="3"/>
  <c r="BR418" i="3"/>
  <c r="BT418" i="3"/>
  <c r="BN419" i="3"/>
  <c r="BP419" i="3"/>
  <c r="BL419" i="3" s="1"/>
  <c r="BR419" i="3"/>
  <c r="BT419" i="3"/>
  <c r="BN420" i="3"/>
  <c r="BP420" i="3"/>
  <c r="BR420" i="3"/>
  <c r="BT420" i="3"/>
  <c r="BN421" i="3"/>
  <c r="BP421" i="3"/>
  <c r="BR421" i="3"/>
  <c r="BT421" i="3"/>
  <c r="BA422" i="3"/>
  <c r="BN422" i="3"/>
  <c r="BP422" i="3"/>
  <c r="BR422" i="3"/>
  <c r="BT422" i="3"/>
  <c r="BN423" i="3"/>
  <c r="BP423" i="3"/>
  <c r="BR423" i="3"/>
  <c r="BT423" i="3"/>
  <c r="BL423" i="3"/>
  <c r="BN424" i="3"/>
  <c r="BP424" i="3"/>
  <c r="BR424" i="3"/>
  <c r="BT424" i="3"/>
  <c r="BL424" i="3"/>
  <c r="BN425" i="3"/>
  <c r="BP425" i="3"/>
  <c r="BL425" i="3" s="1"/>
  <c r="BR425" i="3"/>
  <c r="BT425" i="3"/>
  <c r="BA426" i="3"/>
  <c r="BN426" i="3"/>
  <c r="BP426" i="3"/>
  <c r="BR426" i="3"/>
  <c r="BT426" i="3"/>
  <c r="BN427" i="3"/>
  <c r="BP427" i="3"/>
  <c r="BL427" i="3" s="1"/>
  <c r="BR427" i="3"/>
  <c r="BT427" i="3"/>
  <c r="BN428" i="3"/>
  <c r="BP428" i="3"/>
  <c r="BL428" i="3" s="1"/>
  <c r="BR428" i="3"/>
  <c r="BT428" i="3"/>
  <c r="BN429" i="3"/>
  <c r="BP429" i="3"/>
  <c r="BR429" i="3"/>
  <c r="BT429" i="3"/>
  <c r="BA430" i="3"/>
  <c r="BN430" i="3"/>
  <c r="BP430" i="3"/>
  <c r="BR430" i="3"/>
  <c r="BT430" i="3"/>
  <c r="BN431" i="3"/>
  <c r="BP431" i="3"/>
  <c r="BR431" i="3"/>
  <c r="BT431" i="3"/>
  <c r="BL431" i="3"/>
  <c r="BN432" i="3"/>
  <c r="BP432" i="3"/>
  <c r="BR432" i="3"/>
  <c r="BT432" i="3"/>
  <c r="BN433" i="3"/>
  <c r="BP433" i="3"/>
  <c r="BR433" i="3"/>
  <c r="BT433" i="3"/>
  <c r="BA434" i="3"/>
  <c r="BN434" i="3"/>
  <c r="BP434" i="3"/>
  <c r="BR434" i="3"/>
  <c r="BT434" i="3"/>
  <c r="BN435" i="3"/>
  <c r="BP435" i="3"/>
  <c r="BL435" i="3" s="1"/>
  <c r="BR435" i="3"/>
  <c r="BT435" i="3"/>
  <c r="BN436" i="3"/>
  <c r="BP436" i="3"/>
  <c r="BL436" i="3" s="1"/>
  <c r="BR436" i="3"/>
  <c r="BT436" i="3"/>
  <c r="BN437" i="3"/>
  <c r="BP437" i="3"/>
  <c r="BL437" i="3" s="1"/>
  <c r="BR437" i="3"/>
  <c r="BT437" i="3"/>
  <c r="BA438" i="3"/>
  <c r="BN438" i="3"/>
  <c r="BP438" i="3"/>
  <c r="BR438" i="3"/>
  <c r="BT438" i="3"/>
  <c r="BN439" i="3"/>
  <c r="BP439" i="3"/>
  <c r="BL439" i="3" s="1"/>
  <c r="BR439" i="3"/>
  <c r="BT439" i="3"/>
  <c r="BN440" i="3"/>
  <c r="BL440" i="3" s="1"/>
  <c r="BP440" i="3"/>
  <c r="BR440" i="3"/>
  <c r="BT440" i="3"/>
  <c r="BN441" i="3"/>
  <c r="BP441" i="3"/>
  <c r="BL441" i="3" s="1"/>
  <c r="BR441" i="3"/>
  <c r="BT441" i="3"/>
  <c r="BA442" i="3"/>
  <c r="BN442" i="3"/>
  <c r="BP442" i="3"/>
  <c r="BR442" i="3"/>
  <c r="BT442" i="3"/>
  <c r="BN443" i="3"/>
  <c r="BP443" i="3"/>
  <c r="BL443" i="3" s="1"/>
  <c r="BR443" i="3"/>
  <c r="BT443" i="3"/>
  <c r="BN444" i="3"/>
  <c r="BP444" i="3"/>
  <c r="BL444" i="3" s="1"/>
  <c r="BR444" i="3"/>
  <c r="BT444" i="3"/>
  <c r="BN445" i="3"/>
  <c r="BP445" i="3"/>
  <c r="BR445" i="3"/>
  <c r="BT445" i="3"/>
  <c r="BA446" i="3"/>
  <c r="BN446" i="3"/>
  <c r="BP446" i="3"/>
  <c r="BR446" i="3"/>
  <c r="BT446" i="3"/>
  <c r="BN447" i="3"/>
  <c r="BP447" i="3"/>
  <c r="BR447" i="3"/>
  <c r="BT447" i="3"/>
  <c r="BL447" i="3"/>
  <c r="BN448" i="3"/>
  <c r="BP448" i="3"/>
  <c r="BR448" i="3"/>
  <c r="BT448" i="3"/>
  <c r="BN449" i="3"/>
  <c r="BP449" i="3"/>
  <c r="BR449" i="3"/>
  <c r="BT449" i="3"/>
  <c r="BA450" i="3"/>
  <c r="BN450" i="3"/>
  <c r="BP450" i="3"/>
  <c r="BR450" i="3"/>
  <c r="BT450" i="3"/>
  <c r="BN451" i="3"/>
  <c r="BP451" i="3"/>
  <c r="BL451" i="3" s="1"/>
  <c r="BR451" i="3"/>
  <c r="BT451" i="3"/>
  <c r="BN452" i="3"/>
  <c r="BP452" i="3"/>
  <c r="BL452" i="3" s="1"/>
  <c r="BR452" i="3"/>
  <c r="BT452" i="3"/>
  <c r="BN453" i="3"/>
  <c r="BP453" i="3"/>
  <c r="BL453" i="3" s="1"/>
  <c r="BR453" i="3"/>
  <c r="BT453" i="3"/>
  <c r="BA454" i="3"/>
  <c r="BN454" i="3"/>
  <c r="BP454" i="3"/>
  <c r="BR454" i="3"/>
  <c r="BT454" i="3"/>
  <c r="BN455" i="3"/>
  <c r="BP455" i="3"/>
  <c r="BL455" i="3" s="1"/>
  <c r="BR455" i="3"/>
  <c r="BT455" i="3"/>
  <c r="BN456" i="3"/>
  <c r="BP456" i="3"/>
  <c r="BR456" i="3"/>
  <c r="BT456" i="3"/>
  <c r="BL456" i="3"/>
  <c r="BN457" i="3"/>
  <c r="BP457" i="3"/>
  <c r="BL457" i="3" s="1"/>
  <c r="BR457" i="3"/>
  <c r="BT457" i="3"/>
  <c r="BA458" i="3"/>
  <c r="BN458" i="3"/>
  <c r="BP458" i="3"/>
  <c r="BR458" i="3"/>
  <c r="BT458" i="3"/>
  <c r="BN459" i="3"/>
  <c r="BP459" i="3"/>
  <c r="BL459" i="3" s="1"/>
  <c r="BR459" i="3"/>
  <c r="BT459" i="3"/>
  <c r="BN460" i="3"/>
  <c r="BP460" i="3"/>
  <c r="BL460" i="3" s="1"/>
  <c r="BR460" i="3"/>
  <c r="BT460" i="3"/>
  <c r="BN461" i="3"/>
  <c r="BP461" i="3"/>
  <c r="BR461" i="3"/>
  <c r="BT461" i="3"/>
  <c r="BA462" i="3"/>
  <c r="BN462" i="3"/>
  <c r="BP462" i="3"/>
  <c r="BR462" i="3"/>
  <c r="BT462" i="3"/>
  <c r="BN463" i="3"/>
  <c r="BL463" i="3" s="1"/>
  <c r="BP463" i="3"/>
  <c r="BR463" i="3"/>
  <c r="BT463" i="3"/>
  <c r="BN464" i="3"/>
  <c r="BP464" i="3"/>
  <c r="BR464" i="3"/>
  <c r="BT464" i="3"/>
  <c r="BN465" i="3"/>
  <c r="BP465" i="3"/>
  <c r="BR465" i="3"/>
  <c r="BT465" i="3"/>
  <c r="BA466" i="3"/>
  <c r="BN466" i="3"/>
  <c r="BP466" i="3"/>
  <c r="BR466" i="3"/>
  <c r="BT466" i="3"/>
  <c r="BN467" i="3"/>
  <c r="BP467" i="3"/>
  <c r="BL467" i="3" s="1"/>
  <c r="BR467" i="3"/>
  <c r="BT467" i="3"/>
  <c r="BN468" i="3"/>
  <c r="BP468" i="3"/>
  <c r="BL468" i="3" s="1"/>
  <c r="BR468" i="3"/>
  <c r="BT468" i="3"/>
  <c r="BN469" i="3"/>
  <c r="BP469" i="3"/>
  <c r="BL469" i="3" s="1"/>
  <c r="BR469" i="3"/>
  <c r="BT469" i="3"/>
  <c r="BA470" i="3"/>
  <c r="BN470" i="3"/>
  <c r="BP470" i="3"/>
  <c r="BR470" i="3"/>
  <c r="BT470" i="3"/>
  <c r="BN471" i="3"/>
  <c r="BP471" i="3"/>
  <c r="BL471" i="3" s="1"/>
  <c r="BR471" i="3"/>
  <c r="BT471" i="3"/>
  <c r="BN472" i="3"/>
  <c r="BP472" i="3"/>
  <c r="BR472" i="3"/>
  <c r="BT472" i="3"/>
  <c r="BL472" i="3"/>
  <c r="BN473" i="3"/>
  <c r="BP473" i="3"/>
  <c r="BL473" i="3" s="1"/>
  <c r="BR473" i="3"/>
  <c r="BT473" i="3"/>
  <c r="BA474" i="3"/>
  <c r="BN474" i="3"/>
  <c r="BP474" i="3"/>
  <c r="BR474" i="3"/>
  <c r="BT474" i="3"/>
  <c r="BN475" i="3"/>
  <c r="BP475" i="3"/>
  <c r="BL475" i="3" s="1"/>
  <c r="BR475" i="3"/>
  <c r="BT475" i="3"/>
  <c r="BN476" i="3"/>
  <c r="BP476" i="3"/>
  <c r="BL476" i="3" s="1"/>
  <c r="BR476" i="3"/>
  <c r="BT476" i="3"/>
  <c r="BN477" i="3"/>
  <c r="BP477" i="3"/>
  <c r="BR477" i="3"/>
  <c r="BT477" i="3"/>
  <c r="BA478" i="3"/>
  <c r="BN478" i="3"/>
  <c r="BP478" i="3"/>
  <c r="BR478" i="3"/>
  <c r="BT478" i="3"/>
  <c r="BN479" i="3"/>
  <c r="BP479" i="3"/>
  <c r="BR479" i="3"/>
  <c r="BT479" i="3"/>
  <c r="BL479" i="3"/>
  <c r="BN480" i="3"/>
  <c r="BP480" i="3"/>
  <c r="BR480" i="3"/>
  <c r="BT480" i="3"/>
  <c r="BN481" i="3"/>
  <c r="BP481" i="3"/>
  <c r="BR481" i="3"/>
  <c r="BT481" i="3"/>
  <c r="BA482" i="3"/>
  <c r="BN482" i="3"/>
  <c r="BP482" i="3"/>
  <c r="BR482" i="3"/>
  <c r="BT482" i="3"/>
  <c r="BN483" i="3"/>
  <c r="BP483" i="3"/>
  <c r="BL483" i="3" s="1"/>
  <c r="BR483" i="3"/>
  <c r="BT483" i="3"/>
  <c r="BN484" i="3"/>
  <c r="BP484" i="3"/>
  <c r="BL484" i="3" s="1"/>
  <c r="BR484" i="3"/>
  <c r="BT484" i="3"/>
  <c r="BN485" i="3"/>
  <c r="BP485" i="3"/>
  <c r="BL485" i="3" s="1"/>
  <c r="BR485" i="3"/>
  <c r="BT485" i="3"/>
  <c r="BA486" i="3"/>
  <c r="BN486" i="3"/>
  <c r="BP486" i="3"/>
  <c r="BR486" i="3"/>
  <c r="BT486" i="3"/>
  <c r="BN487" i="3"/>
  <c r="BP487" i="3"/>
  <c r="BL487" i="3" s="1"/>
  <c r="BR487" i="3"/>
  <c r="BT487" i="3"/>
  <c r="BN488" i="3"/>
  <c r="BP488" i="3"/>
  <c r="BR488" i="3"/>
  <c r="BT488" i="3"/>
  <c r="BL488" i="3"/>
  <c r="BN489" i="3"/>
  <c r="BP489" i="3"/>
  <c r="BL489" i="3" s="1"/>
  <c r="BR489" i="3"/>
  <c r="BT489" i="3"/>
  <c r="BA490" i="3"/>
  <c r="BN490" i="3"/>
  <c r="BP490" i="3"/>
  <c r="BR490" i="3"/>
  <c r="BT490" i="3"/>
  <c r="BN491" i="3"/>
  <c r="BP491" i="3"/>
  <c r="BL491" i="3" s="1"/>
  <c r="BR491" i="3"/>
  <c r="BT491" i="3"/>
  <c r="BN492" i="3"/>
  <c r="BP492" i="3"/>
  <c r="BL492" i="3" s="1"/>
  <c r="BR492" i="3"/>
  <c r="BT492" i="3"/>
  <c r="BN493" i="3"/>
  <c r="BP493" i="3"/>
  <c r="BR493" i="3"/>
  <c r="BT493" i="3"/>
  <c r="BA494" i="3"/>
  <c r="BN494" i="3"/>
  <c r="BP494" i="3"/>
  <c r="BR494" i="3"/>
  <c r="BT494" i="3"/>
  <c r="BN495" i="3"/>
  <c r="BL495" i="3" s="1"/>
  <c r="BP495" i="3"/>
  <c r="BR495" i="3"/>
  <c r="BT495" i="3"/>
  <c r="BN496" i="3"/>
  <c r="BP496" i="3"/>
  <c r="BR496" i="3"/>
  <c r="BT496" i="3"/>
  <c r="BN497" i="3"/>
  <c r="BP497" i="3"/>
  <c r="BR497" i="3"/>
  <c r="BT497" i="3"/>
  <c r="BA498" i="3"/>
  <c r="BN498" i="3"/>
  <c r="BP498" i="3"/>
  <c r="BR498" i="3"/>
  <c r="BT498" i="3"/>
  <c r="BN499" i="3"/>
  <c r="BP499" i="3"/>
  <c r="BL499" i="3" s="1"/>
  <c r="BR499" i="3"/>
  <c r="BT499" i="3"/>
  <c r="BN500" i="3"/>
  <c r="BP500" i="3"/>
  <c r="BL500" i="3" s="1"/>
  <c r="BR500" i="3"/>
  <c r="BT500" i="3"/>
  <c r="BN501" i="3"/>
  <c r="BP501" i="3"/>
  <c r="BL501" i="3" s="1"/>
  <c r="BR501" i="3"/>
  <c r="BT501" i="3"/>
  <c r="BA502" i="3"/>
  <c r="BN502" i="3"/>
  <c r="BP502" i="3"/>
  <c r="BR502" i="3"/>
  <c r="BT502" i="3"/>
  <c r="BN503" i="3"/>
  <c r="BP503" i="3"/>
  <c r="BL503" i="3" s="1"/>
  <c r="BR503" i="3"/>
  <c r="BT503" i="3"/>
  <c r="BN504" i="3"/>
  <c r="BL504" i="3" s="1"/>
  <c r="BP504" i="3"/>
  <c r="BR504" i="3"/>
  <c r="BT504" i="3"/>
  <c r="BN505" i="3"/>
  <c r="BP505" i="3"/>
  <c r="BL505" i="3" s="1"/>
  <c r="BR505" i="3"/>
  <c r="BT505" i="3"/>
  <c r="BA506" i="3"/>
  <c r="BN506" i="3"/>
  <c r="BP506" i="3"/>
  <c r="BR506" i="3"/>
  <c r="BT506" i="3"/>
  <c r="BN507" i="3"/>
  <c r="BP507" i="3"/>
  <c r="BL507" i="3" s="1"/>
  <c r="BR507" i="3"/>
  <c r="BT507" i="3"/>
  <c r="BN508" i="3"/>
  <c r="BP508" i="3"/>
  <c r="BL508" i="3" s="1"/>
  <c r="BR508" i="3"/>
  <c r="BT508" i="3"/>
  <c r="BN509" i="3"/>
  <c r="BP509" i="3"/>
  <c r="BR509" i="3"/>
  <c r="BT509" i="3"/>
  <c r="BA510" i="3"/>
  <c r="BN510" i="3"/>
  <c r="BP510" i="3"/>
  <c r="BR510" i="3"/>
  <c r="BT510" i="3"/>
  <c r="BN511" i="3"/>
  <c r="BP511" i="3"/>
  <c r="BR511" i="3"/>
  <c r="BT511" i="3"/>
  <c r="BL511" i="3"/>
  <c r="BN512" i="3"/>
  <c r="BP512" i="3"/>
  <c r="BR512" i="3"/>
  <c r="BT512" i="3"/>
  <c r="BN513" i="3"/>
  <c r="BP513" i="3"/>
  <c r="BR513" i="3"/>
  <c r="BT513" i="3"/>
  <c r="BA514" i="3"/>
  <c r="BN514" i="3"/>
  <c r="BP514" i="3"/>
  <c r="BR514" i="3"/>
  <c r="BT514" i="3"/>
  <c r="BN515" i="3"/>
  <c r="BP515" i="3"/>
  <c r="BL515" i="3" s="1"/>
  <c r="BR515" i="3"/>
  <c r="BT515" i="3"/>
  <c r="BN516" i="3"/>
  <c r="BP516" i="3"/>
  <c r="BL516" i="3" s="1"/>
  <c r="BR516" i="3"/>
  <c r="BT516" i="3"/>
  <c r="BN517" i="3"/>
  <c r="BP517" i="3"/>
  <c r="BL517" i="3" s="1"/>
  <c r="BR517" i="3"/>
  <c r="BT517" i="3"/>
  <c r="BA518" i="3"/>
  <c r="BN518" i="3"/>
  <c r="BP518" i="3"/>
  <c r="BR518" i="3"/>
  <c r="BT518" i="3"/>
  <c r="BN519" i="3"/>
  <c r="BP519" i="3"/>
  <c r="BL519" i="3" s="1"/>
  <c r="BR519" i="3"/>
  <c r="BT519" i="3"/>
  <c r="BN520" i="3"/>
  <c r="BP520" i="3"/>
  <c r="BR520" i="3"/>
  <c r="BT520" i="3"/>
  <c r="BL520" i="3"/>
  <c r="BN521" i="3"/>
  <c r="BP521" i="3"/>
  <c r="BR521" i="3"/>
  <c r="BT521" i="3"/>
  <c r="BL521" i="3"/>
  <c r="BA522" i="3"/>
  <c r="BN522" i="3"/>
  <c r="BP522" i="3"/>
  <c r="BR522" i="3"/>
  <c r="BT522" i="3"/>
  <c r="BA523" i="3"/>
  <c r="BN523" i="3"/>
  <c r="BP523" i="3"/>
  <c r="BR523" i="3"/>
  <c r="BT523" i="3"/>
  <c r="BN524" i="3"/>
  <c r="BP524" i="3"/>
  <c r="BR524" i="3"/>
  <c r="BT524" i="3"/>
  <c r="BL524" i="3" s="1"/>
  <c r="BN525" i="3"/>
  <c r="BP525" i="3"/>
  <c r="BL525" i="3" s="1"/>
  <c r="BR525" i="3"/>
  <c r="BT525" i="3"/>
  <c r="BA526" i="3"/>
  <c r="BN526" i="3"/>
  <c r="BP526" i="3"/>
  <c r="BR526" i="3"/>
  <c r="BT526" i="3"/>
  <c r="BN527" i="3"/>
  <c r="BP527" i="3"/>
  <c r="BR527" i="3"/>
  <c r="BT527" i="3"/>
  <c r="BN528" i="3"/>
  <c r="BP528" i="3"/>
  <c r="BR528" i="3"/>
  <c r="BT528" i="3"/>
  <c r="BL528" i="3" s="1"/>
  <c r="BN529" i="3"/>
  <c r="BP529" i="3"/>
  <c r="BL529" i="3" s="1"/>
  <c r="BR529" i="3"/>
  <c r="BT529" i="3"/>
  <c r="BA530" i="3"/>
  <c r="BN530" i="3"/>
  <c r="BP530" i="3"/>
  <c r="BR530" i="3"/>
  <c r="BT530" i="3"/>
  <c r="BN531" i="3"/>
  <c r="BP531" i="3"/>
  <c r="BL531" i="3" s="1"/>
  <c r="BR531" i="3"/>
  <c r="BT531" i="3"/>
  <c r="BN532" i="3"/>
  <c r="BP532" i="3"/>
  <c r="BR532" i="3"/>
  <c r="BT532" i="3"/>
  <c r="BL532" i="3" s="1"/>
  <c r="BN533" i="3"/>
  <c r="BP533" i="3"/>
  <c r="BR533" i="3"/>
  <c r="BT533" i="3"/>
  <c r="BL533" i="3"/>
  <c r="BA534" i="3"/>
  <c r="BN534" i="3"/>
  <c r="BP534" i="3"/>
  <c r="BR534" i="3"/>
  <c r="BT534" i="3"/>
  <c r="BN535" i="3"/>
  <c r="BP535" i="3"/>
  <c r="BR535" i="3"/>
  <c r="BT535" i="3"/>
  <c r="BN536" i="3"/>
  <c r="BP536" i="3"/>
  <c r="BR536" i="3"/>
  <c r="BT536" i="3"/>
  <c r="BL536" i="3"/>
  <c r="BN537" i="3"/>
  <c r="BP537" i="3"/>
  <c r="BR537" i="3"/>
  <c r="BT537" i="3"/>
  <c r="BL537" i="3"/>
  <c r="BA538" i="3"/>
  <c r="BN538" i="3"/>
  <c r="BP538" i="3"/>
  <c r="BR538" i="3"/>
  <c r="BT538" i="3"/>
  <c r="BN539" i="3"/>
  <c r="BP539" i="3"/>
  <c r="BR539" i="3"/>
  <c r="BT539" i="3"/>
  <c r="BN540" i="3"/>
  <c r="BP540" i="3"/>
  <c r="BR540" i="3"/>
  <c r="BT540" i="3"/>
  <c r="BL540" i="3" s="1"/>
  <c r="BN541" i="3"/>
  <c r="BP541" i="3"/>
  <c r="BL541" i="3" s="1"/>
  <c r="BR541" i="3"/>
  <c r="BT541" i="3"/>
  <c r="BA542" i="3"/>
  <c r="BN542" i="3"/>
  <c r="BP542" i="3"/>
  <c r="BR542" i="3"/>
  <c r="BT542" i="3"/>
  <c r="BN543" i="3"/>
  <c r="BP543" i="3"/>
  <c r="BR543" i="3"/>
  <c r="BT543" i="3"/>
  <c r="BN544" i="3"/>
  <c r="BP544" i="3"/>
  <c r="BR544" i="3"/>
  <c r="BT544" i="3"/>
  <c r="BL544" i="3" s="1"/>
  <c r="BN545" i="3"/>
  <c r="BP545" i="3"/>
  <c r="BL545" i="3" s="1"/>
  <c r="BR545" i="3"/>
  <c r="BT545" i="3"/>
  <c r="BA546" i="3"/>
  <c r="BN546" i="3"/>
  <c r="BP546" i="3"/>
  <c r="BR546" i="3"/>
  <c r="BT546" i="3"/>
  <c r="BN547" i="3"/>
  <c r="BP547" i="3"/>
  <c r="BL547" i="3" s="1"/>
  <c r="BR547" i="3"/>
  <c r="BT547" i="3"/>
  <c r="BN548" i="3"/>
  <c r="BP548" i="3"/>
  <c r="BR548" i="3"/>
  <c r="BT548" i="3"/>
  <c r="BL548" i="3"/>
  <c r="BN549" i="3"/>
  <c r="BP549" i="3"/>
  <c r="BR549" i="3"/>
  <c r="BT549" i="3"/>
  <c r="BL549" i="3"/>
  <c r="BA550" i="3"/>
  <c r="BN550" i="3"/>
  <c r="BP550" i="3"/>
  <c r="BR550" i="3"/>
  <c r="BT550" i="3"/>
  <c r="BN551" i="3"/>
  <c r="BP551" i="3"/>
  <c r="BL551" i="3" s="1"/>
  <c r="BR551" i="3"/>
  <c r="BT551" i="3"/>
  <c r="BN552" i="3"/>
  <c r="BP552" i="3"/>
  <c r="BR552" i="3"/>
  <c r="BT552" i="3"/>
  <c r="BL552" i="3"/>
  <c r="BN553" i="3"/>
  <c r="BP553" i="3"/>
  <c r="BR553" i="3"/>
  <c r="BT553" i="3"/>
  <c r="BL553" i="3"/>
  <c r="BA554" i="3"/>
  <c r="BN554" i="3"/>
  <c r="BP554" i="3"/>
  <c r="BR554" i="3"/>
  <c r="BT554" i="3"/>
  <c r="BN555" i="3"/>
  <c r="BP555" i="3"/>
  <c r="BR555" i="3"/>
  <c r="BT555" i="3"/>
  <c r="BN556" i="3"/>
  <c r="BP556" i="3"/>
  <c r="BR556" i="3"/>
  <c r="BT556" i="3"/>
  <c r="BL556" i="3" s="1"/>
  <c r="BN557" i="3"/>
  <c r="BP557" i="3"/>
  <c r="BL557" i="3" s="1"/>
  <c r="BR557" i="3"/>
  <c r="BT557" i="3"/>
  <c r="BA558" i="3"/>
  <c r="BN558" i="3"/>
  <c r="BP558" i="3"/>
  <c r="BR558" i="3"/>
  <c r="BT558" i="3"/>
  <c r="BN559" i="3"/>
  <c r="BP559" i="3"/>
  <c r="BR559" i="3"/>
  <c r="BT559" i="3"/>
  <c r="BN560" i="3"/>
  <c r="BP560" i="3"/>
  <c r="BR560" i="3"/>
  <c r="BT560" i="3"/>
  <c r="BL560" i="3" s="1"/>
  <c r="BN561" i="3"/>
  <c r="BP561" i="3"/>
  <c r="BL561" i="3" s="1"/>
  <c r="BR561" i="3"/>
  <c r="BT561" i="3"/>
  <c r="BA562" i="3"/>
  <c r="BN562" i="3"/>
  <c r="BP562" i="3"/>
  <c r="BR562" i="3"/>
  <c r="BT562" i="3"/>
  <c r="BN563" i="3"/>
  <c r="BP563" i="3"/>
  <c r="BL563" i="3" s="1"/>
  <c r="BR563" i="3"/>
  <c r="BT563" i="3"/>
  <c r="BN564" i="3"/>
  <c r="BP564" i="3"/>
  <c r="BR564" i="3"/>
  <c r="BT564" i="3"/>
  <c r="BL564" i="3"/>
  <c r="BN565" i="3"/>
  <c r="BP565" i="3"/>
  <c r="BR565" i="3"/>
  <c r="BT565" i="3"/>
  <c r="BL565" i="3"/>
  <c r="BA566" i="3"/>
  <c r="BN566" i="3"/>
  <c r="BP566" i="3"/>
  <c r="BR566" i="3"/>
  <c r="BT566" i="3"/>
  <c r="BN567" i="3"/>
  <c r="BP567" i="3"/>
  <c r="BL567" i="3" s="1"/>
  <c r="BR567" i="3"/>
  <c r="BT567" i="3"/>
  <c r="BN568" i="3"/>
  <c r="BP568" i="3"/>
  <c r="BR568" i="3"/>
  <c r="BT568" i="3"/>
  <c r="BL568" i="3"/>
  <c r="BN569" i="3"/>
  <c r="BP569" i="3"/>
  <c r="BR569" i="3"/>
  <c r="BT569" i="3"/>
  <c r="BL569" i="3"/>
  <c r="BA570" i="3"/>
  <c r="BN570" i="3"/>
  <c r="BP570" i="3"/>
  <c r="BR570" i="3"/>
  <c r="BT570" i="3"/>
  <c r="BN571" i="3"/>
  <c r="BP571" i="3"/>
  <c r="BR571" i="3"/>
  <c r="BT571" i="3"/>
  <c r="BN572" i="3"/>
  <c r="BP572" i="3"/>
  <c r="BR572" i="3"/>
  <c r="BT572" i="3"/>
  <c r="BL572" i="3" s="1"/>
  <c r="H13" i="3"/>
  <c r="G13" i="3" s="1"/>
  <c r="AC13" i="3"/>
  <c r="H14" i="3"/>
  <c r="AC14" i="3"/>
  <c r="G14" i="3"/>
  <c r="H15" i="3"/>
  <c r="AC15" i="3"/>
  <c r="G15" i="3"/>
  <c r="H16" i="3"/>
  <c r="G16" i="3" s="1"/>
  <c r="AC16" i="3"/>
  <c r="H17" i="3"/>
  <c r="G17" i="3" s="1"/>
  <c r="AC17" i="3"/>
  <c r="H18" i="3"/>
  <c r="AC18" i="3"/>
  <c r="G18" i="3" s="1"/>
  <c r="H19" i="3"/>
  <c r="AC19" i="3"/>
  <c r="G19" i="3"/>
  <c r="H20" i="3"/>
  <c r="G20" i="3" s="1"/>
  <c r="AC20" i="3"/>
  <c r="H21" i="3"/>
  <c r="AC21" i="3"/>
  <c r="H22" i="3"/>
  <c r="AC22" i="3"/>
  <c r="G22" i="3"/>
  <c r="H23" i="3"/>
  <c r="AC23" i="3"/>
  <c r="G23" i="3"/>
  <c r="H24" i="3"/>
  <c r="G24" i="3" s="1"/>
  <c r="AC24" i="3"/>
  <c r="H25" i="3"/>
  <c r="G25" i="3" s="1"/>
  <c r="AC25" i="3"/>
  <c r="H26" i="3"/>
  <c r="AC26" i="3"/>
  <c r="G26" i="3" s="1"/>
  <c r="H27" i="3"/>
  <c r="AC27" i="3"/>
  <c r="G27" i="3"/>
  <c r="H28" i="3"/>
  <c r="G28" i="3" s="1"/>
  <c r="AC28" i="3"/>
  <c r="H29" i="3"/>
  <c r="AC29" i="3"/>
  <c r="H30" i="3"/>
  <c r="AC30" i="3"/>
  <c r="G30" i="3"/>
  <c r="H31" i="3"/>
  <c r="AC31" i="3"/>
  <c r="G31" i="3"/>
  <c r="H32" i="3"/>
  <c r="G32" i="3" s="1"/>
  <c r="AC32" i="3"/>
  <c r="H33" i="3"/>
  <c r="G33" i="3" s="1"/>
  <c r="AC33" i="3"/>
  <c r="H34" i="3"/>
  <c r="AC34" i="3"/>
  <c r="G34" i="3" s="1"/>
  <c r="H35" i="3"/>
  <c r="AC35" i="3"/>
  <c r="G35" i="3"/>
  <c r="H36" i="3"/>
  <c r="G36" i="3" s="1"/>
  <c r="AC36" i="3"/>
  <c r="H37" i="3"/>
  <c r="AC37" i="3"/>
  <c r="H38" i="3"/>
  <c r="AC38" i="3"/>
  <c r="G38" i="3"/>
  <c r="H39" i="3"/>
  <c r="AC39" i="3"/>
  <c r="G39" i="3"/>
  <c r="H40" i="3"/>
  <c r="G40" i="3" s="1"/>
  <c r="AC40" i="3"/>
  <c r="H41" i="3"/>
  <c r="G41" i="3" s="1"/>
  <c r="AC41" i="3"/>
  <c r="H42" i="3"/>
  <c r="AC42" i="3"/>
  <c r="G42" i="3" s="1"/>
  <c r="H43" i="3"/>
  <c r="AC43" i="3"/>
  <c r="G43" i="3"/>
  <c r="H44" i="3"/>
  <c r="G44" i="3" s="1"/>
  <c r="AC44" i="3"/>
  <c r="H45" i="3"/>
  <c r="G45" i="3" s="1"/>
  <c r="AC45" i="3"/>
  <c r="H46" i="3"/>
  <c r="AC46" i="3"/>
  <c r="G46" i="3"/>
  <c r="H47" i="3"/>
  <c r="AC47" i="3"/>
  <c r="G47" i="3"/>
  <c r="H48" i="3"/>
  <c r="G48" i="3" s="1"/>
  <c r="AC48" i="3"/>
  <c r="H49" i="3"/>
  <c r="G49" i="3" s="1"/>
  <c r="AC49" i="3"/>
  <c r="H50" i="3"/>
  <c r="AC50" i="3"/>
  <c r="G50" i="3" s="1"/>
  <c r="H51" i="3"/>
  <c r="AC51" i="3"/>
  <c r="G51" i="3"/>
  <c r="H52" i="3"/>
  <c r="G52" i="3" s="1"/>
  <c r="AC52" i="3"/>
  <c r="H53" i="3"/>
  <c r="AC53" i="3"/>
  <c r="H54" i="3"/>
  <c r="AC54" i="3"/>
  <c r="G54" i="3"/>
  <c r="H55" i="3"/>
  <c r="AC55" i="3"/>
  <c r="G55" i="3"/>
  <c r="H56" i="3"/>
  <c r="G56" i="3" s="1"/>
  <c r="AC56" i="3"/>
  <c r="H57" i="3"/>
  <c r="G57" i="3" s="1"/>
  <c r="AC57" i="3"/>
  <c r="H58" i="3"/>
  <c r="AC58" i="3"/>
  <c r="G58" i="3" s="1"/>
  <c r="H59" i="3"/>
  <c r="AC59" i="3"/>
  <c r="G59" i="3"/>
  <c r="H60" i="3"/>
  <c r="G60" i="3" s="1"/>
  <c r="AC60" i="3"/>
  <c r="H61" i="3"/>
  <c r="AC61" i="3"/>
  <c r="H62" i="3"/>
  <c r="AC62" i="3"/>
  <c r="G62" i="3"/>
  <c r="H63" i="3"/>
  <c r="AC63" i="3"/>
  <c r="G63" i="3"/>
  <c r="H64" i="3"/>
  <c r="G64" i="3" s="1"/>
  <c r="AC64" i="3"/>
  <c r="H65" i="3"/>
  <c r="G65" i="3" s="1"/>
  <c r="AC65" i="3"/>
  <c r="H66" i="3"/>
  <c r="AC66" i="3"/>
  <c r="G66" i="3" s="1"/>
  <c r="H67" i="3"/>
  <c r="AC67" i="3"/>
  <c r="G67" i="3"/>
  <c r="H68" i="3"/>
  <c r="G68" i="3" s="1"/>
  <c r="AC68" i="3"/>
  <c r="H69" i="3"/>
  <c r="AC69" i="3"/>
  <c r="H70" i="3"/>
  <c r="AC70" i="3"/>
  <c r="G70" i="3"/>
  <c r="H71" i="3"/>
  <c r="AC71" i="3"/>
  <c r="G71" i="3"/>
  <c r="H72" i="3"/>
  <c r="G72" i="3" s="1"/>
  <c r="AC72" i="3"/>
  <c r="H73" i="3"/>
  <c r="G73" i="3" s="1"/>
  <c r="AC73" i="3"/>
  <c r="H74" i="3"/>
  <c r="AC74" i="3"/>
  <c r="G74" i="3" s="1"/>
  <c r="H75" i="3"/>
  <c r="AC75" i="3"/>
  <c r="G75" i="3"/>
  <c r="H76" i="3"/>
  <c r="G76" i="3" s="1"/>
  <c r="AC76" i="3"/>
  <c r="H77" i="3"/>
  <c r="G77" i="3" s="1"/>
  <c r="AC77" i="3"/>
  <c r="H78" i="3"/>
  <c r="AC78" i="3"/>
  <c r="G78" i="3"/>
  <c r="H79" i="3"/>
  <c r="AC79" i="3"/>
  <c r="G79" i="3"/>
  <c r="H80" i="3"/>
  <c r="G80" i="3" s="1"/>
  <c r="AC80" i="3"/>
  <c r="H81" i="3"/>
  <c r="G81" i="3" s="1"/>
  <c r="AC81" i="3"/>
  <c r="H82" i="3"/>
  <c r="AC82" i="3"/>
  <c r="G82" i="3" s="1"/>
  <c r="H83" i="3"/>
  <c r="AC83" i="3"/>
  <c r="G83" i="3"/>
  <c r="H84" i="3"/>
  <c r="G84" i="3" s="1"/>
  <c r="AC84" i="3"/>
  <c r="H85" i="3"/>
  <c r="AC85" i="3"/>
  <c r="H86" i="3"/>
  <c r="AC86" i="3"/>
  <c r="G86" i="3"/>
  <c r="H87" i="3"/>
  <c r="AC87" i="3"/>
  <c r="G87" i="3"/>
  <c r="H88" i="3"/>
  <c r="G88" i="3" s="1"/>
  <c r="AC88" i="3"/>
  <c r="H89" i="3"/>
  <c r="G89" i="3" s="1"/>
  <c r="AC89" i="3"/>
  <c r="H90" i="3"/>
  <c r="AC90" i="3"/>
  <c r="G90" i="3" s="1"/>
  <c r="H91" i="3"/>
  <c r="AC91" i="3"/>
  <c r="G91" i="3"/>
  <c r="H92" i="3"/>
  <c r="G92" i="3" s="1"/>
  <c r="AC92" i="3"/>
  <c r="H93" i="3"/>
  <c r="AC93" i="3"/>
  <c r="H94" i="3"/>
  <c r="AC94" i="3"/>
  <c r="G94" i="3"/>
  <c r="H95" i="3"/>
  <c r="AC95" i="3"/>
  <c r="G95" i="3"/>
  <c r="H96" i="3"/>
  <c r="G96" i="3" s="1"/>
  <c r="AC96" i="3"/>
  <c r="H97" i="3"/>
  <c r="G97" i="3" s="1"/>
  <c r="AC97" i="3"/>
  <c r="H98" i="3"/>
  <c r="AC98" i="3"/>
  <c r="G98" i="3" s="1"/>
  <c r="H99" i="3"/>
  <c r="AC99" i="3"/>
  <c r="G99" i="3"/>
  <c r="H100" i="3"/>
  <c r="G100" i="3" s="1"/>
  <c r="AC100" i="3"/>
  <c r="H101" i="3"/>
  <c r="AC101" i="3"/>
  <c r="H102" i="3"/>
  <c r="AC102" i="3"/>
  <c r="G102" i="3"/>
  <c r="H103" i="3"/>
  <c r="AC103" i="3"/>
  <c r="G103" i="3"/>
  <c r="H104" i="3"/>
  <c r="G104" i="3" s="1"/>
  <c r="AC104" i="3"/>
  <c r="H105" i="3"/>
  <c r="G105" i="3" s="1"/>
  <c r="AC105" i="3"/>
  <c r="H106" i="3"/>
  <c r="AC106" i="3"/>
  <c r="G106" i="3" s="1"/>
  <c r="H107" i="3"/>
  <c r="AC107" i="3"/>
  <c r="G107" i="3"/>
  <c r="H108" i="3"/>
  <c r="G108" i="3" s="1"/>
  <c r="AC108" i="3"/>
  <c r="H109" i="3"/>
  <c r="G109" i="3" s="1"/>
  <c r="AC109" i="3"/>
  <c r="H110" i="3"/>
  <c r="AC110" i="3"/>
  <c r="G110" i="3"/>
  <c r="H111" i="3"/>
  <c r="AC111" i="3"/>
  <c r="G111" i="3"/>
  <c r="H112" i="3"/>
  <c r="G112" i="3" s="1"/>
  <c r="AC112" i="3"/>
  <c r="H113" i="3"/>
  <c r="G113" i="3" s="1"/>
  <c r="AC113" i="3"/>
  <c r="H114" i="3"/>
  <c r="AC114" i="3"/>
  <c r="G114" i="3" s="1"/>
  <c r="H115" i="3"/>
  <c r="AC115" i="3"/>
  <c r="G115" i="3"/>
  <c r="H116" i="3"/>
  <c r="G116" i="3" s="1"/>
  <c r="AC116" i="3"/>
  <c r="H117" i="3"/>
  <c r="AC117" i="3"/>
  <c r="H118" i="3"/>
  <c r="AC118" i="3"/>
  <c r="G118" i="3"/>
  <c r="H119" i="3"/>
  <c r="AC119" i="3"/>
  <c r="G119" i="3"/>
  <c r="H120" i="3"/>
  <c r="G120" i="3" s="1"/>
  <c r="AC120" i="3"/>
  <c r="H121" i="3"/>
  <c r="G121" i="3" s="1"/>
  <c r="AC121" i="3"/>
  <c r="H122" i="3"/>
  <c r="AC122" i="3"/>
  <c r="G122" i="3" s="1"/>
  <c r="H123" i="3"/>
  <c r="AC123" i="3"/>
  <c r="G123" i="3"/>
  <c r="H124" i="3"/>
  <c r="G124" i="3" s="1"/>
  <c r="AC124" i="3"/>
  <c r="H125" i="3"/>
  <c r="AC125" i="3"/>
  <c r="H126" i="3"/>
  <c r="AC126" i="3"/>
  <c r="G126" i="3"/>
  <c r="H127" i="3"/>
  <c r="AC127" i="3"/>
  <c r="G127" i="3"/>
  <c r="H128" i="3"/>
  <c r="G128" i="3" s="1"/>
  <c r="AC128" i="3"/>
  <c r="H129" i="3"/>
  <c r="G129" i="3" s="1"/>
  <c r="AC129" i="3"/>
  <c r="H130" i="3"/>
  <c r="AC130" i="3"/>
  <c r="G130" i="3" s="1"/>
  <c r="H131" i="3"/>
  <c r="AC131" i="3"/>
  <c r="G131" i="3"/>
  <c r="H132" i="3"/>
  <c r="G132" i="3" s="1"/>
  <c r="AC132" i="3"/>
  <c r="H133" i="3"/>
  <c r="AC133" i="3"/>
  <c r="H134" i="3"/>
  <c r="AC134" i="3"/>
  <c r="G134" i="3"/>
  <c r="H135" i="3"/>
  <c r="AC135" i="3"/>
  <c r="G135" i="3"/>
  <c r="H136" i="3"/>
  <c r="G136" i="3" s="1"/>
  <c r="AC136" i="3"/>
  <c r="H137" i="3"/>
  <c r="G137" i="3" s="1"/>
  <c r="AC137" i="3"/>
  <c r="H138" i="3"/>
  <c r="AC138" i="3"/>
  <c r="G138" i="3" s="1"/>
  <c r="H139" i="3"/>
  <c r="AC139" i="3"/>
  <c r="G139" i="3"/>
  <c r="H140" i="3"/>
  <c r="G140" i="3" s="1"/>
  <c r="AC140" i="3"/>
  <c r="H141" i="3"/>
  <c r="G141" i="3" s="1"/>
  <c r="AC141" i="3"/>
  <c r="H142" i="3"/>
  <c r="AC142" i="3"/>
  <c r="G142" i="3"/>
  <c r="H143" i="3"/>
  <c r="AC143" i="3"/>
  <c r="G143" i="3"/>
  <c r="H144" i="3"/>
  <c r="G144" i="3" s="1"/>
  <c r="AC144" i="3"/>
  <c r="H145" i="3"/>
  <c r="G145" i="3" s="1"/>
  <c r="AC145" i="3"/>
  <c r="H146" i="3"/>
  <c r="AC146" i="3"/>
  <c r="G146" i="3" s="1"/>
  <c r="H147" i="3"/>
  <c r="AC147" i="3"/>
  <c r="G147" i="3"/>
  <c r="H148" i="3"/>
  <c r="G148" i="3" s="1"/>
  <c r="AC148" i="3"/>
  <c r="H149" i="3"/>
  <c r="AC149" i="3"/>
  <c r="H150" i="3"/>
  <c r="AC150" i="3"/>
  <c r="G150" i="3"/>
  <c r="H151" i="3"/>
  <c r="AC151" i="3"/>
  <c r="G151" i="3"/>
  <c r="H152" i="3"/>
  <c r="G152" i="3" s="1"/>
  <c r="AC152" i="3"/>
  <c r="H153" i="3"/>
  <c r="G153" i="3" s="1"/>
  <c r="AC153" i="3"/>
  <c r="H154" i="3"/>
  <c r="AC154" i="3"/>
  <c r="G154" i="3" s="1"/>
  <c r="H155" i="3"/>
  <c r="AC155" i="3"/>
  <c r="G155" i="3"/>
  <c r="H156" i="3"/>
  <c r="G156" i="3" s="1"/>
  <c r="AC156" i="3"/>
  <c r="H157" i="3"/>
  <c r="AC157" i="3"/>
  <c r="H158" i="3"/>
  <c r="AC158" i="3"/>
  <c r="G158" i="3"/>
  <c r="H159" i="3"/>
  <c r="AC159" i="3"/>
  <c r="G159" i="3"/>
  <c r="H160" i="3"/>
  <c r="G160" i="3" s="1"/>
  <c r="AC160" i="3"/>
  <c r="H161" i="3"/>
  <c r="G161" i="3" s="1"/>
  <c r="AC161" i="3"/>
  <c r="H162" i="3"/>
  <c r="AC162" i="3"/>
  <c r="G162" i="3" s="1"/>
  <c r="H163" i="3"/>
  <c r="AC163" i="3"/>
  <c r="G163" i="3"/>
  <c r="H164" i="3"/>
  <c r="G164" i="3" s="1"/>
  <c r="AC164" i="3"/>
  <c r="H165" i="3"/>
  <c r="AC165" i="3"/>
  <c r="H166" i="3"/>
  <c r="AC166" i="3"/>
  <c r="G166" i="3"/>
  <c r="H167" i="3"/>
  <c r="AC167" i="3"/>
  <c r="G167" i="3"/>
  <c r="H168" i="3"/>
  <c r="G168" i="3" s="1"/>
  <c r="AC168" i="3"/>
  <c r="H169" i="3"/>
  <c r="G169" i="3" s="1"/>
  <c r="AC169" i="3"/>
  <c r="H170" i="3"/>
  <c r="AC170" i="3"/>
  <c r="G170" i="3" s="1"/>
  <c r="H171" i="3"/>
  <c r="AC171" i="3"/>
  <c r="G171" i="3"/>
  <c r="H172" i="3"/>
  <c r="G172" i="3" s="1"/>
  <c r="AC172" i="3"/>
  <c r="H173" i="3"/>
  <c r="G173" i="3" s="1"/>
  <c r="AC173" i="3"/>
  <c r="H174" i="3"/>
  <c r="AC174" i="3"/>
  <c r="G174" i="3"/>
  <c r="H175" i="3"/>
  <c r="AC175" i="3"/>
  <c r="G175" i="3"/>
  <c r="H176" i="3"/>
  <c r="G176" i="3" s="1"/>
  <c r="AC176" i="3"/>
  <c r="H177" i="3"/>
  <c r="G177" i="3" s="1"/>
  <c r="AC177" i="3"/>
  <c r="H178" i="3"/>
  <c r="AC178" i="3"/>
  <c r="G178" i="3" s="1"/>
  <c r="H179" i="3"/>
  <c r="AC179" i="3"/>
  <c r="G179" i="3"/>
  <c r="H180" i="3"/>
  <c r="G180" i="3" s="1"/>
  <c r="AC180" i="3"/>
  <c r="H181" i="3"/>
  <c r="AC181" i="3"/>
  <c r="H182" i="3"/>
  <c r="AC182" i="3"/>
  <c r="G182" i="3"/>
  <c r="H183" i="3"/>
  <c r="AC183" i="3"/>
  <c r="G183" i="3"/>
  <c r="H184" i="3"/>
  <c r="G184" i="3" s="1"/>
  <c r="AC184" i="3"/>
  <c r="H185" i="3"/>
  <c r="G185" i="3" s="1"/>
  <c r="AC185" i="3"/>
  <c r="H186" i="3"/>
  <c r="AC186" i="3"/>
  <c r="G186" i="3" s="1"/>
  <c r="H187" i="3"/>
  <c r="AC187" i="3"/>
  <c r="G187" i="3"/>
  <c r="H188" i="3"/>
  <c r="G188" i="3" s="1"/>
  <c r="AC188" i="3"/>
  <c r="H189" i="3"/>
  <c r="AC189" i="3"/>
  <c r="H190" i="3"/>
  <c r="AC190" i="3"/>
  <c r="G190" i="3"/>
  <c r="H191" i="3"/>
  <c r="AC191" i="3"/>
  <c r="G191" i="3"/>
  <c r="H192" i="3"/>
  <c r="G192" i="3" s="1"/>
  <c r="AC192" i="3"/>
  <c r="H193" i="3"/>
  <c r="G193" i="3" s="1"/>
  <c r="AC193" i="3"/>
  <c r="H194" i="3"/>
  <c r="AC194" i="3"/>
  <c r="G194" i="3" s="1"/>
  <c r="H195" i="3"/>
  <c r="AC195" i="3"/>
  <c r="G195" i="3"/>
  <c r="H196" i="3"/>
  <c r="G196" i="3" s="1"/>
  <c r="AC196" i="3"/>
  <c r="H197" i="3"/>
  <c r="AC197" i="3"/>
  <c r="H198" i="3"/>
  <c r="AC198" i="3"/>
  <c r="G198" i="3"/>
  <c r="H199" i="3"/>
  <c r="AC199" i="3"/>
  <c r="G199" i="3"/>
  <c r="H200" i="3"/>
  <c r="G200" i="3" s="1"/>
  <c r="AC200" i="3"/>
  <c r="H201" i="3"/>
  <c r="G201" i="3" s="1"/>
  <c r="AC201" i="3"/>
  <c r="H202" i="3"/>
  <c r="AC202" i="3"/>
  <c r="G202" i="3" s="1"/>
  <c r="H203" i="3"/>
  <c r="AC203" i="3"/>
  <c r="G203" i="3"/>
  <c r="H204" i="3"/>
  <c r="G204" i="3" s="1"/>
  <c r="AC204" i="3"/>
  <c r="H205" i="3"/>
  <c r="G205" i="3" s="1"/>
  <c r="AC205" i="3"/>
  <c r="H206" i="3"/>
  <c r="AC206" i="3"/>
  <c r="G206" i="3"/>
  <c r="H207" i="3"/>
  <c r="AC207" i="3"/>
  <c r="G207" i="3"/>
  <c r="H208" i="3"/>
  <c r="G208" i="3" s="1"/>
  <c r="AC208" i="3"/>
  <c r="H209" i="3"/>
  <c r="G209" i="3" s="1"/>
  <c r="AC209" i="3"/>
  <c r="H210" i="3"/>
  <c r="AC210" i="3"/>
  <c r="G210" i="3" s="1"/>
  <c r="H211" i="3"/>
  <c r="AC211" i="3"/>
  <c r="G211" i="3"/>
  <c r="H212" i="3"/>
  <c r="G212" i="3" s="1"/>
  <c r="AC212" i="3"/>
  <c r="H213" i="3"/>
  <c r="AC213" i="3"/>
  <c r="H214" i="3"/>
  <c r="AC214" i="3"/>
  <c r="G214" i="3"/>
  <c r="H215" i="3"/>
  <c r="AC215" i="3"/>
  <c r="G215" i="3"/>
  <c r="H216" i="3"/>
  <c r="G216" i="3" s="1"/>
  <c r="AC216" i="3"/>
  <c r="H217" i="3"/>
  <c r="G217" i="3" s="1"/>
  <c r="AC217" i="3"/>
  <c r="H218" i="3"/>
  <c r="AC218" i="3"/>
  <c r="G218" i="3" s="1"/>
  <c r="H219" i="3"/>
  <c r="AC219" i="3"/>
  <c r="G219" i="3"/>
  <c r="H220" i="3"/>
  <c r="G220" i="3" s="1"/>
  <c r="AC220" i="3"/>
  <c r="H221" i="3"/>
  <c r="AC221" i="3"/>
  <c r="H222" i="3"/>
  <c r="AC222" i="3"/>
  <c r="G222" i="3"/>
  <c r="H223" i="3"/>
  <c r="AC223" i="3"/>
  <c r="G223" i="3"/>
  <c r="H224" i="3"/>
  <c r="G224" i="3" s="1"/>
  <c r="AC224" i="3"/>
  <c r="H225" i="3"/>
  <c r="G225" i="3" s="1"/>
  <c r="AC225" i="3"/>
  <c r="H226" i="3"/>
  <c r="AC226" i="3"/>
  <c r="G226" i="3" s="1"/>
  <c r="H227" i="3"/>
  <c r="AC227" i="3"/>
  <c r="G227" i="3"/>
  <c r="H228" i="3"/>
  <c r="G228" i="3" s="1"/>
  <c r="AC228" i="3"/>
  <c r="H229" i="3"/>
  <c r="AC229" i="3"/>
  <c r="H230" i="3"/>
  <c r="AC230" i="3"/>
  <c r="G230" i="3"/>
  <c r="H231" i="3"/>
  <c r="AC231" i="3"/>
  <c r="G231" i="3"/>
  <c r="H232" i="3"/>
  <c r="G232" i="3" s="1"/>
  <c r="AC232" i="3"/>
  <c r="H233" i="3"/>
  <c r="G233" i="3" s="1"/>
  <c r="AC233" i="3"/>
  <c r="H234" i="3"/>
  <c r="AC234" i="3"/>
  <c r="G234" i="3" s="1"/>
  <c r="H235" i="3"/>
  <c r="AC235" i="3"/>
  <c r="G235" i="3"/>
  <c r="H236" i="3"/>
  <c r="G236" i="3" s="1"/>
  <c r="AC236" i="3"/>
  <c r="H237" i="3"/>
  <c r="G237" i="3" s="1"/>
  <c r="AC237" i="3"/>
  <c r="H238" i="3"/>
  <c r="AC238" i="3"/>
  <c r="G238" i="3"/>
  <c r="H239" i="3"/>
  <c r="AC239" i="3"/>
  <c r="G239" i="3"/>
  <c r="H240" i="3"/>
  <c r="G240" i="3" s="1"/>
  <c r="AC240" i="3"/>
  <c r="H241" i="3"/>
  <c r="G241" i="3" s="1"/>
  <c r="AC241" i="3"/>
  <c r="H242" i="3"/>
  <c r="AC242" i="3"/>
  <c r="G242" i="3" s="1"/>
  <c r="H243" i="3"/>
  <c r="AC243" i="3"/>
  <c r="G243" i="3"/>
  <c r="H244" i="3"/>
  <c r="G244" i="3" s="1"/>
  <c r="AC244" i="3"/>
  <c r="H245" i="3"/>
  <c r="AC245" i="3"/>
  <c r="H246" i="3"/>
  <c r="AC246" i="3"/>
  <c r="G246" i="3"/>
  <c r="H247" i="3"/>
  <c r="AC247" i="3"/>
  <c r="G247" i="3"/>
  <c r="H248" i="3"/>
  <c r="G248" i="3" s="1"/>
  <c r="AC248" i="3"/>
  <c r="H249" i="3"/>
  <c r="G249" i="3" s="1"/>
  <c r="AC249" i="3"/>
  <c r="H250" i="3"/>
  <c r="AC250" i="3"/>
  <c r="G250" i="3" s="1"/>
  <c r="H251" i="3"/>
  <c r="AC251" i="3"/>
  <c r="G251" i="3"/>
  <c r="H252" i="3"/>
  <c r="G252" i="3" s="1"/>
  <c r="AC252" i="3"/>
  <c r="H253" i="3"/>
  <c r="AC253" i="3"/>
  <c r="H254" i="3"/>
  <c r="AC254" i="3"/>
  <c r="G254" i="3"/>
  <c r="H255" i="3"/>
  <c r="AC255" i="3"/>
  <c r="G255" i="3"/>
  <c r="H256" i="3"/>
  <c r="G256" i="3" s="1"/>
  <c r="AC256" i="3"/>
  <c r="H257" i="3"/>
  <c r="G257" i="3" s="1"/>
  <c r="AC257" i="3"/>
  <c r="H258" i="3"/>
  <c r="AC258" i="3"/>
  <c r="G258" i="3" s="1"/>
  <c r="H259" i="3"/>
  <c r="AC259" i="3"/>
  <c r="G259" i="3"/>
  <c r="H260" i="3"/>
  <c r="G260" i="3" s="1"/>
  <c r="AC260" i="3"/>
  <c r="H261" i="3"/>
  <c r="AC261" i="3"/>
  <c r="H262" i="3"/>
  <c r="AC262" i="3"/>
  <c r="G262" i="3"/>
  <c r="H263" i="3"/>
  <c r="AC263" i="3"/>
  <c r="G263" i="3"/>
  <c r="H264" i="3"/>
  <c r="G264" i="3" s="1"/>
  <c r="AC264" i="3"/>
  <c r="H265" i="3"/>
  <c r="G265" i="3" s="1"/>
  <c r="AC265" i="3"/>
  <c r="H266" i="3"/>
  <c r="AC266" i="3"/>
  <c r="G266" i="3" s="1"/>
  <c r="H267" i="3"/>
  <c r="AC267" i="3"/>
  <c r="G267" i="3"/>
  <c r="H268" i="3"/>
  <c r="G268" i="3" s="1"/>
  <c r="AC268" i="3"/>
  <c r="H269" i="3"/>
  <c r="G269" i="3" s="1"/>
  <c r="AC269" i="3"/>
  <c r="H270" i="3"/>
  <c r="AC270" i="3"/>
  <c r="G270" i="3"/>
  <c r="H271" i="3"/>
  <c r="AC271" i="3"/>
  <c r="G271" i="3"/>
  <c r="H272" i="3"/>
  <c r="G272" i="3" s="1"/>
  <c r="AC272" i="3"/>
  <c r="H273" i="3"/>
  <c r="G273" i="3" s="1"/>
  <c r="AC273" i="3"/>
  <c r="H274" i="3"/>
  <c r="AC274" i="3"/>
  <c r="G274" i="3" s="1"/>
  <c r="H275" i="3"/>
  <c r="AC275" i="3"/>
  <c r="G275" i="3"/>
  <c r="H276" i="3"/>
  <c r="G276" i="3" s="1"/>
  <c r="AC276" i="3"/>
  <c r="H277" i="3"/>
  <c r="AC277" i="3"/>
  <c r="H278" i="3"/>
  <c r="AC278" i="3"/>
  <c r="G278" i="3"/>
  <c r="H279" i="3"/>
  <c r="AC279" i="3"/>
  <c r="G279" i="3"/>
  <c r="H280" i="3"/>
  <c r="G280" i="3" s="1"/>
  <c r="AC280" i="3"/>
  <c r="H281" i="3"/>
  <c r="G281" i="3" s="1"/>
  <c r="AC281" i="3"/>
  <c r="H282" i="3"/>
  <c r="AC282" i="3"/>
  <c r="G282" i="3" s="1"/>
  <c r="H283" i="3"/>
  <c r="AC283" i="3"/>
  <c r="G283" i="3"/>
  <c r="H284" i="3"/>
  <c r="G284" i="3" s="1"/>
  <c r="AC284" i="3"/>
  <c r="H285" i="3"/>
  <c r="AC285" i="3"/>
  <c r="H286" i="3"/>
  <c r="AC286" i="3"/>
  <c r="G286" i="3"/>
  <c r="H287" i="3"/>
  <c r="AC287" i="3"/>
  <c r="G287" i="3"/>
  <c r="H288" i="3"/>
  <c r="G288" i="3" s="1"/>
  <c r="AC288" i="3"/>
  <c r="H289" i="3"/>
  <c r="G289" i="3" s="1"/>
  <c r="AC289" i="3"/>
  <c r="H290" i="3"/>
  <c r="AC290" i="3"/>
  <c r="G290" i="3" s="1"/>
  <c r="H291" i="3"/>
  <c r="AC291" i="3"/>
  <c r="G291" i="3"/>
  <c r="H292" i="3"/>
  <c r="G292" i="3" s="1"/>
  <c r="AC292" i="3"/>
  <c r="H293" i="3"/>
  <c r="AC293" i="3"/>
  <c r="H294" i="3"/>
  <c r="AC294" i="3"/>
  <c r="G294" i="3"/>
  <c r="H295" i="3"/>
  <c r="AC295" i="3"/>
  <c r="G295" i="3"/>
  <c r="H296" i="3"/>
  <c r="G296" i="3" s="1"/>
  <c r="AC296" i="3"/>
  <c r="H297" i="3"/>
  <c r="G297" i="3" s="1"/>
  <c r="AC297" i="3"/>
  <c r="H298" i="3"/>
  <c r="AC298" i="3"/>
  <c r="G298" i="3" s="1"/>
  <c r="H299" i="3"/>
  <c r="AC299" i="3"/>
  <c r="G299" i="3"/>
  <c r="H300" i="3"/>
  <c r="G300" i="3" s="1"/>
  <c r="AC300" i="3"/>
  <c r="H301" i="3"/>
  <c r="G301" i="3" s="1"/>
  <c r="AC301" i="3"/>
  <c r="H302" i="3"/>
  <c r="AC302" i="3"/>
  <c r="G302" i="3"/>
  <c r="H303" i="3"/>
  <c r="AC303" i="3"/>
  <c r="G303" i="3"/>
  <c r="H304" i="3"/>
  <c r="G304" i="3" s="1"/>
  <c r="AC304" i="3"/>
  <c r="H305" i="3"/>
  <c r="G305" i="3" s="1"/>
  <c r="AC305" i="3"/>
  <c r="H306" i="3"/>
  <c r="AC306" i="3"/>
  <c r="G306" i="3" s="1"/>
  <c r="H307" i="3"/>
  <c r="AC307" i="3"/>
  <c r="G307" i="3"/>
  <c r="H308" i="3"/>
  <c r="G308" i="3" s="1"/>
  <c r="AC308" i="3"/>
  <c r="H309" i="3"/>
  <c r="AC309" i="3"/>
  <c r="H310" i="3"/>
  <c r="AC310" i="3"/>
  <c r="G310" i="3"/>
  <c r="H311" i="3"/>
  <c r="AC311" i="3"/>
  <c r="G311" i="3"/>
  <c r="H312" i="3"/>
  <c r="G312" i="3" s="1"/>
  <c r="AC312" i="3"/>
  <c r="H313" i="3"/>
  <c r="G313" i="3" s="1"/>
  <c r="AC313" i="3"/>
  <c r="H314" i="3"/>
  <c r="AC314" i="3"/>
  <c r="G314" i="3" s="1"/>
  <c r="H315" i="3"/>
  <c r="AC315" i="3"/>
  <c r="G315" i="3"/>
  <c r="H316" i="3"/>
  <c r="G316" i="3" s="1"/>
  <c r="AC316" i="3"/>
  <c r="H317" i="3"/>
  <c r="AC317" i="3"/>
  <c r="H318" i="3"/>
  <c r="AC318" i="3"/>
  <c r="G318" i="3"/>
  <c r="H319" i="3"/>
  <c r="AC319" i="3"/>
  <c r="G319" i="3"/>
  <c r="H320" i="3"/>
  <c r="G320" i="3" s="1"/>
  <c r="AC320" i="3"/>
  <c r="H321" i="3"/>
  <c r="G321" i="3" s="1"/>
  <c r="AC321" i="3"/>
  <c r="H322" i="3"/>
  <c r="AC322" i="3"/>
  <c r="G322" i="3" s="1"/>
  <c r="H323" i="3"/>
  <c r="AC323" i="3"/>
  <c r="G323" i="3"/>
  <c r="H324" i="3"/>
  <c r="G324" i="3" s="1"/>
  <c r="AC324" i="3"/>
  <c r="H325" i="3"/>
  <c r="AC325" i="3"/>
  <c r="H326" i="3"/>
  <c r="AC326" i="3"/>
  <c r="G326" i="3"/>
  <c r="H327" i="3"/>
  <c r="AC327" i="3"/>
  <c r="G327" i="3"/>
  <c r="H328" i="3"/>
  <c r="G328" i="3" s="1"/>
  <c r="AC328" i="3"/>
  <c r="H329" i="3"/>
  <c r="G329" i="3" s="1"/>
  <c r="AC329" i="3"/>
  <c r="H330" i="3"/>
  <c r="AC330" i="3"/>
  <c r="G330" i="3" s="1"/>
  <c r="H331" i="3"/>
  <c r="AC331" i="3"/>
  <c r="G331" i="3"/>
  <c r="H332" i="3"/>
  <c r="G332" i="3" s="1"/>
  <c r="AC332" i="3"/>
  <c r="H333" i="3"/>
  <c r="G333" i="3" s="1"/>
  <c r="AC333" i="3"/>
  <c r="H334" i="3"/>
  <c r="AC334" i="3"/>
  <c r="G334" i="3"/>
  <c r="H335" i="3"/>
  <c r="AC335" i="3"/>
  <c r="G335" i="3"/>
  <c r="H336" i="3"/>
  <c r="G336" i="3" s="1"/>
  <c r="AC336" i="3"/>
  <c r="H337" i="3"/>
  <c r="G337" i="3" s="1"/>
  <c r="AC337" i="3"/>
  <c r="H338" i="3"/>
  <c r="AC338" i="3"/>
  <c r="G338" i="3" s="1"/>
  <c r="H339" i="3"/>
  <c r="AC339" i="3"/>
  <c r="G339" i="3"/>
  <c r="H340" i="3"/>
  <c r="G340" i="3" s="1"/>
  <c r="AC340" i="3"/>
  <c r="H341" i="3"/>
  <c r="AC341" i="3"/>
  <c r="H342" i="3"/>
  <c r="AC342" i="3"/>
  <c r="G342" i="3"/>
  <c r="H343" i="3"/>
  <c r="AC343" i="3"/>
  <c r="G343" i="3"/>
  <c r="H344" i="3"/>
  <c r="G344" i="3" s="1"/>
  <c r="AC344" i="3"/>
  <c r="H345" i="3"/>
  <c r="G345" i="3" s="1"/>
  <c r="AC345" i="3"/>
  <c r="H346" i="3"/>
  <c r="AC346" i="3"/>
  <c r="G346" i="3" s="1"/>
  <c r="H347" i="3"/>
  <c r="AC347" i="3"/>
  <c r="G347" i="3"/>
  <c r="H348" i="3"/>
  <c r="G348" i="3" s="1"/>
  <c r="AC348" i="3"/>
  <c r="H349" i="3"/>
  <c r="AC349" i="3"/>
  <c r="H350" i="3"/>
  <c r="AC350" i="3"/>
  <c r="G350" i="3"/>
  <c r="H351" i="3"/>
  <c r="AC351" i="3"/>
  <c r="G351" i="3"/>
  <c r="H352" i="3"/>
  <c r="G352" i="3" s="1"/>
  <c r="AC352" i="3"/>
  <c r="H353" i="3"/>
  <c r="G353" i="3" s="1"/>
  <c r="AC353" i="3"/>
  <c r="H354" i="3"/>
  <c r="AC354" i="3"/>
  <c r="G354" i="3" s="1"/>
  <c r="H355" i="3"/>
  <c r="AC355" i="3"/>
  <c r="G355" i="3"/>
  <c r="H356" i="3"/>
  <c r="G356" i="3" s="1"/>
  <c r="AC356" i="3"/>
  <c r="H357" i="3"/>
  <c r="AC357" i="3"/>
  <c r="H358" i="3"/>
  <c r="AC358" i="3"/>
  <c r="G358" i="3"/>
  <c r="H359" i="3"/>
  <c r="AC359" i="3"/>
  <c r="G359" i="3"/>
  <c r="H360" i="3"/>
  <c r="G360" i="3" s="1"/>
  <c r="AC360" i="3"/>
  <c r="H361" i="3"/>
  <c r="G361" i="3" s="1"/>
  <c r="AC361" i="3"/>
  <c r="H362" i="3"/>
  <c r="AC362" i="3"/>
  <c r="G362" i="3" s="1"/>
  <c r="H363" i="3"/>
  <c r="AC363" i="3"/>
  <c r="G363" i="3"/>
  <c r="H364" i="3"/>
  <c r="G364" i="3" s="1"/>
  <c r="AC364" i="3"/>
  <c r="H365" i="3"/>
  <c r="G365" i="3" s="1"/>
  <c r="AC365" i="3"/>
  <c r="H366" i="3"/>
  <c r="AC366" i="3"/>
  <c r="G366" i="3"/>
  <c r="H367" i="3"/>
  <c r="AC367" i="3"/>
  <c r="G367" i="3"/>
  <c r="H368" i="3"/>
  <c r="G368" i="3" s="1"/>
  <c r="AC368" i="3"/>
  <c r="H369" i="3"/>
  <c r="G369" i="3" s="1"/>
  <c r="AC369" i="3"/>
  <c r="H370" i="3"/>
  <c r="AC370" i="3"/>
  <c r="G370" i="3" s="1"/>
  <c r="H371" i="3"/>
  <c r="AC371" i="3"/>
  <c r="G371" i="3"/>
  <c r="H372" i="3"/>
  <c r="G372" i="3" s="1"/>
  <c r="AC372" i="3"/>
  <c r="H373" i="3"/>
  <c r="AC373" i="3"/>
  <c r="H374" i="3"/>
  <c r="AC374" i="3"/>
  <c r="G374" i="3"/>
  <c r="H375" i="3"/>
  <c r="AC375" i="3"/>
  <c r="G375" i="3"/>
  <c r="H376" i="3"/>
  <c r="G376" i="3" s="1"/>
  <c r="AC376" i="3"/>
  <c r="H377" i="3"/>
  <c r="G377" i="3" s="1"/>
  <c r="AC377" i="3"/>
  <c r="H378" i="3"/>
  <c r="AC378" i="3"/>
  <c r="G378" i="3" s="1"/>
  <c r="H379" i="3"/>
  <c r="AC379" i="3"/>
  <c r="G379" i="3"/>
  <c r="H380" i="3"/>
  <c r="G380" i="3" s="1"/>
  <c r="AC380" i="3"/>
  <c r="H381" i="3"/>
  <c r="AC381" i="3"/>
  <c r="H382" i="3"/>
  <c r="AC382" i="3"/>
  <c r="G382" i="3"/>
  <c r="H383" i="3"/>
  <c r="AC383" i="3"/>
  <c r="G383" i="3"/>
  <c r="H384" i="3"/>
  <c r="G384" i="3" s="1"/>
  <c r="AC384" i="3"/>
  <c r="H385" i="3"/>
  <c r="G385" i="3" s="1"/>
  <c r="AC385" i="3"/>
  <c r="H386" i="3"/>
  <c r="AC386" i="3"/>
  <c r="G386" i="3" s="1"/>
  <c r="H387" i="3"/>
  <c r="AC387" i="3"/>
  <c r="G387" i="3"/>
  <c r="H388" i="3"/>
  <c r="G388" i="3" s="1"/>
  <c r="AC388" i="3"/>
  <c r="H389" i="3"/>
  <c r="AC389" i="3"/>
  <c r="H390" i="3"/>
  <c r="AC390" i="3"/>
  <c r="G390" i="3"/>
  <c r="H391" i="3"/>
  <c r="AC391" i="3"/>
  <c r="G391" i="3"/>
  <c r="H392" i="3"/>
  <c r="G392" i="3" s="1"/>
  <c r="AC392" i="3"/>
  <c r="H393" i="3"/>
  <c r="G393" i="3" s="1"/>
  <c r="AC393" i="3"/>
  <c r="H394" i="3"/>
  <c r="AC394" i="3"/>
  <c r="G394" i="3" s="1"/>
  <c r="H395" i="3"/>
  <c r="AC395" i="3"/>
  <c r="G395" i="3"/>
  <c r="H396" i="3"/>
  <c r="G396" i="3" s="1"/>
  <c r="AC396" i="3"/>
  <c r="H397" i="3"/>
  <c r="G397" i="3" s="1"/>
  <c r="AC397" i="3"/>
  <c r="H398" i="3"/>
  <c r="AC398" i="3"/>
  <c r="G398" i="3"/>
  <c r="H399" i="3"/>
  <c r="AC399" i="3"/>
  <c r="G399" i="3"/>
  <c r="H400" i="3"/>
  <c r="G400" i="3" s="1"/>
  <c r="AC400" i="3"/>
  <c r="H401" i="3"/>
  <c r="G401" i="3" s="1"/>
  <c r="AC401" i="3"/>
  <c r="H402" i="3"/>
  <c r="AC402" i="3"/>
  <c r="G402" i="3" s="1"/>
  <c r="H403" i="3"/>
  <c r="AC403" i="3"/>
  <c r="G403" i="3"/>
  <c r="H404" i="3"/>
  <c r="G404" i="3" s="1"/>
  <c r="AC404" i="3"/>
  <c r="H405" i="3"/>
  <c r="AC405" i="3"/>
  <c r="H406" i="3"/>
  <c r="AC406" i="3"/>
  <c r="G406" i="3"/>
  <c r="H407" i="3"/>
  <c r="AC407" i="3"/>
  <c r="G407" i="3"/>
  <c r="H408" i="3"/>
  <c r="G408" i="3" s="1"/>
  <c r="AC408" i="3"/>
  <c r="H409" i="3"/>
  <c r="G409" i="3" s="1"/>
  <c r="AC409" i="3"/>
  <c r="H410" i="3"/>
  <c r="AC410" i="3"/>
  <c r="G410" i="3" s="1"/>
  <c r="H411" i="3"/>
  <c r="AC411" i="3"/>
  <c r="G411" i="3"/>
  <c r="H412" i="3"/>
  <c r="G412" i="3" s="1"/>
  <c r="AC412" i="3"/>
  <c r="H413" i="3"/>
  <c r="AC413" i="3"/>
  <c r="H414" i="3"/>
  <c r="AC414" i="3"/>
  <c r="G414" i="3"/>
  <c r="H415" i="3"/>
  <c r="AC415" i="3"/>
  <c r="G415" i="3"/>
  <c r="H416" i="3"/>
  <c r="G416" i="3" s="1"/>
  <c r="AC416" i="3"/>
  <c r="H417" i="3"/>
  <c r="G417" i="3" s="1"/>
  <c r="AC417" i="3"/>
  <c r="H418" i="3"/>
  <c r="AC418" i="3"/>
  <c r="G418" i="3" s="1"/>
  <c r="H419" i="3"/>
  <c r="AC419" i="3"/>
  <c r="G419" i="3"/>
  <c r="H420" i="3"/>
  <c r="G420" i="3" s="1"/>
  <c r="AC420" i="3"/>
  <c r="H421" i="3"/>
  <c r="AC421" i="3"/>
  <c r="H422" i="3"/>
  <c r="AC422" i="3"/>
  <c r="G422" i="3"/>
  <c r="H423" i="3"/>
  <c r="AC423" i="3"/>
  <c r="G423" i="3"/>
  <c r="H424" i="3"/>
  <c r="G424" i="3" s="1"/>
  <c r="AC424" i="3"/>
  <c r="H425" i="3"/>
  <c r="G425" i="3" s="1"/>
  <c r="AC425" i="3"/>
  <c r="H426" i="3"/>
  <c r="AC426" i="3"/>
  <c r="G426" i="3" s="1"/>
  <c r="H427" i="3"/>
  <c r="AC427" i="3"/>
  <c r="G427" i="3"/>
  <c r="H428" i="3"/>
  <c r="G428" i="3" s="1"/>
  <c r="AC428" i="3"/>
  <c r="H429" i="3"/>
  <c r="G429" i="3" s="1"/>
  <c r="AC429" i="3"/>
  <c r="H430" i="3"/>
  <c r="AC430" i="3"/>
  <c r="G430" i="3"/>
  <c r="H431" i="3"/>
  <c r="AC431" i="3"/>
  <c r="G431" i="3"/>
  <c r="H432" i="3"/>
  <c r="G432" i="3" s="1"/>
  <c r="AC432" i="3"/>
  <c r="H433" i="3"/>
  <c r="G433" i="3" s="1"/>
  <c r="AC433" i="3"/>
  <c r="H434" i="3"/>
  <c r="AC434" i="3"/>
  <c r="G434" i="3" s="1"/>
  <c r="H435" i="3"/>
  <c r="AC435" i="3"/>
  <c r="G435" i="3"/>
  <c r="H436" i="3"/>
  <c r="G436" i="3" s="1"/>
  <c r="AC436" i="3"/>
  <c r="H437" i="3"/>
  <c r="AC437" i="3"/>
  <c r="H438" i="3"/>
  <c r="AC438" i="3"/>
  <c r="G438" i="3"/>
  <c r="H439" i="3"/>
  <c r="AC439" i="3"/>
  <c r="G439" i="3"/>
  <c r="H440" i="3"/>
  <c r="G440" i="3" s="1"/>
  <c r="AC440" i="3"/>
  <c r="H441" i="3"/>
  <c r="G441" i="3" s="1"/>
  <c r="AC441" i="3"/>
  <c r="H442" i="3"/>
  <c r="AC442" i="3"/>
  <c r="G442" i="3" s="1"/>
  <c r="H443" i="3"/>
  <c r="AC443" i="3"/>
  <c r="G443" i="3"/>
  <c r="H444" i="3"/>
  <c r="G444" i="3" s="1"/>
  <c r="AC444" i="3"/>
  <c r="H445" i="3"/>
  <c r="AC445" i="3"/>
  <c r="H446" i="3"/>
  <c r="AC446" i="3"/>
  <c r="G446" i="3"/>
  <c r="H447" i="3"/>
  <c r="AC447" i="3"/>
  <c r="G447" i="3"/>
  <c r="H448" i="3"/>
  <c r="G448" i="3" s="1"/>
  <c r="AC448" i="3"/>
  <c r="H449" i="3"/>
  <c r="G449" i="3" s="1"/>
  <c r="AC449" i="3"/>
  <c r="H450" i="3"/>
  <c r="AC450" i="3"/>
  <c r="G450" i="3" s="1"/>
  <c r="H451" i="3"/>
  <c r="AC451" i="3"/>
  <c r="G451" i="3"/>
  <c r="H452" i="3"/>
  <c r="G452" i="3" s="1"/>
  <c r="AC452" i="3"/>
  <c r="H453" i="3"/>
  <c r="AC453" i="3"/>
  <c r="H454" i="3"/>
  <c r="AC454" i="3"/>
  <c r="G454" i="3"/>
  <c r="H455" i="3"/>
  <c r="AC455" i="3"/>
  <c r="G455" i="3"/>
  <c r="H456" i="3"/>
  <c r="G456" i="3" s="1"/>
  <c r="AC456" i="3"/>
  <c r="H457" i="3"/>
  <c r="G457" i="3" s="1"/>
  <c r="AC457" i="3"/>
  <c r="H458" i="3"/>
  <c r="AC458" i="3"/>
  <c r="G458" i="3" s="1"/>
  <c r="H459" i="3"/>
  <c r="AC459" i="3"/>
  <c r="G459" i="3"/>
  <c r="H460" i="3"/>
  <c r="G460" i="3" s="1"/>
  <c r="AC460" i="3"/>
  <c r="H461" i="3"/>
  <c r="G461" i="3" s="1"/>
  <c r="AC461" i="3"/>
  <c r="H462" i="3"/>
  <c r="AC462" i="3"/>
  <c r="G462" i="3"/>
  <c r="H463" i="3"/>
  <c r="AC463" i="3"/>
  <c r="G463" i="3"/>
  <c r="H464" i="3"/>
  <c r="G464" i="3" s="1"/>
  <c r="AC464" i="3"/>
  <c r="H465" i="3"/>
  <c r="G465" i="3" s="1"/>
  <c r="AC465" i="3"/>
  <c r="H466" i="3"/>
  <c r="AC466" i="3"/>
  <c r="G466" i="3" s="1"/>
  <c r="H467" i="3"/>
  <c r="AC467" i="3"/>
  <c r="G467" i="3"/>
  <c r="H468" i="3"/>
  <c r="G468" i="3" s="1"/>
  <c r="AC468" i="3"/>
  <c r="H469" i="3"/>
  <c r="AC469" i="3"/>
  <c r="H470" i="3"/>
  <c r="AC470" i="3"/>
  <c r="G470" i="3"/>
  <c r="H471" i="3"/>
  <c r="AC471" i="3"/>
  <c r="G471" i="3"/>
  <c r="H472" i="3"/>
  <c r="G472" i="3" s="1"/>
  <c r="AC472" i="3"/>
  <c r="H473" i="3"/>
  <c r="G473" i="3" s="1"/>
  <c r="AC473" i="3"/>
  <c r="H474" i="3"/>
  <c r="AC474" i="3"/>
  <c r="G474" i="3" s="1"/>
  <c r="H475" i="3"/>
  <c r="AC475" i="3"/>
  <c r="G475" i="3"/>
  <c r="H476" i="3"/>
  <c r="G476" i="3" s="1"/>
  <c r="AC476" i="3"/>
  <c r="H477" i="3"/>
  <c r="AC477" i="3"/>
  <c r="H478" i="3"/>
  <c r="AC478" i="3"/>
  <c r="G478" i="3"/>
  <c r="H479" i="3"/>
  <c r="AC479" i="3"/>
  <c r="G479" i="3"/>
  <c r="H480" i="3"/>
  <c r="G480" i="3" s="1"/>
  <c r="AC480" i="3"/>
  <c r="H481" i="3"/>
  <c r="G481" i="3" s="1"/>
  <c r="AC481" i="3"/>
  <c r="H482" i="3"/>
  <c r="AC482" i="3"/>
  <c r="G482" i="3" s="1"/>
  <c r="H483" i="3"/>
  <c r="AC483" i="3"/>
  <c r="G483" i="3"/>
  <c r="H484" i="3"/>
  <c r="G484" i="3" s="1"/>
  <c r="AC484" i="3"/>
  <c r="H485" i="3"/>
  <c r="AC485" i="3"/>
  <c r="H486" i="3"/>
  <c r="AC486" i="3"/>
  <c r="G486" i="3"/>
  <c r="H487" i="3"/>
  <c r="AC487" i="3"/>
  <c r="G487" i="3"/>
  <c r="H488" i="3"/>
  <c r="G488" i="3" s="1"/>
  <c r="AC488" i="3"/>
  <c r="H489" i="3"/>
  <c r="G489" i="3" s="1"/>
  <c r="AC489" i="3"/>
  <c r="H490" i="3"/>
  <c r="AC490" i="3"/>
  <c r="G490" i="3" s="1"/>
  <c r="H491" i="3"/>
  <c r="AC491" i="3"/>
  <c r="G491" i="3"/>
  <c r="H492" i="3"/>
  <c r="G492" i="3" s="1"/>
  <c r="AC492" i="3"/>
  <c r="H493" i="3"/>
  <c r="G493" i="3" s="1"/>
  <c r="AC493" i="3"/>
  <c r="H494" i="3"/>
  <c r="AC494" i="3"/>
  <c r="G494" i="3"/>
  <c r="H495" i="3"/>
  <c r="AC495" i="3"/>
  <c r="G495" i="3"/>
  <c r="H496" i="3"/>
  <c r="G496" i="3" s="1"/>
  <c r="AC496" i="3"/>
  <c r="H497" i="3"/>
  <c r="G497" i="3" s="1"/>
  <c r="AC497" i="3"/>
  <c r="H498" i="3"/>
  <c r="AC498" i="3"/>
  <c r="G498" i="3" s="1"/>
  <c r="H499" i="3"/>
  <c r="AC499" i="3"/>
  <c r="G499" i="3"/>
  <c r="H500" i="3"/>
  <c r="G500" i="3" s="1"/>
  <c r="AC500" i="3"/>
  <c r="H501" i="3"/>
  <c r="AC501" i="3"/>
  <c r="H502" i="3"/>
  <c r="AC502" i="3"/>
  <c r="G502" i="3"/>
  <c r="H503" i="3"/>
  <c r="AC503" i="3"/>
  <c r="G503" i="3"/>
  <c r="H504" i="3"/>
  <c r="G504" i="3" s="1"/>
  <c r="AC504" i="3"/>
  <c r="H505" i="3"/>
  <c r="G505" i="3" s="1"/>
  <c r="AC505" i="3"/>
  <c r="H506" i="3"/>
  <c r="AC506" i="3"/>
  <c r="G506" i="3" s="1"/>
  <c r="H507" i="3"/>
  <c r="AC507" i="3"/>
  <c r="G507" i="3"/>
  <c r="H508" i="3"/>
  <c r="G508" i="3" s="1"/>
  <c r="AC508" i="3"/>
  <c r="H509" i="3"/>
  <c r="AC509" i="3"/>
  <c r="H510" i="3"/>
  <c r="AC510" i="3"/>
  <c r="G510" i="3"/>
  <c r="H511" i="3"/>
  <c r="AC511" i="3"/>
  <c r="G511" i="3"/>
  <c r="H512" i="3"/>
  <c r="G512" i="3" s="1"/>
  <c r="AC512" i="3"/>
  <c r="H513" i="3"/>
  <c r="G513" i="3" s="1"/>
  <c r="AC513" i="3"/>
  <c r="H514" i="3"/>
  <c r="AC514" i="3"/>
  <c r="G514" i="3" s="1"/>
  <c r="H515" i="3"/>
  <c r="AC515" i="3"/>
  <c r="G515" i="3"/>
  <c r="H516" i="3"/>
  <c r="G516" i="3" s="1"/>
  <c r="AC516" i="3"/>
  <c r="H517" i="3"/>
  <c r="AC517" i="3"/>
  <c r="H518" i="3"/>
  <c r="AC518" i="3"/>
  <c r="G518" i="3"/>
  <c r="H519" i="3"/>
  <c r="AC519" i="3"/>
  <c r="G519" i="3"/>
  <c r="H520" i="3"/>
  <c r="G520" i="3" s="1"/>
  <c r="AC520" i="3"/>
  <c r="H521" i="3"/>
  <c r="G521" i="3" s="1"/>
  <c r="AC521" i="3"/>
  <c r="H522" i="3"/>
  <c r="AC522" i="3"/>
  <c r="G522" i="3" s="1"/>
  <c r="H523" i="3"/>
  <c r="AC523" i="3"/>
  <c r="G523" i="3"/>
  <c r="H524" i="3"/>
  <c r="G524" i="3" s="1"/>
  <c r="AC524" i="3"/>
  <c r="H525" i="3"/>
  <c r="G525" i="3" s="1"/>
  <c r="AC525" i="3"/>
  <c r="H526" i="3"/>
  <c r="AC526" i="3"/>
  <c r="G526" i="3"/>
  <c r="H527" i="3"/>
  <c r="AC527" i="3"/>
  <c r="G527" i="3"/>
  <c r="H528" i="3"/>
  <c r="G528" i="3" s="1"/>
  <c r="AC528" i="3"/>
  <c r="H529" i="3"/>
  <c r="G529" i="3" s="1"/>
  <c r="AC529" i="3"/>
  <c r="H530" i="3"/>
  <c r="AC530" i="3"/>
  <c r="G530" i="3" s="1"/>
  <c r="H531" i="3"/>
  <c r="AC531" i="3"/>
  <c r="G531" i="3"/>
  <c r="H532" i="3"/>
  <c r="G532" i="3" s="1"/>
  <c r="AC532" i="3"/>
  <c r="H533" i="3"/>
  <c r="AC533" i="3"/>
  <c r="H534" i="3"/>
  <c r="AC534" i="3"/>
  <c r="G534" i="3"/>
  <c r="H535" i="3"/>
  <c r="AC535" i="3"/>
  <c r="G535" i="3"/>
  <c r="H536" i="3"/>
  <c r="G536" i="3" s="1"/>
  <c r="AC536" i="3"/>
  <c r="H537" i="3"/>
  <c r="G537" i="3" s="1"/>
  <c r="AC537" i="3"/>
  <c r="H538" i="3"/>
  <c r="AC538" i="3"/>
  <c r="G538" i="3" s="1"/>
  <c r="H539" i="3"/>
  <c r="AC539" i="3"/>
  <c r="G539" i="3"/>
  <c r="H540" i="3"/>
  <c r="G540" i="3" s="1"/>
  <c r="AC540" i="3"/>
  <c r="H541" i="3"/>
  <c r="AC541" i="3"/>
  <c r="H542" i="3"/>
  <c r="AC542" i="3"/>
  <c r="G542" i="3"/>
  <c r="H543" i="3"/>
  <c r="AC543" i="3"/>
  <c r="G543" i="3"/>
  <c r="H544" i="3"/>
  <c r="G544" i="3" s="1"/>
  <c r="AC544" i="3"/>
  <c r="H545" i="3"/>
  <c r="G545" i="3" s="1"/>
  <c r="AC545" i="3"/>
  <c r="H546" i="3"/>
  <c r="AC546" i="3"/>
  <c r="G546" i="3" s="1"/>
  <c r="H547" i="3"/>
  <c r="AC547" i="3"/>
  <c r="G547" i="3"/>
  <c r="H548" i="3"/>
  <c r="G548" i="3" s="1"/>
  <c r="AC548" i="3"/>
  <c r="H549" i="3"/>
  <c r="AC549" i="3"/>
  <c r="H550" i="3"/>
  <c r="AC550" i="3"/>
  <c r="G550" i="3"/>
  <c r="H551" i="3"/>
  <c r="AC551" i="3"/>
  <c r="G551" i="3"/>
  <c r="H552" i="3"/>
  <c r="G552" i="3" s="1"/>
  <c r="AC552" i="3"/>
  <c r="H553" i="3"/>
  <c r="G553" i="3" s="1"/>
  <c r="AC553" i="3"/>
  <c r="H554" i="3"/>
  <c r="AC554" i="3"/>
  <c r="G554" i="3" s="1"/>
  <c r="H555" i="3"/>
  <c r="AC555" i="3"/>
  <c r="G555" i="3"/>
  <c r="H556" i="3"/>
  <c r="G556" i="3" s="1"/>
  <c r="AC556" i="3"/>
  <c r="H557" i="3"/>
  <c r="G557" i="3" s="1"/>
  <c r="AC557" i="3"/>
  <c r="H558" i="3"/>
  <c r="AC558" i="3"/>
  <c r="G558" i="3"/>
  <c r="H559" i="3"/>
  <c r="AC559" i="3"/>
  <c r="G559" i="3"/>
  <c r="H560" i="3"/>
  <c r="G560" i="3" s="1"/>
  <c r="AC560" i="3"/>
  <c r="H561" i="3"/>
  <c r="G561" i="3" s="1"/>
  <c r="AC561" i="3"/>
  <c r="H562" i="3"/>
  <c r="AC562" i="3"/>
  <c r="G562" i="3" s="1"/>
  <c r="H563" i="3"/>
  <c r="AC563" i="3"/>
  <c r="G563" i="3"/>
  <c r="H564" i="3"/>
  <c r="G564" i="3" s="1"/>
  <c r="AC564" i="3"/>
  <c r="H565" i="3"/>
  <c r="AC565" i="3"/>
  <c r="H566" i="3"/>
  <c r="AC566" i="3"/>
  <c r="G566" i="3"/>
  <c r="H567" i="3"/>
  <c r="AC567" i="3"/>
  <c r="G567" i="3"/>
  <c r="H568" i="3"/>
  <c r="G568" i="3" s="1"/>
  <c r="AC568" i="3"/>
  <c r="H569" i="3"/>
  <c r="G569" i="3" s="1"/>
  <c r="AC569" i="3"/>
  <c r="H570" i="3"/>
  <c r="AC570" i="3"/>
  <c r="G570" i="3" s="1"/>
  <c r="H571" i="3"/>
  <c r="AC571" i="3"/>
  <c r="G571" i="3"/>
  <c r="H572" i="3"/>
  <c r="G572" i="3" s="1"/>
  <c r="AC572" i="3"/>
  <c r="E19" i="6"/>
  <c r="E20" i="6"/>
  <c r="E21" i="6"/>
  <c r="E22" i="6"/>
  <c r="E23" i="6"/>
  <c r="E24" i="6"/>
  <c r="E25" i="6"/>
  <c r="E26" i="6"/>
  <c r="I40" i="39"/>
  <c r="G40" i="39"/>
  <c r="E40" i="39"/>
  <c r="I7" i="39"/>
  <c r="G7" i="39"/>
  <c r="E7" i="39"/>
  <c r="I48" i="39"/>
  <c r="G48" i="39"/>
  <c r="E48" i="39"/>
  <c r="I9" i="39"/>
  <c r="G9" i="39"/>
  <c r="E9" i="39"/>
  <c r="B8" i="69"/>
  <c r="B4" i="69"/>
  <c r="B3" i="69"/>
  <c r="AH5" i="59"/>
  <c r="AG5" i="59"/>
  <c r="AE5" i="59"/>
  <c r="AF5" i="59"/>
  <c r="AD5" i="59"/>
  <c r="Q6" i="59"/>
  <c r="Q5" i="59"/>
  <c r="P6" i="59"/>
  <c r="P7" i="59"/>
  <c r="E7" i="59" s="1"/>
  <c r="P8" i="59"/>
  <c r="P9" i="59"/>
  <c r="P10" i="59"/>
  <c r="P11" i="59"/>
  <c r="E11" i="59" s="1"/>
  <c r="P12" i="59"/>
  <c r="P13" i="59"/>
  <c r="P14" i="59"/>
  <c r="P15" i="59"/>
  <c r="P16" i="59"/>
  <c r="P17" i="59"/>
  <c r="P18" i="59"/>
  <c r="P19" i="59"/>
  <c r="P20" i="59"/>
  <c r="P21" i="59"/>
  <c r="P22" i="59"/>
  <c r="P5" i="59"/>
  <c r="O6" i="59"/>
  <c r="O5" i="59"/>
  <c r="N6" i="59"/>
  <c r="N5" i="59"/>
  <c r="Q7" i="59"/>
  <c r="F7" i="59"/>
  <c r="V7" i="59" s="1"/>
  <c r="O7" i="59"/>
  <c r="C7" i="59"/>
  <c r="M19" i="46"/>
  <c r="J50" i="15"/>
  <c r="D8" i="59"/>
  <c r="AH6" i="59"/>
  <c r="AG6" i="59"/>
  <c r="AE6" i="59"/>
  <c r="AF6" i="59"/>
  <c r="AD6" i="59"/>
  <c r="I3" i="59"/>
  <c r="L3" i="59"/>
  <c r="K3" i="59"/>
  <c r="AG3" i="59" s="1"/>
  <c r="J3" i="59"/>
  <c r="AE7" i="59"/>
  <c r="AF7" i="59"/>
  <c r="AG7" i="59"/>
  <c r="AH7" i="59"/>
  <c r="AD7" i="59"/>
  <c r="N7" i="59"/>
  <c r="B7" i="59" s="1"/>
  <c r="B6" i="59" s="1"/>
  <c r="B5" i="59" s="1"/>
  <c r="N8" i="59"/>
  <c r="Q8" i="59"/>
  <c r="O8" i="59"/>
  <c r="K59" i="15"/>
  <c r="Q74" i="44"/>
  <c r="Q61" i="44"/>
  <c r="Q60" i="44"/>
  <c r="Q53" i="44"/>
  <c r="J51" i="44"/>
  <c r="J52" i="44" s="1"/>
  <c r="M48" i="44"/>
  <c r="A16" i="55"/>
  <c r="B67" i="63" s="1"/>
  <c r="A15" i="55"/>
  <c r="A14" i="55"/>
  <c r="A11" i="55"/>
  <c r="B62" i="63" s="1"/>
  <c r="A10" i="55"/>
  <c r="B61" i="63" s="1"/>
  <c r="A9" i="55"/>
  <c r="A8" i="55"/>
  <c r="B59" i="63"/>
  <c r="A6" i="54"/>
  <c r="A8" i="54"/>
  <c r="B53" i="63"/>
  <c r="A7" i="54"/>
  <c r="B51" i="63" s="1"/>
  <c r="C57" i="10"/>
  <c r="A28" i="51" s="1"/>
  <c r="N4" i="63" s="1"/>
  <c r="A27" i="51"/>
  <c r="D5" i="46"/>
  <c r="Q9" i="59"/>
  <c r="O9" i="59"/>
  <c r="N10" i="59"/>
  <c r="O10" i="59"/>
  <c r="Q10" i="59"/>
  <c r="N9" i="59"/>
  <c r="K75" i="9"/>
  <c r="K6" i="4"/>
  <c r="L76" i="9" s="1"/>
  <c r="B22" i="31"/>
  <c r="E17" i="66"/>
  <c r="F17" i="66"/>
  <c r="E18" i="66"/>
  <c r="F18" i="66"/>
  <c r="E19" i="66"/>
  <c r="F19" i="66"/>
  <c r="E20" i="66"/>
  <c r="F20" i="66"/>
  <c r="E21" i="66"/>
  <c r="F21" i="66"/>
  <c r="E22" i="66"/>
  <c r="F22" i="66"/>
  <c r="E23" i="66"/>
  <c r="F23" i="66"/>
  <c r="B3" i="66"/>
  <c r="E10" i="59"/>
  <c r="E9" i="59"/>
  <c r="U7" i="59"/>
  <c r="AD3" i="59"/>
  <c r="AE3" i="59"/>
  <c r="AF3" i="59" s="1"/>
  <c r="AH3"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H22" i="59"/>
  <c r="AG22" i="59"/>
  <c r="AE22" i="59"/>
  <c r="AF22" i="59" s="1"/>
  <c r="AD22" i="59"/>
  <c r="AD23" i="59"/>
  <c r="AE23" i="59"/>
  <c r="AF23" i="59" s="1"/>
  <c r="AG23" i="59"/>
  <c r="AH23" i="59"/>
  <c r="S2" i="31"/>
  <c r="M2" i="31"/>
  <c r="N2" i="31"/>
  <c r="O2" i="31"/>
  <c r="P2" i="31"/>
  <c r="Q2" i="31"/>
  <c r="R2" i="31"/>
  <c r="C3" i="65"/>
  <c r="C1" i="65"/>
  <c r="B76" i="63"/>
  <c r="M5" i="54"/>
  <c r="A23" i="51"/>
  <c r="Y12" i="46"/>
  <c r="AA9" i="46"/>
  <c r="AB9" i="46"/>
  <c r="AC9" i="46"/>
  <c r="AC10" i="46" s="1"/>
  <c r="AD9" i="46"/>
  <c r="AD10" i="46" s="1"/>
  <c r="AE9" i="46"/>
  <c r="AF9" i="46"/>
  <c r="AF10" i="46" s="1"/>
  <c r="AG9" i="46"/>
  <c r="AG10" i="46" s="1"/>
  <c r="AH9" i="46"/>
  <c r="AI9" i="46"/>
  <c r="AJ9" i="46"/>
  <c r="AJ12" i="46" s="1"/>
  <c r="Z9" i="46"/>
  <c r="Z10" i="46" s="1"/>
  <c r="AJ10" i="46"/>
  <c r="AH10" i="46"/>
  <c r="AB10" i="46"/>
  <c r="Y10" i="46"/>
  <c r="AH12" i="46"/>
  <c r="AF12" i="46"/>
  <c r="AD12" i="46"/>
  <c r="AB12" i="46"/>
  <c r="AG12" i="46"/>
  <c r="AC12" i="46"/>
  <c r="B73" i="63"/>
  <c r="A21" i="64"/>
  <c r="B75" i="63"/>
  <c r="A27" i="64"/>
  <c r="A15" i="64"/>
  <c r="A14" i="64"/>
  <c r="A11" i="64"/>
  <c r="A3" i="64"/>
  <c r="A45" i="9"/>
  <c r="K40" i="9" s="1"/>
  <c r="A44" i="9"/>
  <c r="A28" i="64"/>
  <c r="C56" i="10"/>
  <c r="C55" i="10"/>
  <c r="C54" i="10"/>
  <c r="B49" i="63"/>
  <c r="B44" i="63"/>
  <c r="B40" i="63"/>
  <c r="B30" i="63"/>
  <c r="B27" i="63"/>
  <c r="B25" i="63"/>
  <c r="A11" i="51"/>
  <c r="K39" i="9"/>
  <c r="B58"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c r="A14" i="51"/>
  <c r="B11" i="63" s="1"/>
  <c r="B66" i="63"/>
  <c r="A4" i="55"/>
  <c r="B57" i="63"/>
  <c r="B41" i="63"/>
  <c r="G5" i="54"/>
  <c r="B34" i="63"/>
  <c r="E5" i="54"/>
  <c r="B32" i="63" s="1"/>
  <c r="R2" i="54"/>
  <c r="B24" i="63"/>
  <c r="B49" i="50"/>
  <c r="B5" i="63" s="1"/>
  <c r="B40" i="50"/>
  <c r="B3" i="63"/>
  <c r="I19" i="46"/>
  <c r="Q11" i="59"/>
  <c r="U11" i="59"/>
  <c r="O11" i="59"/>
  <c r="N11" i="59"/>
  <c r="B11" i="59" s="1"/>
  <c r="B10" i="59" s="1"/>
  <c r="B9" i="59" s="1"/>
  <c r="D72" i="59"/>
  <c r="F71" i="59"/>
  <c r="E71" i="59"/>
  <c r="E70" i="59" s="1"/>
  <c r="E69" i="59"/>
  <c r="C71" i="59"/>
  <c r="D71" i="59" s="1"/>
  <c r="B71" i="59"/>
  <c r="F70" i="59"/>
  <c r="F69" i="59"/>
  <c r="B70" i="59"/>
  <c r="B69" i="59" s="1"/>
  <c r="D68" i="59"/>
  <c r="F67" i="59"/>
  <c r="E67" i="59"/>
  <c r="E66" i="59" s="1"/>
  <c r="E65" i="59" s="1"/>
  <c r="C67" i="59"/>
  <c r="B67" i="59"/>
  <c r="F66" i="59"/>
  <c r="F65" i="59" s="1"/>
  <c r="B66" i="59"/>
  <c r="B65" i="59" s="1"/>
  <c r="D64" i="59"/>
  <c r="Q63" i="59"/>
  <c r="P63" i="59"/>
  <c r="O63" i="59"/>
  <c r="N63" i="59"/>
  <c r="F63" i="59"/>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s="1"/>
  <c r="E59" i="59"/>
  <c r="C59" i="59"/>
  <c r="C58" i="59" s="1"/>
  <c r="B59" i="59"/>
  <c r="S59" i="59" s="1"/>
  <c r="Q58" i="59"/>
  <c r="P58" i="59"/>
  <c r="O58" i="59"/>
  <c r="N58" i="59"/>
  <c r="F58" i="59"/>
  <c r="F57" i="59"/>
  <c r="B58" i="59"/>
  <c r="B57" i="59" s="1"/>
  <c r="Q57" i="59"/>
  <c r="P57" i="59"/>
  <c r="O57" i="59"/>
  <c r="N57" i="59"/>
  <c r="Q56" i="59"/>
  <c r="P56" i="59"/>
  <c r="O56" i="59"/>
  <c r="N56" i="59"/>
  <c r="D56" i="59"/>
  <c r="Q55" i="59"/>
  <c r="P55" i="59"/>
  <c r="O55" i="59"/>
  <c r="N55" i="59"/>
  <c r="F55" i="59"/>
  <c r="V55" i="59" s="1"/>
  <c r="E55" i="59"/>
  <c r="U55" i="59"/>
  <c r="C55" i="59"/>
  <c r="B55" i="59"/>
  <c r="S55" i="59"/>
  <c r="Q54" i="59"/>
  <c r="P54" i="59"/>
  <c r="O54" i="59"/>
  <c r="N54" i="59"/>
  <c r="F54" i="59"/>
  <c r="F53" i="59" s="1"/>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s="1"/>
  <c r="F47" i="59" s="1"/>
  <c r="V47" i="59"/>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B42" i="59" s="1"/>
  <c r="B43" i="59" s="1"/>
  <c r="S43" i="59" s="1"/>
  <c r="Q40" i="59"/>
  <c r="F41" i="59" s="1"/>
  <c r="F42" i="59" s="1"/>
  <c r="F43" i="59" s="1"/>
  <c r="V43" i="59" s="1"/>
  <c r="P40" i="59"/>
  <c r="E41" i="59"/>
  <c r="E42" i="59" s="1"/>
  <c r="E43" i="59" s="1"/>
  <c r="U43" i="59"/>
  <c r="O40" i="59"/>
  <c r="C41" i="59" s="1"/>
  <c r="N40" i="59"/>
  <c r="B41" i="59" s="1"/>
  <c r="D40" i="59"/>
  <c r="Q39" i="59"/>
  <c r="P39" i="59"/>
  <c r="O39" i="59"/>
  <c r="N39" i="59"/>
  <c r="Q38" i="59"/>
  <c r="P38" i="59"/>
  <c r="O38" i="59"/>
  <c r="N38" i="59"/>
  <c r="Q37" i="59"/>
  <c r="P37" i="59"/>
  <c r="O37" i="59"/>
  <c r="N37" i="59"/>
  <c r="Q36" i="59"/>
  <c r="F37" i="59" s="1"/>
  <c r="F38" i="59" s="1"/>
  <c r="F39" i="59" s="1"/>
  <c r="V39" i="59" s="1"/>
  <c r="P36" i="59"/>
  <c r="E37" i="59" s="1"/>
  <c r="O36" i="59"/>
  <c r="C37" i="59" s="1"/>
  <c r="D37" i="59" s="1"/>
  <c r="N36" i="59"/>
  <c r="B37" i="59"/>
  <c r="B38" i="59" s="1"/>
  <c r="B39" i="59" s="1"/>
  <c r="S39" i="59"/>
  <c r="D36" i="59"/>
  <c r="Q35" i="59"/>
  <c r="P35" i="59"/>
  <c r="O35" i="59"/>
  <c r="N35" i="59"/>
  <c r="Q34" i="59"/>
  <c r="P34" i="59"/>
  <c r="O34" i="59"/>
  <c r="N34" i="59"/>
  <c r="Q33" i="59"/>
  <c r="P33" i="59"/>
  <c r="O33" i="59"/>
  <c r="N33" i="59"/>
  <c r="Q32" i="59"/>
  <c r="F33" i="59" s="1"/>
  <c r="F34" i="59"/>
  <c r="F35" i="59"/>
  <c r="V35" i="59" s="1"/>
  <c r="P32" i="59"/>
  <c r="E33" i="59"/>
  <c r="E34" i="59" s="1"/>
  <c r="O32" i="59"/>
  <c r="C33" i="59" s="1"/>
  <c r="D33" i="59" s="1"/>
  <c r="N32" i="59"/>
  <c r="B33" i="59"/>
  <c r="B34" i="59"/>
  <c r="D32" i="59"/>
  <c r="T31" i="59"/>
  <c r="Q31" i="59"/>
  <c r="P31" i="59"/>
  <c r="O31" i="59"/>
  <c r="N31" i="59"/>
  <c r="D31" i="59"/>
  <c r="Q30" i="59"/>
  <c r="P30" i="59"/>
  <c r="O30" i="59"/>
  <c r="N30" i="59"/>
  <c r="Q29" i="59"/>
  <c r="P29" i="59"/>
  <c r="O29" i="59"/>
  <c r="N29" i="59"/>
  <c r="Q28" i="59"/>
  <c r="F29" i="59" s="1"/>
  <c r="F30" i="59" s="1"/>
  <c r="P28" i="59"/>
  <c r="E29" i="59"/>
  <c r="E30" i="59" s="1"/>
  <c r="E31" i="59" s="1"/>
  <c r="U31" i="59" s="1"/>
  <c r="O28" i="59"/>
  <c r="C29" i="59"/>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c r="U27" i="59"/>
  <c r="O24" i="59"/>
  <c r="C25" i="59" s="1"/>
  <c r="D25" i="59"/>
  <c r="N24" i="59"/>
  <c r="B25" i="59" s="1"/>
  <c r="D24" i="59"/>
  <c r="Q23" i="59"/>
  <c r="P23" i="59"/>
  <c r="O23" i="59"/>
  <c r="N23" i="59"/>
  <c r="Q22" i="59"/>
  <c r="AB22" i="59"/>
  <c r="O22" i="59"/>
  <c r="N22" i="59"/>
  <c r="X22" i="59" s="1"/>
  <c r="Q21" i="59"/>
  <c r="AB21" i="59"/>
  <c r="AA21" i="59"/>
  <c r="O21" i="59"/>
  <c r="N21" i="59"/>
  <c r="X21" i="59"/>
  <c r="Q20" i="59"/>
  <c r="F21" i="59"/>
  <c r="O20" i="59"/>
  <c r="N20" i="59"/>
  <c r="D20" i="59"/>
  <c r="Q19" i="59"/>
  <c r="O19" i="59"/>
  <c r="Y19" i="59" s="1"/>
  <c r="Z19" i="59"/>
  <c r="N19" i="59"/>
  <c r="Q18" i="59"/>
  <c r="O18" i="59"/>
  <c r="N18" i="59"/>
  <c r="Q17" i="59"/>
  <c r="O17" i="59"/>
  <c r="N17" i="59"/>
  <c r="Q16" i="59"/>
  <c r="O16" i="59"/>
  <c r="C17" i="59"/>
  <c r="N16" i="59"/>
  <c r="B17" i="59" s="1"/>
  <c r="D16" i="59"/>
  <c r="Q15" i="59"/>
  <c r="O15" i="59"/>
  <c r="N15" i="59"/>
  <c r="Q14" i="59"/>
  <c r="O14" i="59"/>
  <c r="N14" i="59"/>
  <c r="Q13" i="59"/>
  <c r="O13" i="59"/>
  <c r="N13" i="59"/>
  <c r="Q12" i="59"/>
  <c r="F13" i="59"/>
  <c r="F14" i="59" s="1"/>
  <c r="O12" i="59"/>
  <c r="N12" i="59"/>
  <c r="D12" i="59"/>
  <c r="AB3" i="59"/>
  <c r="B35" i="59"/>
  <c r="S35" i="59" s="1"/>
  <c r="E35" i="59"/>
  <c r="U35" i="59" s="1"/>
  <c r="AA22" i="59"/>
  <c r="F15" i="59"/>
  <c r="V15" i="59" s="1"/>
  <c r="F31" i="59"/>
  <c r="V31" i="59"/>
  <c r="D45" i="59"/>
  <c r="D17" i="59"/>
  <c r="D51" i="59"/>
  <c r="C50" i="59"/>
  <c r="O50" i="59" s="1"/>
  <c r="U51" i="59"/>
  <c r="E54" i="59"/>
  <c r="E53" i="59" s="1"/>
  <c r="E62" i="59"/>
  <c r="E61" i="59" s="1"/>
  <c r="C70" i="59"/>
  <c r="D70" i="59" s="1"/>
  <c r="U16" i="4"/>
  <c r="S16" i="4"/>
  <c r="Q16" i="4"/>
  <c r="O16" i="4"/>
  <c r="M16" i="4"/>
  <c r="K16" i="4"/>
  <c r="O27" i="6"/>
  <c r="N27" i="6"/>
  <c r="P26" i="6"/>
  <c r="L26" i="6"/>
  <c r="P25" i="6"/>
  <c r="L25" i="6"/>
  <c r="P24" i="6"/>
  <c r="L24" i="6"/>
  <c r="P23" i="6"/>
  <c r="L23" i="6"/>
  <c r="P22" i="6"/>
  <c r="L22" i="6"/>
  <c r="P21" i="6"/>
  <c r="L21" i="6"/>
  <c r="P20" i="6"/>
  <c r="P19" i="6"/>
  <c r="Q18" i="36"/>
  <c r="Z18" i="36"/>
  <c r="C18" i="36"/>
  <c r="D66" i="36"/>
  <c r="E66" i="36"/>
  <c r="F18" i="36"/>
  <c r="Q18" i="35"/>
  <c r="Z18" i="35"/>
  <c r="F18" i="35"/>
  <c r="C18" i="35"/>
  <c r="D68" i="35"/>
  <c r="E68" i="35" s="1"/>
  <c r="F68" i="35" s="1"/>
  <c r="G68" i="35" s="1"/>
  <c r="Q21" i="37"/>
  <c r="Z21" i="37"/>
  <c r="F21" i="37"/>
  <c r="C21" i="37"/>
  <c r="D77" i="37"/>
  <c r="E77" i="37"/>
  <c r="F77" i="37" s="1"/>
  <c r="G77" i="37" s="1"/>
  <c r="Q21" i="34"/>
  <c r="Z21" i="34" s="1"/>
  <c r="C21" i="34"/>
  <c r="D84" i="34"/>
  <c r="F21" i="34"/>
  <c r="Q21" i="33"/>
  <c r="Z21" i="33" s="1"/>
  <c r="C21" i="33"/>
  <c r="D83" i="33"/>
  <c r="E83" i="33" s="1"/>
  <c r="F83" i="33" s="1"/>
  <c r="G83" i="33" s="1"/>
  <c r="Q21" i="21"/>
  <c r="Z21" i="21" s="1"/>
  <c r="D83" i="21"/>
  <c r="E83" i="21"/>
  <c r="F83" i="21" s="1"/>
  <c r="G83" i="21" s="1"/>
  <c r="F21" i="21"/>
  <c r="C21" i="21"/>
  <c r="Q27" i="40"/>
  <c r="Z27" i="40"/>
  <c r="D96" i="40"/>
  <c r="E96" i="40" s="1"/>
  <c r="F27" i="40"/>
  <c r="AA27" i="40"/>
  <c r="Q31" i="39"/>
  <c r="Z31" i="39" s="1"/>
  <c r="D105" i="39"/>
  <c r="E105" i="39"/>
  <c r="F105" i="39"/>
  <c r="G105" i="39" s="1"/>
  <c r="F31" i="39"/>
  <c r="AA31" i="39"/>
  <c r="G20" i="20"/>
  <c r="B85" i="46" s="1"/>
  <c r="C22" i="20"/>
  <c r="B65" i="46"/>
  <c r="S27" i="40"/>
  <c r="C27" i="40"/>
  <c r="C31" i="39"/>
  <c r="B54" i="46"/>
  <c r="B74" i="46"/>
  <c r="H18" i="35"/>
  <c r="J18" i="35"/>
  <c r="H21" i="37"/>
  <c r="J21" i="37"/>
  <c r="E84" i="34"/>
  <c r="F84" i="34" s="1"/>
  <c r="G84" i="34" s="1"/>
  <c r="J21" i="34"/>
  <c r="W21" i="34" s="1"/>
  <c r="H21" i="34"/>
  <c r="F21" i="33"/>
  <c r="H21" i="33"/>
  <c r="J21" i="33"/>
  <c r="H21" i="21"/>
  <c r="J21" i="21"/>
  <c r="F96" i="40"/>
  <c r="H27" i="40"/>
  <c r="H31" i="39"/>
  <c r="F23" i="15"/>
  <c r="D22" i="15"/>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C30" i="57"/>
  <c r="C112" i="9"/>
  <c r="C7" i="11"/>
  <c r="F80" i="46"/>
  <c r="H81" i="46" s="1"/>
  <c r="D1" i="46"/>
  <c r="F113" i="46"/>
  <c r="D99" i="46"/>
  <c r="E99" i="46"/>
  <c r="E108" i="46"/>
  <c r="F99" i="46"/>
  <c r="F100" i="46" s="1"/>
  <c r="G99" i="46"/>
  <c r="G108" i="46"/>
  <c r="H99" i="46"/>
  <c r="H108" i="46" s="1"/>
  <c r="I99" i="46"/>
  <c r="I108" i="46"/>
  <c r="J99" i="46"/>
  <c r="J108" i="46" s="1"/>
  <c r="K99" i="46"/>
  <c r="K108" i="46"/>
  <c r="L99" i="46"/>
  <c r="M99" i="46"/>
  <c r="M108" i="46"/>
  <c r="N99" i="46"/>
  <c r="N108" i="46" s="1"/>
  <c r="C99" i="46"/>
  <c r="C108" i="46"/>
  <c r="K100" i="46"/>
  <c r="K58" i="46"/>
  <c r="J58" i="46"/>
  <c r="D58" i="46"/>
  <c r="K50" i="46"/>
  <c r="D83" i="46"/>
  <c r="D77" i="46"/>
  <c r="B83" i="46"/>
  <c r="B82" i="46"/>
  <c r="B71" i="46"/>
  <c r="B60" i="46"/>
  <c r="B49" i="46"/>
  <c r="M87" i="46"/>
  <c r="N87" i="46" s="1"/>
  <c r="K87" i="46"/>
  <c r="J87" i="46"/>
  <c r="D87" i="46"/>
  <c r="M86" i="46"/>
  <c r="D86" i="46"/>
  <c r="K86" i="46"/>
  <c r="J86" i="46" s="1"/>
  <c r="M85" i="46"/>
  <c r="N85" i="46"/>
  <c r="D85" i="46"/>
  <c r="K85" i="46"/>
  <c r="J85" i="46" s="1"/>
  <c r="M84" i="46"/>
  <c r="N84" i="46" s="1"/>
  <c r="K84" i="46"/>
  <c r="J84" i="46" s="1"/>
  <c r="M83" i="46"/>
  <c r="N83" i="46"/>
  <c r="K83" i="46"/>
  <c r="J83" i="46" s="1"/>
  <c r="M82" i="46"/>
  <c r="N82" i="46"/>
  <c r="K82" i="46"/>
  <c r="J82" i="46" s="1"/>
  <c r="D82" i="46"/>
  <c r="M81" i="46"/>
  <c r="N81" i="46" s="1"/>
  <c r="K81" i="46"/>
  <c r="J81" i="46"/>
  <c r="M80" i="46"/>
  <c r="N80" i="46" s="1"/>
  <c r="K80" i="46"/>
  <c r="J80" i="46"/>
  <c r="M77" i="46"/>
  <c r="N77" i="46" s="1"/>
  <c r="K77" i="46"/>
  <c r="J77" i="46"/>
  <c r="M76" i="46"/>
  <c r="N76" i="46" s="1"/>
  <c r="D76" i="46"/>
  <c r="K76" i="46"/>
  <c r="J76" i="46"/>
  <c r="M75" i="46"/>
  <c r="N75" i="46" s="1"/>
  <c r="K75" i="46"/>
  <c r="J75" i="46" s="1"/>
  <c r="M74" i="46"/>
  <c r="N74" i="46" s="1"/>
  <c r="K74" i="46"/>
  <c r="J74" i="46" s="1"/>
  <c r="D74" i="46"/>
  <c r="M73" i="46"/>
  <c r="D73" i="46"/>
  <c r="K73" i="46"/>
  <c r="J73" i="46" s="1"/>
  <c r="M72" i="46"/>
  <c r="N72" i="46"/>
  <c r="K72" i="46"/>
  <c r="J72" i="46" s="1"/>
  <c r="D72" i="46"/>
  <c r="M71" i="46"/>
  <c r="N71" i="46"/>
  <c r="K71" i="46"/>
  <c r="J71" i="46" s="1"/>
  <c r="M70" i="46"/>
  <c r="N70" i="46" s="1"/>
  <c r="K70" i="46"/>
  <c r="J70" i="46" s="1"/>
  <c r="D70" i="46"/>
  <c r="M69" i="46"/>
  <c r="N69" i="46" s="1"/>
  <c r="K69" i="46"/>
  <c r="J69" i="46"/>
  <c r="M66" i="46"/>
  <c r="N66" i="46" s="1"/>
  <c r="K66" i="46"/>
  <c r="M65" i="46"/>
  <c r="N65" i="46"/>
  <c r="K65" i="46"/>
  <c r="J65" i="46" s="1"/>
  <c r="D65" i="46"/>
  <c r="M64" i="46"/>
  <c r="N64" i="46" s="1"/>
  <c r="K64" i="46"/>
  <c r="J64" i="46"/>
  <c r="D64" i="46"/>
  <c r="M63" i="46"/>
  <c r="N63" i="46" s="1"/>
  <c r="K63" i="46"/>
  <c r="J63" i="46"/>
  <c r="D63" i="46"/>
  <c r="M62" i="46"/>
  <c r="N62" i="46"/>
  <c r="K62" i="46"/>
  <c r="J62" i="46" s="1"/>
  <c r="D62" i="46"/>
  <c r="M61" i="46"/>
  <c r="N61" i="46"/>
  <c r="K61" i="46"/>
  <c r="J61" i="46" s="1"/>
  <c r="D61" i="46"/>
  <c r="M60" i="46"/>
  <c r="N60" i="46" s="1"/>
  <c r="K60" i="46"/>
  <c r="J60" i="46"/>
  <c r="D60" i="46"/>
  <c r="M59" i="46"/>
  <c r="N59" i="46" s="1"/>
  <c r="K59" i="46"/>
  <c r="J59" i="46"/>
  <c r="D59" i="46"/>
  <c r="M58" i="46"/>
  <c r="N58" i="46"/>
  <c r="M55" i="46"/>
  <c r="N55" i="46" s="1"/>
  <c r="K55" i="46"/>
  <c r="M54" i="46"/>
  <c r="N54" i="46"/>
  <c r="K54" i="46"/>
  <c r="J54" i="46" s="1"/>
  <c r="M53" i="46"/>
  <c r="N53" i="46" s="1"/>
  <c r="K53" i="46"/>
  <c r="J53" i="46" s="1"/>
  <c r="D53" i="46"/>
  <c r="M52" i="46"/>
  <c r="N52" i="46" s="1"/>
  <c r="K52" i="46"/>
  <c r="J52" i="46"/>
  <c r="D52" i="46"/>
  <c r="M51" i="46"/>
  <c r="N51" i="46" s="1"/>
  <c r="K51" i="46"/>
  <c r="J51" i="46" s="1"/>
  <c r="M50" i="46"/>
  <c r="N50" i="46" s="1"/>
  <c r="M49" i="46"/>
  <c r="N49" i="46"/>
  <c r="K49" i="46"/>
  <c r="J49" i="46" s="1"/>
  <c r="D49" i="46"/>
  <c r="M48" i="46"/>
  <c r="N48" i="46"/>
  <c r="K48" i="46"/>
  <c r="J48" i="46" s="1"/>
  <c r="D48" i="46"/>
  <c r="M47" i="46"/>
  <c r="N47" i="46" s="1"/>
  <c r="K47" i="46"/>
  <c r="J47" i="46"/>
  <c r="D47" i="46"/>
  <c r="D51" i="46"/>
  <c r="J55" i="46"/>
  <c r="D55" i="46"/>
  <c r="N86" i="46"/>
  <c r="D80" i="46"/>
  <c r="D81" i="46"/>
  <c r="E80" i="46" s="1"/>
  <c r="B78" i="46" s="1"/>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c r="H12" i="31"/>
  <c r="I12" i="31" s="1"/>
  <c r="J12" i="31" s="1"/>
  <c r="K12" i="31"/>
  <c r="L12" i="31" s="1"/>
  <c r="M12" i="31" s="1"/>
  <c r="N12" i="31" s="1"/>
  <c r="O12" i="31" s="1"/>
  <c r="P12" i="31"/>
  <c r="Q12" i="31" s="1"/>
  <c r="R12" i="31" s="1"/>
  <c r="S12" i="31" s="1"/>
  <c r="D10" i="31"/>
  <c r="E10" i="31" s="1"/>
  <c r="F10" i="31" s="1"/>
  <c r="G10" i="31"/>
  <c r="H10" i="31"/>
  <c r="I10" i="31" s="1"/>
  <c r="J10" i="31" s="1"/>
  <c r="K10" i="31" s="1"/>
  <c r="L10" i="31" s="1"/>
  <c r="M10" i="31" s="1"/>
  <c r="N10" i="31" s="1"/>
  <c r="O10" i="31" s="1"/>
  <c r="P10" i="31" s="1"/>
  <c r="Q10" i="31" s="1"/>
  <c r="R10" i="31" s="1"/>
  <c r="S10" i="31"/>
  <c r="D8" i="31"/>
  <c r="E8" i="31" s="1"/>
  <c r="F8" i="31" s="1"/>
  <c r="G8" i="31"/>
  <c r="H8" i="31"/>
  <c r="I8" i="31" s="1"/>
  <c r="J8" i="31" s="1"/>
  <c r="K8" i="31"/>
  <c r="L8" i="31" s="1"/>
  <c r="M8" i="31" s="1"/>
  <c r="N8" i="31" s="1"/>
  <c r="O8" i="31" s="1"/>
  <c r="P8" i="31" s="1"/>
  <c r="Q8" i="31" s="1"/>
  <c r="R8" i="31" s="1"/>
  <c r="S8" i="31" s="1"/>
  <c r="D6" i="31"/>
  <c r="E6" i="31" s="1"/>
  <c r="F6" i="31" s="1"/>
  <c r="G6" i="31"/>
  <c r="H6" i="31"/>
  <c r="I6" i="31" s="1"/>
  <c r="J6" i="31" s="1"/>
  <c r="K6" i="31" s="1"/>
  <c r="L6" i="31" s="1"/>
  <c r="M6" i="31" s="1"/>
  <c r="N6" i="31" s="1"/>
  <c r="O6" i="31" s="1"/>
  <c r="P6" i="31" s="1"/>
  <c r="Q6" i="31" s="1"/>
  <c r="R6" i="31" s="1"/>
  <c r="S6" i="31" s="1"/>
  <c r="F11" i="1"/>
  <c r="AP11" i="1" s="1"/>
  <c r="F12" i="1"/>
  <c r="AP12" i="1" s="1"/>
  <c r="F13" i="1"/>
  <c r="AP13" i="1" s="1"/>
  <c r="D11" i="1"/>
  <c r="G11" i="1" s="1"/>
  <c r="D12" i="1"/>
  <c r="D13" i="1"/>
  <c r="D6" i="1"/>
  <c r="D7" i="1"/>
  <c r="D8" i="1"/>
  <c r="D9" i="1"/>
  <c r="F10" i="1"/>
  <c r="AP10" i="1"/>
  <c r="D10" i="1"/>
  <c r="B2" i="1"/>
  <c r="C42" i="1" s="1"/>
  <c r="F25" i="12"/>
  <c r="A12" i="1"/>
  <c r="A13" i="1"/>
  <c r="B13" i="1" s="1"/>
  <c r="E13" i="1"/>
  <c r="A7" i="1"/>
  <c r="A8" i="1"/>
  <c r="A9" i="1"/>
  <c r="A10" i="1"/>
  <c r="R10" i="1"/>
  <c r="A11" i="1"/>
  <c r="A6"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c r="H60" i="40"/>
  <c r="H59" i="40"/>
  <c r="H58" i="40"/>
  <c r="I58" i="40"/>
  <c r="C58" i="40" s="1"/>
  <c r="H57" i="40"/>
  <c r="I57" i="40" s="1"/>
  <c r="C57" i="40"/>
  <c r="H56" i="40"/>
  <c r="I56" i="40" s="1"/>
  <c r="C56" i="40" s="1"/>
  <c r="H55" i="40"/>
  <c r="I55" i="40" s="1"/>
  <c r="C55" i="40" s="1"/>
  <c r="H54" i="40"/>
  <c r="I54" i="40"/>
  <c r="C54" i="40"/>
  <c r="H63" i="39"/>
  <c r="I63" i="39" s="1"/>
  <c r="C63" i="39"/>
  <c r="H59" i="39"/>
  <c r="I59" i="39" s="1"/>
  <c r="C59" i="39" s="1"/>
  <c r="H67" i="39"/>
  <c r="I67" i="39" s="1"/>
  <c r="C67" i="39" s="1"/>
  <c r="H66" i="39"/>
  <c r="I66" i="39"/>
  <c r="C66" i="39"/>
  <c r="H65" i="39"/>
  <c r="I65" i="39" s="1"/>
  <c r="C65" i="39" s="1"/>
  <c r="H64" i="39"/>
  <c r="I64" i="39" s="1"/>
  <c r="C64" i="39" s="1"/>
  <c r="H62" i="39"/>
  <c r="I62" i="39" s="1"/>
  <c r="C62" i="39" s="1"/>
  <c r="H61" i="39"/>
  <c r="I61" i="39"/>
  <c r="C61" i="39" s="1"/>
  <c r="H60" i="39"/>
  <c r="I60" i="39" s="1"/>
  <c r="C60" i="39" s="1"/>
  <c r="L25" i="4"/>
  <c r="C109" i="9"/>
  <c r="C145" i="21"/>
  <c r="J142" i="21"/>
  <c r="J140" i="21"/>
  <c r="K144" i="21" s="1"/>
  <c r="K139" i="21"/>
  <c r="M87" i="21"/>
  <c r="L87" i="21"/>
  <c r="K87" i="21"/>
  <c r="J87" i="21"/>
  <c r="I87" i="21"/>
  <c r="H87" i="21"/>
  <c r="G87" i="21"/>
  <c r="F87" i="21"/>
  <c r="E87" i="21"/>
  <c r="D87" i="21"/>
  <c r="G2" i="46"/>
  <c r="R26" i="31"/>
  <c r="S26" i="31"/>
  <c r="R27" i="31"/>
  <c r="R28" i="31"/>
  <c r="S28" i="31" s="1"/>
  <c r="R29" i="31"/>
  <c r="S29" i="31" s="1"/>
  <c r="S22" i="31" s="1"/>
  <c r="R30" i="31"/>
  <c r="S30" i="31" s="1"/>
  <c r="R31" i="31"/>
  <c r="R32" i="31"/>
  <c r="S32" i="31"/>
  <c r="R33" i="31"/>
  <c r="R34" i="31"/>
  <c r="S34" i="31"/>
  <c r="R35" i="31"/>
  <c r="S35" i="31" s="1"/>
  <c r="R36" i="31"/>
  <c r="S36" i="31" s="1"/>
  <c r="R37" i="31"/>
  <c r="R38" i="31"/>
  <c r="S38" i="31" s="1"/>
  <c r="R39" i="31"/>
  <c r="R40" i="31"/>
  <c r="S40" i="31" s="1"/>
  <c r="R41" i="31"/>
  <c r="R42" i="31"/>
  <c r="S42" i="31"/>
  <c r="R43" i="31"/>
  <c r="R44" i="31"/>
  <c r="S44" i="31" s="1"/>
  <c r="R45" i="31"/>
  <c r="S45" i="31" s="1"/>
  <c r="R46" i="31"/>
  <c r="S46" i="31" s="1"/>
  <c r="R47" i="31"/>
  <c r="R48" i="31"/>
  <c r="S48" i="31"/>
  <c r="R49" i="31"/>
  <c r="R50" i="31"/>
  <c r="S50" i="31"/>
  <c r="R51" i="31"/>
  <c r="S51" i="31" s="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S67" i="31" s="1"/>
  <c r="R68" i="31"/>
  <c r="S68" i="31" s="1"/>
  <c r="R69" i="31"/>
  <c r="R70" i="31"/>
  <c r="S70" i="31" s="1"/>
  <c r="R71" i="31"/>
  <c r="R72" i="31"/>
  <c r="S72" i="31" s="1"/>
  <c r="R73" i="31"/>
  <c r="R74" i="31"/>
  <c r="S74" i="31"/>
  <c r="R75" i="31"/>
  <c r="R76" i="31"/>
  <c r="S76" i="31" s="1"/>
  <c r="R77" i="31"/>
  <c r="S77" i="31" s="1"/>
  <c r="R78" i="31"/>
  <c r="S78" i="31" s="1"/>
  <c r="R79" i="31"/>
  <c r="R80" i="31"/>
  <c r="S80" i="31"/>
  <c r="R81" i="31"/>
  <c r="R82" i="31"/>
  <c r="S82" i="31"/>
  <c r="R83" i="31"/>
  <c r="S83" i="31" s="1"/>
  <c r="R84" i="31"/>
  <c r="S84" i="31" s="1"/>
  <c r="R85" i="31"/>
  <c r="S85" i="31" s="1"/>
  <c r="R86" i="31"/>
  <c r="S86" i="31" s="1"/>
  <c r="R87" i="31"/>
  <c r="R88" i="31"/>
  <c r="S88" i="31" s="1"/>
  <c r="R89" i="31"/>
  <c r="R90" i="31"/>
  <c r="S90" i="31"/>
  <c r="R91" i="31"/>
  <c r="R92" i="31"/>
  <c r="S92" i="31" s="1"/>
  <c r="R93" i="31"/>
  <c r="S93" i="31" s="1"/>
  <c r="R94" i="31"/>
  <c r="S94" i="31" s="1"/>
  <c r="R95" i="31"/>
  <c r="R96" i="31"/>
  <c r="S96" i="3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c r="R113" i="31"/>
  <c r="R114" i="31"/>
  <c r="S114" i="31"/>
  <c r="R115" i="31"/>
  <c r="S115" i="31" s="1"/>
  <c r="R116" i="31"/>
  <c r="S116" i="31" s="1"/>
  <c r="R117" i="31"/>
  <c r="R118" i="31"/>
  <c r="S118" i="31" s="1"/>
  <c r="R119" i="31"/>
  <c r="R120" i="31"/>
  <c r="S120" i="31" s="1"/>
  <c r="R121" i="31"/>
  <c r="R122" i="31"/>
  <c r="S122" i="31"/>
  <c r="R123" i="31"/>
  <c r="R124" i="31"/>
  <c r="S124" i="31" s="1"/>
  <c r="R125" i="31"/>
  <c r="S125" i="31" s="1"/>
  <c r="R126" i="31"/>
  <c r="S126" i="31" s="1"/>
  <c r="R127" i="31"/>
  <c r="R128" i="31"/>
  <c r="S128" i="31" s="1"/>
  <c r="R129" i="31"/>
  <c r="R130" i="31"/>
  <c r="S130" i="31"/>
  <c r="R131" i="31"/>
  <c r="S131" i="31" s="1"/>
  <c r="R132" i="31"/>
  <c r="S132" i="31" s="1"/>
  <c r="R133" i="31"/>
  <c r="R134" i="31"/>
  <c r="S134" i="31" s="1"/>
  <c r="R135" i="31"/>
  <c r="R136" i="31"/>
  <c r="S136" i="31" s="1"/>
  <c r="R137" i="31"/>
  <c r="R138" i="31"/>
  <c r="S138" i="31"/>
  <c r="R139" i="31"/>
  <c r="R140" i="31"/>
  <c r="S140" i="31" s="1"/>
  <c r="R141" i="31"/>
  <c r="S141" i="31" s="1"/>
  <c r="R142" i="31"/>
  <c r="S142" i="31" s="1"/>
  <c r="R143" i="31"/>
  <c r="R144" i="31"/>
  <c r="S144" i="31"/>
  <c r="R145" i="31"/>
  <c r="R146" i="31"/>
  <c r="S146" i="31"/>
  <c r="R147" i="31"/>
  <c r="S147" i="31" s="1"/>
  <c r="R148" i="31"/>
  <c r="S148" i="31" s="1"/>
  <c r="R149" i="31"/>
  <c r="R150" i="31"/>
  <c r="S150" i="31" s="1"/>
  <c r="R151" i="31"/>
  <c r="R152" i="31"/>
  <c r="S152" i="31" s="1"/>
  <c r="R153" i="31"/>
  <c r="R154" i="31"/>
  <c r="S154" i="31"/>
  <c r="R155" i="31"/>
  <c r="R156" i="31"/>
  <c r="S156" i="31" s="1"/>
  <c r="R157" i="31"/>
  <c r="S157" i="31" s="1"/>
  <c r="R158" i="31"/>
  <c r="S158" i="31" s="1"/>
  <c r="R159" i="31"/>
  <c r="R160" i="31"/>
  <c r="S160" i="31"/>
  <c r="R161" i="31"/>
  <c r="R162" i="31"/>
  <c r="S162" i="31"/>
  <c r="R163" i="31"/>
  <c r="S163" i="31" s="1"/>
  <c r="R164" i="31"/>
  <c r="S164" i="31" s="1"/>
  <c r="R165" i="31"/>
  <c r="R166" i="31"/>
  <c r="S166" i="31" s="1"/>
  <c r="R167" i="31"/>
  <c r="R168" i="31"/>
  <c r="S168" i="31" s="1"/>
  <c r="R169" i="31"/>
  <c r="R170" i="31"/>
  <c r="S170" i="31"/>
  <c r="R171" i="31"/>
  <c r="R172" i="31"/>
  <c r="S172" i="31" s="1"/>
  <c r="R173" i="31"/>
  <c r="S173" i="31" s="1"/>
  <c r="R174" i="31"/>
  <c r="S174" i="31" s="1"/>
  <c r="R175" i="31"/>
  <c r="R176" i="31"/>
  <c r="S176" i="31"/>
  <c r="R177" i="31"/>
  <c r="R178" i="31"/>
  <c r="S178" i="31"/>
  <c r="R179" i="31"/>
  <c r="S179" i="31" s="1"/>
  <c r="R180" i="31"/>
  <c r="S180" i="31" s="1"/>
  <c r="R181" i="31"/>
  <c r="R182" i="31"/>
  <c r="S182" i="31" s="1"/>
  <c r="R183" i="31"/>
  <c r="R184" i="31"/>
  <c r="S184" i="31" s="1"/>
  <c r="R185" i="31"/>
  <c r="R186" i="31"/>
  <c r="S186" i="31"/>
  <c r="R187" i="31"/>
  <c r="R188" i="31"/>
  <c r="S188" i="31" s="1"/>
  <c r="R189" i="31"/>
  <c r="S189" i="31" s="1"/>
  <c r="R190" i="31"/>
  <c r="S190" i="31" s="1"/>
  <c r="R191" i="31"/>
  <c r="R192" i="31"/>
  <c r="S192" i="31" s="1"/>
  <c r="R193" i="31"/>
  <c r="R194" i="31"/>
  <c r="S194" i="31"/>
  <c r="R195" i="31"/>
  <c r="S195" i="31" s="1"/>
  <c r="R196" i="31"/>
  <c r="S196" i="31" s="1"/>
  <c r="R197" i="31"/>
  <c r="R198" i="31"/>
  <c r="S198" i="31" s="1"/>
  <c r="R199" i="31"/>
  <c r="R200" i="31"/>
  <c r="S200" i="31" s="1"/>
  <c r="R201" i="31"/>
  <c r="R202" i="31"/>
  <c r="S202" i="31"/>
  <c r="R203" i="31"/>
  <c r="R204" i="31"/>
  <c r="S204" i="31" s="1"/>
  <c r="R205" i="31"/>
  <c r="S205" i="31" s="1"/>
  <c r="R206" i="31"/>
  <c r="S206" i="31" s="1"/>
  <c r="R207" i="31"/>
  <c r="R208" i="31"/>
  <c r="S208" i="31" s="1"/>
  <c r="R209" i="31"/>
  <c r="R210" i="31"/>
  <c r="S210" i="31"/>
  <c r="R211" i="31"/>
  <c r="S211" i="31" s="1"/>
  <c r="R212" i="31"/>
  <c r="S212" i="31" s="1"/>
  <c r="R213" i="31"/>
  <c r="R214" i="31"/>
  <c r="S214" i="31" s="1"/>
  <c r="R215" i="31"/>
  <c r="R216" i="31"/>
  <c r="S216" i="31" s="1"/>
  <c r="R217" i="31"/>
  <c r="R218" i="31"/>
  <c r="S218" i="31"/>
  <c r="R219" i="31"/>
  <c r="R220" i="31"/>
  <c r="S220" i="31" s="1"/>
  <c r="R221" i="31"/>
  <c r="S221" i="31" s="1"/>
  <c r="R222" i="31"/>
  <c r="S222" i="31" s="1"/>
  <c r="R223" i="31"/>
  <c r="R224" i="31"/>
  <c r="S224" i="31" s="1"/>
  <c r="R225" i="31"/>
  <c r="S225" i="31" s="1"/>
  <c r="R226" i="31"/>
  <c r="R227" i="31"/>
  <c r="R228" i="31"/>
  <c r="S228" i="31" s="1"/>
  <c r="R229" i="31"/>
  <c r="S229" i="31" s="1"/>
  <c r="R230" i="31"/>
  <c r="R231" i="31"/>
  <c r="R232" i="31"/>
  <c r="S232" i="31" s="1"/>
  <c r="R233" i="3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R250" i="31"/>
  <c r="R251" i="31"/>
  <c r="R252" i="31"/>
  <c r="S252" i="31" s="1"/>
  <c r="R253" i="31"/>
  <c r="R254" i="31"/>
  <c r="R255" i="31"/>
  <c r="R256" i="31"/>
  <c r="S256" i="31" s="1"/>
  <c r="R257" i="31"/>
  <c r="S257" i="31" s="1"/>
  <c r="R258" i="31"/>
  <c r="R259" i="31"/>
  <c r="R260" i="31"/>
  <c r="S260" i="31" s="1"/>
  <c r="R261" i="31"/>
  <c r="S261" i="31" s="1"/>
  <c r="R262" i="31"/>
  <c r="R263" i="31"/>
  <c r="R264" i="31"/>
  <c r="S264" i="31" s="1"/>
  <c r="R265" i="31"/>
  <c r="R266" i="31"/>
  <c r="R267" i="31"/>
  <c r="R268" i="31"/>
  <c r="S268" i="31" s="1"/>
  <c r="R269" i="31"/>
  <c r="S269" i="31" s="1"/>
  <c r="R270" i="31"/>
  <c r="R271" i="31"/>
  <c r="R272" i="31"/>
  <c r="S272" i="31" s="1"/>
  <c r="R273" i="31"/>
  <c r="S273" i="31" s="1"/>
  <c r="R274" i="31"/>
  <c r="R275" i="31"/>
  <c r="R276" i="31"/>
  <c r="S276" i="31" s="1"/>
  <c r="R277" i="31"/>
  <c r="S277" i="31" s="1"/>
  <c r="R278" i="31"/>
  <c r="R279" i="31"/>
  <c r="R280" i="31"/>
  <c r="S280" i="31" s="1"/>
  <c r="R281" i="31"/>
  <c r="R282" i="31"/>
  <c r="R283" i="31"/>
  <c r="R284" i="31"/>
  <c r="S284" i="31" s="1"/>
  <c r="R285" i="31"/>
  <c r="R286" i="31"/>
  <c r="R287" i="31"/>
  <c r="R288" i="31"/>
  <c r="S288" i="31" s="1"/>
  <c r="R289" i="31"/>
  <c r="S289" i="31" s="1"/>
  <c r="R290" i="31"/>
  <c r="R291" i="31"/>
  <c r="R292" i="31"/>
  <c r="S292" i="31" s="1"/>
  <c r="R293" i="31"/>
  <c r="S293" i="31" s="1"/>
  <c r="R294" i="31"/>
  <c r="R295" i="31"/>
  <c r="R296" i="31"/>
  <c r="S296" i="31" s="1"/>
  <c r="R297" i="3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R430" i="31"/>
  <c r="S430" i="31" s="1"/>
  <c r="R431" i="31"/>
  <c r="R432" i="31"/>
  <c r="S432" i="31"/>
  <c r="R433" i="31"/>
  <c r="R434" i="31"/>
  <c r="S434" i="31" s="1"/>
  <c r="R435" i="31"/>
  <c r="R436" i="31"/>
  <c r="S436" i="31" s="1"/>
  <c r="R437" i="31"/>
  <c r="R438" i="31"/>
  <c r="S438" i="31"/>
  <c r="R439" i="31"/>
  <c r="R440" i="31"/>
  <c r="S440" i="31"/>
  <c r="R441" i="31"/>
  <c r="S441" i="31" s="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R494" i="31"/>
  <c r="R495" i="31"/>
  <c r="S495" i="31" s="1"/>
  <c r="R496" i="31"/>
  <c r="S496" i="31" s="1"/>
  <c r="R497" i="31"/>
  <c r="R498" i="31"/>
  <c r="S498" i="31"/>
  <c r="R499" i="31"/>
  <c r="S499" i="31" s="1"/>
  <c r="R500" i="31"/>
  <c r="S500" i="31" s="1"/>
  <c r="R501" i="31"/>
  <c r="R502" i="31"/>
  <c r="S502" i="31" s="1"/>
  <c r="R503" i="31"/>
  <c r="R504" i="31"/>
  <c r="S504" i="31" s="1"/>
  <c r="R505" i="31"/>
  <c r="R506" i="31"/>
  <c r="S506" i="31"/>
  <c r="R507" i="31"/>
  <c r="S507" i="31" s="1"/>
  <c r="R508" i="31"/>
  <c r="S508" i="31" s="1"/>
  <c r="R509" i="31"/>
  <c r="S509" i="31" s="1"/>
  <c r="R510" i="31"/>
  <c r="S510" i="31" s="1"/>
  <c r="R511" i="31"/>
  <c r="R512" i="31"/>
  <c r="S512" i="31"/>
  <c r="R513" i="31"/>
  <c r="R514" i="31"/>
  <c r="S514" i="31"/>
  <c r="R515" i="31"/>
  <c r="S515" i="31" s="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c r="K5" i="54" s="1"/>
  <c r="F23" i="4"/>
  <c r="D19" i="4"/>
  <c r="I19" i="4"/>
  <c r="H19" i="4"/>
  <c r="G19" i="4"/>
  <c r="F9" i="1"/>
  <c r="G9" i="1"/>
  <c r="F19" i="4"/>
  <c r="F8" i="1"/>
  <c r="E19" i="4"/>
  <c r="F7" i="1" s="1"/>
  <c r="B2" i="52"/>
  <c r="E7" i="52" s="1"/>
  <c r="I2" i="46"/>
  <c r="A7" i="46"/>
  <c r="F41" i="4"/>
  <c r="J52" i="40" s="1"/>
  <c r="H61" i="49"/>
  <c r="H39" i="46"/>
  <c r="H38" i="46"/>
  <c r="H37" i="46"/>
  <c r="H36" i="46"/>
  <c r="H35" i="46"/>
  <c r="H34" i="46"/>
  <c r="H33" i="46"/>
  <c r="G20" i="46"/>
  <c r="J20" i="46"/>
  <c r="C18" i="46"/>
  <c r="F15" i="46"/>
  <c r="E15" i="46"/>
  <c r="D15" i="46"/>
  <c r="C15" i="46"/>
  <c r="C10" i="46"/>
  <c r="C11" i="46" s="1"/>
  <c r="E11" i="46" s="1"/>
  <c r="C9" i="46"/>
  <c r="E32" i="6"/>
  <c r="K8" i="1"/>
  <c r="M8" i="1" s="1"/>
  <c r="O8" i="1"/>
  <c r="P8" i="1" s="1"/>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H32" i="40" s="1"/>
  <c r="U32" i="40" s="1"/>
  <c r="F36" i="40"/>
  <c r="H10" i="40"/>
  <c r="AB10" i="40"/>
  <c r="H11" i="40"/>
  <c r="H36" i="40"/>
  <c r="AB36" i="40"/>
  <c r="J10" i="40"/>
  <c r="AC10" i="40" s="1"/>
  <c r="J11" i="40"/>
  <c r="AC11" i="40"/>
  <c r="J36" i="40"/>
  <c r="AC36" i="40" s="1"/>
  <c r="F10" i="39"/>
  <c r="AA10" i="39"/>
  <c r="F11" i="39"/>
  <c r="C25" i="39"/>
  <c r="F36" i="39"/>
  <c r="AA36" i="39"/>
  <c r="H10" i="39"/>
  <c r="AB10" i="39" s="1"/>
  <c r="H11" i="39"/>
  <c r="AB11" i="39" s="1"/>
  <c r="H36" i="39"/>
  <c r="AB36" i="39" s="1"/>
  <c r="J10" i="39"/>
  <c r="AC10" i="39" s="1"/>
  <c r="J11" i="39"/>
  <c r="AC11" i="39" s="1"/>
  <c r="J36" i="39"/>
  <c r="F35" i="44"/>
  <c r="M21" i="44"/>
  <c r="F20" i="44"/>
  <c r="C6" i="43"/>
  <c r="K9" i="43"/>
  <c r="J9" i="43"/>
  <c r="I9" i="43"/>
  <c r="H9" i="43"/>
  <c r="G9" i="43"/>
  <c r="F9" i="43"/>
  <c r="E9" i="43"/>
  <c r="D9" i="43"/>
  <c r="C9" i="43"/>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7" i="31"/>
  <c r="S306" i="31"/>
  <c r="S303" i="31"/>
  <c r="S302" i="31"/>
  <c r="S299" i="31"/>
  <c r="S298" i="31"/>
  <c r="S297" i="31"/>
  <c r="S295" i="31"/>
  <c r="S294" i="31"/>
  <c r="S291" i="31"/>
  <c r="S290" i="31"/>
  <c r="S287" i="31"/>
  <c r="S286" i="31"/>
  <c r="S285" i="31"/>
  <c r="S283" i="31"/>
  <c r="S282" i="31"/>
  <c r="S281" i="31"/>
  <c r="S279" i="31"/>
  <c r="S278" i="31"/>
  <c r="S275" i="31"/>
  <c r="S274" i="31"/>
  <c r="S271" i="31"/>
  <c r="S270" i="31"/>
  <c r="S267" i="31"/>
  <c r="S266" i="31"/>
  <c r="S265" i="31"/>
  <c r="S263" i="31"/>
  <c r="S262" i="31"/>
  <c r="S259" i="31"/>
  <c r="S258" i="31"/>
  <c r="S255" i="31"/>
  <c r="S254" i="31"/>
  <c r="S253" i="31"/>
  <c r="S251" i="31"/>
  <c r="S250" i="31"/>
  <c r="S249" i="31"/>
  <c r="S247" i="31"/>
  <c r="S246" i="31"/>
  <c r="S243" i="31"/>
  <c r="S242" i="31"/>
  <c r="S239" i="31"/>
  <c r="S238" i="31"/>
  <c r="S235" i="31"/>
  <c r="S234" i="31"/>
  <c r="S233" i="31"/>
  <c r="S231" i="31"/>
  <c r="S230" i="31"/>
  <c r="S227" i="31"/>
  <c r="S226" i="31"/>
  <c r="S223" i="31"/>
  <c r="S429" i="31"/>
  <c r="S427" i="31"/>
  <c r="S219" i="31"/>
  <c r="S217" i="31"/>
  <c r="S215" i="31"/>
  <c r="S213" i="31"/>
  <c r="S209" i="31"/>
  <c r="S207" i="31"/>
  <c r="S203" i="31"/>
  <c r="S201" i="31"/>
  <c r="S199" i="31"/>
  <c r="S197" i="31"/>
  <c r="S193" i="31"/>
  <c r="S191" i="31"/>
  <c r="S187" i="31"/>
  <c r="S185" i="31"/>
  <c r="S183" i="31"/>
  <c r="S181" i="31"/>
  <c r="S177" i="31"/>
  <c r="S175" i="31"/>
  <c r="S171" i="31"/>
  <c r="S169" i="31"/>
  <c r="S167" i="31"/>
  <c r="S165" i="31"/>
  <c r="S161" i="31"/>
  <c r="S159" i="31"/>
  <c r="S155" i="31"/>
  <c r="S153" i="31"/>
  <c r="S151" i="31"/>
  <c r="S149" i="31"/>
  <c r="S145" i="31"/>
  <c r="S143" i="31"/>
  <c r="S139" i="31"/>
  <c r="S137" i="31"/>
  <c r="S135" i="31"/>
  <c r="S133" i="31"/>
  <c r="S129" i="31"/>
  <c r="S127" i="31"/>
  <c r="S123" i="31"/>
  <c r="S497" i="31"/>
  <c r="S494" i="31"/>
  <c r="S493" i="31"/>
  <c r="S491" i="31"/>
  <c r="S490" i="31"/>
  <c r="S487" i="31"/>
  <c r="S486" i="31"/>
  <c r="S483" i="31"/>
  <c r="S482" i="31"/>
  <c r="S479" i="31"/>
  <c r="S478" i="31"/>
  <c r="S475" i="31"/>
  <c r="S474" i="31"/>
  <c r="S471" i="31"/>
  <c r="S469" i="31"/>
  <c r="S443" i="31"/>
  <c r="S439" i="31"/>
  <c r="S437" i="31"/>
  <c r="S435" i="31"/>
  <c r="S433" i="31"/>
  <c r="S431" i="31"/>
  <c r="S121" i="31"/>
  <c r="S119" i="31"/>
  <c r="S117" i="31"/>
  <c r="S113" i="31"/>
  <c r="S467" i="31"/>
  <c r="S465" i="31"/>
  <c r="S463" i="31"/>
  <c r="S461" i="31"/>
  <c r="S459" i="31"/>
  <c r="S455" i="31"/>
  <c r="S453" i="31"/>
  <c r="S451" i="31"/>
  <c r="S53" i="31"/>
  <c r="S49" i="31"/>
  <c r="S47" i="31"/>
  <c r="S43" i="31"/>
  <c r="S41" i="31"/>
  <c r="S39" i="31"/>
  <c r="S37" i="31"/>
  <c r="S33" i="31"/>
  <c r="S75" i="31"/>
  <c r="S73" i="31"/>
  <c r="S71" i="31"/>
  <c r="S69" i="31"/>
  <c r="S65" i="31"/>
  <c r="S63" i="31"/>
  <c r="S61" i="31"/>
  <c r="S59" i="31"/>
  <c r="S57" i="31"/>
  <c r="S55" i="31"/>
  <c r="S24" i="31"/>
  <c r="S97" i="31"/>
  <c r="S95" i="31"/>
  <c r="S91" i="31"/>
  <c r="S89" i="31"/>
  <c r="S87" i="31"/>
  <c r="S81" i="31"/>
  <c r="S79" i="31"/>
  <c r="S31" i="31"/>
  <c r="S99" i="31"/>
  <c r="S101" i="31"/>
  <c r="S103" i="31"/>
  <c r="S105" i="31"/>
  <c r="S107" i="31"/>
  <c r="S109" i="31"/>
  <c r="S111" i="31"/>
  <c r="S445" i="31"/>
  <c r="S447" i="31"/>
  <c r="S449" i="31"/>
  <c r="S511" i="31"/>
  <c r="S513" i="31"/>
  <c r="B52" i="1"/>
  <c r="F34" i="15"/>
  <c r="F61" i="15" s="1"/>
  <c r="I48" i="37"/>
  <c r="J48" i="37" s="1"/>
  <c r="G48" i="37"/>
  <c r="H48" i="37" s="1"/>
  <c r="E48" i="37"/>
  <c r="F48" i="37" s="1"/>
  <c r="I55" i="34"/>
  <c r="J55" i="34" s="1"/>
  <c r="G55" i="34"/>
  <c r="H55" i="34" s="1"/>
  <c r="E55" i="34"/>
  <c r="F55" i="34"/>
  <c r="I50" i="40"/>
  <c r="J50" i="40" s="1"/>
  <c r="G50" i="40"/>
  <c r="H50" i="40" s="1"/>
  <c r="E50" i="40"/>
  <c r="F50" i="40" s="1"/>
  <c r="I55" i="39"/>
  <c r="J55" i="39" s="1"/>
  <c r="G55" i="39"/>
  <c r="H55" i="39" s="1"/>
  <c r="E55" i="39"/>
  <c r="F55" i="39"/>
  <c r="I42" i="36"/>
  <c r="J42" i="36" s="1"/>
  <c r="G42" i="36"/>
  <c r="H42" i="36"/>
  <c r="E42" i="36"/>
  <c r="F42" i="36" s="1"/>
  <c r="I44" i="35"/>
  <c r="J44" i="35" s="1"/>
  <c r="G44" i="35"/>
  <c r="H44" i="35" s="1"/>
  <c r="E44" i="35"/>
  <c r="F44" i="35" s="1"/>
  <c r="I54" i="33"/>
  <c r="J54" i="33" s="1"/>
  <c r="G54" i="33"/>
  <c r="H54" i="33" s="1"/>
  <c r="E54" i="33"/>
  <c r="F54" i="33" s="1"/>
  <c r="H9" i="12"/>
  <c r="I9" i="12"/>
  <c r="J9" i="12"/>
  <c r="K9" i="12"/>
  <c r="G111" i="21"/>
  <c r="H111" i="21"/>
  <c r="B112" i="39"/>
  <c r="H37" i="39" s="1"/>
  <c r="U37" i="39" s="1"/>
  <c r="B114" i="39"/>
  <c r="F38" i="39" s="1"/>
  <c r="AA38" i="39" s="1"/>
  <c r="J30" i="36"/>
  <c r="H30" i="36"/>
  <c r="F30" i="36"/>
  <c r="AA30" i="36" s="1"/>
  <c r="C26" i="35"/>
  <c r="C79" i="35" s="1"/>
  <c r="J31" i="35"/>
  <c r="H31" i="35"/>
  <c r="F31" i="35"/>
  <c r="D87" i="35"/>
  <c r="E87" i="35"/>
  <c r="F87" i="35" s="1"/>
  <c r="G87" i="35" s="1"/>
  <c r="H87" i="35" s="1"/>
  <c r="I87" i="35"/>
  <c r="J87" i="35"/>
  <c r="K87" i="35" s="1"/>
  <c r="L87" i="35" s="1"/>
  <c r="M87" i="35" s="1"/>
  <c r="H34" i="37"/>
  <c r="AB34" i="37"/>
  <c r="D101" i="37"/>
  <c r="F34" i="37"/>
  <c r="D99" i="37"/>
  <c r="E99" i="37"/>
  <c r="F99" i="37" s="1"/>
  <c r="G99" i="37" s="1"/>
  <c r="H42" i="34"/>
  <c r="U42" i="34"/>
  <c r="J42" i="34"/>
  <c r="F42" i="34"/>
  <c r="J38" i="34"/>
  <c r="D114" i="34"/>
  <c r="F38" i="34"/>
  <c r="S38" i="34" s="1"/>
  <c r="D112" i="34"/>
  <c r="E112" i="34"/>
  <c r="F112" i="34" s="1"/>
  <c r="G112" i="34"/>
  <c r="H112" i="34" s="1"/>
  <c r="I112" i="34" s="1"/>
  <c r="J112" i="34" s="1"/>
  <c r="K112" i="34" s="1"/>
  <c r="L112" i="34" s="1"/>
  <c r="M112" i="34"/>
  <c r="F40" i="33"/>
  <c r="AA40" i="33" s="1"/>
  <c r="J41" i="33"/>
  <c r="AC41" i="33" s="1"/>
  <c r="D113" i="33"/>
  <c r="F37" i="33"/>
  <c r="S37" i="33" s="1"/>
  <c r="D111" i="33"/>
  <c r="E111" i="33"/>
  <c r="F111" i="33"/>
  <c r="G111" i="33" s="1"/>
  <c r="H111" i="33" s="1"/>
  <c r="I111" i="33" s="1"/>
  <c r="J111" i="33" s="1"/>
  <c r="K111" i="33" s="1"/>
  <c r="L111" i="33" s="1"/>
  <c r="M111" i="33" s="1"/>
  <c r="S517" i="31"/>
  <c r="S519" i="31"/>
  <c r="S521" i="31"/>
  <c r="S523" i="31"/>
  <c r="F41" i="21"/>
  <c r="J41" i="21"/>
  <c r="AC41" i="21"/>
  <c r="H41" i="21"/>
  <c r="U41" i="21" s="1"/>
  <c r="D83" i="39"/>
  <c r="E83" i="39"/>
  <c r="F83" i="39" s="1"/>
  <c r="G83" i="39" s="1"/>
  <c r="H83" i="39" s="1"/>
  <c r="I83" i="39" s="1"/>
  <c r="J83" i="39" s="1"/>
  <c r="K83" i="39" s="1"/>
  <c r="L83" i="39" s="1"/>
  <c r="M83" i="39" s="1"/>
  <c r="D78" i="40"/>
  <c r="F13" i="40"/>
  <c r="S13" i="40" s="1"/>
  <c r="B122" i="40"/>
  <c r="J42" i="40" s="1"/>
  <c r="W42" i="40" s="1"/>
  <c r="F42" i="40"/>
  <c r="B120" i="40"/>
  <c r="B118" i="40"/>
  <c r="F40" i="40"/>
  <c r="AA40" i="40" s="1"/>
  <c r="D117" i="40"/>
  <c r="E117" i="40"/>
  <c r="F117" i="40" s="1"/>
  <c r="G117" i="40" s="1"/>
  <c r="H117" i="40" s="1"/>
  <c r="I117" i="40" s="1"/>
  <c r="J117" i="40"/>
  <c r="K117" i="40"/>
  <c r="L117" i="40" s="1"/>
  <c r="M117" i="40" s="1"/>
  <c r="D115" i="40"/>
  <c r="J38" i="40"/>
  <c r="AC38" i="40" s="1"/>
  <c r="E115" i="40"/>
  <c r="F115" i="40" s="1"/>
  <c r="G115" i="40" s="1"/>
  <c r="H115" i="40" s="1"/>
  <c r="I115" i="40"/>
  <c r="J115" i="40"/>
  <c r="K115" i="40" s="1"/>
  <c r="L115" i="40" s="1"/>
  <c r="M115" i="40" s="1"/>
  <c r="H38" i="40"/>
  <c r="AB38" i="40"/>
  <c r="D113" i="40"/>
  <c r="E113" i="40"/>
  <c r="F113" i="40"/>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c r="F100" i="40"/>
  <c r="G100" i="40" s="1"/>
  <c r="H100" i="40" s="1"/>
  <c r="I100" i="40" s="1"/>
  <c r="D98" i="40"/>
  <c r="E98" i="40"/>
  <c r="B97" i="40"/>
  <c r="J29" i="40" s="1"/>
  <c r="D94" i="40"/>
  <c r="D92" i="40"/>
  <c r="D90" i="40"/>
  <c r="H21" i="40"/>
  <c r="AB21" i="40"/>
  <c r="D88" i="40"/>
  <c r="E88" i="40"/>
  <c r="D86" i="40"/>
  <c r="E86" i="40"/>
  <c r="F86" i="40" s="1"/>
  <c r="G86" i="40" s="1"/>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c r="Q35" i="40"/>
  <c r="Z35" i="40" s="1"/>
  <c r="Q34" i="40"/>
  <c r="Z34" i="40"/>
  <c r="Q33" i="40"/>
  <c r="Z33" i="40" s="1"/>
  <c r="Q32" i="40"/>
  <c r="Z32" i="40" s="1"/>
  <c r="Q30" i="40"/>
  <c r="Z30" i="40" s="1"/>
  <c r="Q29" i="40"/>
  <c r="Z29" i="40" s="1"/>
  <c r="Q25" i="40"/>
  <c r="Z25" i="40" s="1"/>
  <c r="Q23" i="40"/>
  <c r="Z23" i="40"/>
  <c r="Q21" i="40"/>
  <c r="Z21" i="40" s="1"/>
  <c r="Q19" i="40"/>
  <c r="Z19" i="40"/>
  <c r="Q17" i="40"/>
  <c r="Z17" i="40" s="1"/>
  <c r="Q16" i="40"/>
  <c r="Z16" i="40" s="1"/>
  <c r="Q15" i="40"/>
  <c r="Z15" i="40" s="1"/>
  <c r="Q14" i="40"/>
  <c r="Z14" i="40" s="1"/>
  <c r="Q13" i="40"/>
  <c r="Z13" i="40" s="1"/>
  <c r="Q12" i="40"/>
  <c r="Z12" i="40"/>
  <c r="Q11" i="40"/>
  <c r="Z11" i="40" s="1"/>
  <c r="C9" i="40"/>
  <c r="C65" i="40"/>
  <c r="C67" i="40" s="1"/>
  <c r="D126" i="39"/>
  <c r="E126" i="39" s="1"/>
  <c r="F126" i="39" s="1"/>
  <c r="G126" i="39" s="1"/>
  <c r="D122" i="39"/>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c r="I107" i="39"/>
  <c r="J107" i="39" s="1"/>
  <c r="K107" i="39" s="1"/>
  <c r="L107" i="39" s="1"/>
  <c r="M107" i="39"/>
  <c r="D103" i="39"/>
  <c r="D101" i="39"/>
  <c r="E101" i="39"/>
  <c r="F101" i="39"/>
  <c r="Q41" i="39"/>
  <c r="Z41" i="39"/>
  <c r="Q42" i="39"/>
  <c r="Z42" i="39" s="1"/>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B106" i="39"/>
  <c r="D99" i="39"/>
  <c r="D97" i="39"/>
  <c r="D95" i="39"/>
  <c r="E95" i="39" s="1"/>
  <c r="F95" i="39" s="1"/>
  <c r="G95" i="39"/>
  <c r="D93" i="39"/>
  <c r="D91" i="39"/>
  <c r="E91" i="39" s="1"/>
  <c r="F91" i="39" s="1"/>
  <c r="G91" i="39"/>
  <c r="B88" i="39"/>
  <c r="H16" i="39" s="1"/>
  <c r="AB16" i="39" s="1"/>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c r="C20" i="36"/>
  <c r="C20" i="35"/>
  <c r="C16" i="36"/>
  <c r="C16" i="35"/>
  <c r="C14" i="36"/>
  <c r="C14" i="35"/>
  <c r="B80" i="37"/>
  <c r="H25" i="37" s="1"/>
  <c r="B110" i="37"/>
  <c r="B108" i="37"/>
  <c r="C23" i="37"/>
  <c r="C19" i="37"/>
  <c r="C17" i="37"/>
  <c r="C15" i="37"/>
  <c r="B112" i="37"/>
  <c r="D107" i="37"/>
  <c r="E107" i="37" s="1"/>
  <c r="F107" i="37" s="1"/>
  <c r="D105" i="37"/>
  <c r="E105" i="37" s="1"/>
  <c r="H36" i="37"/>
  <c r="D103" i="37"/>
  <c r="J35" i="37"/>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B86" i="37"/>
  <c r="B84" i="37"/>
  <c r="H27" i="37" s="1"/>
  <c r="U27" i="37"/>
  <c r="B82" i="37"/>
  <c r="D79" i="37"/>
  <c r="E79" i="37" s="1"/>
  <c r="F79" i="37" s="1"/>
  <c r="D75" i="37"/>
  <c r="E75" i="37"/>
  <c r="F75" i="37" s="1"/>
  <c r="G75" i="37" s="1"/>
  <c r="D73" i="37"/>
  <c r="E73" i="37"/>
  <c r="F73" i="37" s="1"/>
  <c r="G73" i="37" s="1"/>
  <c r="D71" i="37"/>
  <c r="E71" i="37"/>
  <c r="F71" i="37" s="1"/>
  <c r="G71" i="37" s="1"/>
  <c r="F15" i="37"/>
  <c r="AA15" i="37"/>
  <c r="B68" i="37"/>
  <c r="H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c r="C57" i="37"/>
  <c r="H9" i="37" s="1"/>
  <c r="P43" i="37"/>
  <c r="P42" i="37"/>
  <c r="V41" i="37"/>
  <c r="T41" i="37"/>
  <c r="R41" i="37"/>
  <c r="P41" i="37"/>
  <c r="Q40" i="37"/>
  <c r="Z40" i="37"/>
  <c r="Q39" i="37"/>
  <c r="Z39" i="37" s="1"/>
  <c r="Q38" i="37"/>
  <c r="Z38" i="37"/>
  <c r="Q37" i="37"/>
  <c r="Z37" i="37" s="1"/>
  <c r="Q36" i="37"/>
  <c r="Z36" i="37" s="1"/>
  <c r="Q35" i="37"/>
  <c r="Z35" i="37" s="1"/>
  <c r="Q34" i="37"/>
  <c r="Z34" i="37"/>
  <c r="Q33" i="37"/>
  <c r="Z33" i="37" s="1"/>
  <c r="Q32" i="37"/>
  <c r="Z32" i="37"/>
  <c r="Q31" i="37"/>
  <c r="Z31" i="37" s="1"/>
  <c r="J31" i="37"/>
  <c r="Q30" i="37"/>
  <c r="Z30" i="37" s="1"/>
  <c r="J30" i="37"/>
  <c r="W30" i="37"/>
  <c r="H30" i="37"/>
  <c r="F30" i="37"/>
  <c r="Q29" i="37"/>
  <c r="Z29" i="37"/>
  <c r="H29" i="37"/>
  <c r="U29" i="37" s="1"/>
  <c r="Q28" i="37"/>
  <c r="Z28" i="37"/>
  <c r="Q27" i="37"/>
  <c r="Z27" i="37" s="1"/>
  <c r="Q26" i="37"/>
  <c r="Z26" i="37"/>
  <c r="F26" i="37"/>
  <c r="AA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C7" i="37"/>
  <c r="C52" i="37" s="1"/>
  <c r="J31" i="36"/>
  <c r="H31" i="36"/>
  <c r="AB31" i="36"/>
  <c r="F31" i="36"/>
  <c r="S31" i="36" s="1"/>
  <c r="M86" i="36"/>
  <c r="L86" i="36"/>
  <c r="K86" i="36"/>
  <c r="J86" i="36"/>
  <c r="I86" i="36"/>
  <c r="H86" i="36"/>
  <c r="G86" i="36"/>
  <c r="F86" i="36"/>
  <c r="E86" i="36"/>
  <c r="D86" i="36"/>
  <c r="C86" i="36"/>
  <c r="D85" i="36"/>
  <c r="H29" i="36"/>
  <c r="AB29" i="36"/>
  <c r="D81" i="36"/>
  <c r="E81" i="36" s="1"/>
  <c r="F81" i="36" s="1"/>
  <c r="G81" i="36"/>
  <c r="H81" i="36"/>
  <c r="I81" i="36" s="1"/>
  <c r="J81" i="36" s="1"/>
  <c r="K81" i="36" s="1"/>
  <c r="L81" i="36"/>
  <c r="M81" i="36" s="1"/>
  <c r="F79" i="36"/>
  <c r="E79" i="36"/>
  <c r="D79" i="36"/>
  <c r="C79" i="36"/>
  <c r="B93" i="36"/>
  <c r="B91" i="36"/>
  <c r="B95" i="36"/>
  <c r="H34" i="36"/>
  <c r="AB34" i="36" s="1"/>
  <c r="D83" i="36"/>
  <c r="E83" i="36" s="1"/>
  <c r="F83" i="36" s="1"/>
  <c r="G83" i="36" s="1"/>
  <c r="H83" i="36"/>
  <c r="I83" i="36" s="1"/>
  <c r="J83" i="36" s="1"/>
  <c r="K83" i="36"/>
  <c r="L83" i="36"/>
  <c r="M83" i="36" s="1"/>
  <c r="D78" i="36"/>
  <c r="J26" i="36"/>
  <c r="AC26" i="36" s="1"/>
  <c r="W26" i="36"/>
  <c r="B75" i="36"/>
  <c r="J25" i="36" s="1"/>
  <c r="AC25" i="36" s="1"/>
  <c r="B73" i="36"/>
  <c r="J24" i="36"/>
  <c r="W24" i="36" s="1"/>
  <c r="B71" i="36"/>
  <c r="D70" i="36"/>
  <c r="H22" i="36"/>
  <c r="D68" i="36"/>
  <c r="E68" i="36"/>
  <c r="F68" i="36" s="1"/>
  <c r="G68" i="36" s="1"/>
  <c r="D64" i="36"/>
  <c r="E64" i="36" s="1"/>
  <c r="F64" i="36" s="1"/>
  <c r="G64" i="36" s="1"/>
  <c r="J16" i="36"/>
  <c r="W16" i="36" s="1"/>
  <c r="D62" i="36"/>
  <c r="E62" i="36" s="1"/>
  <c r="B59" i="36"/>
  <c r="B57" i="36"/>
  <c r="B55" i="36"/>
  <c r="J11"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AB26" i="36" s="1"/>
  <c r="Q25" i="36"/>
  <c r="Z25" i="36"/>
  <c r="Q24" i="36"/>
  <c r="Z24" i="36" s="1"/>
  <c r="H24" i="36"/>
  <c r="AB24" i="36"/>
  <c r="Q23" i="36"/>
  <c r="Z23" i="36" s="1"/>
  <c r="J23" i="36"/>
  <c r="H23" i="36"/>
  <c r="AB23" i="36" s="1"/>
  <c r="F23" i="36"/>
  <c r="AA23" i="36"/>
  <c r="Q22" i="36"/>
  <c r="Z22" i="36" s="1"/>
  <c r="J22" i="36"/>
  <c r="AC22" i="36"/>
  <c r="Q20" i="36"/>
  <c r="Z20" i="36" s="1"/>
  <c r="Q16" i="36"/>
  <c r="Z16" i="36"/>
  <c r="Q14" i="36"/>
  <c r="Z14" i="36" s="1"/>
  <c r="Q13" i="36"/>
  <c r="Z13" i="36" s="1"/>
  <c r="Q12" i="36"/>
  <c r="Z12" i="36" s="1"/>
  <c r="H12" i="36"/>
  <c r="U12" i="36"/>
  <c r="Q11" i="36"/>
  <c r="Z11" i="36" s="1"/>
  <c r="Q10" i="36"/>
  <c r="Z10" i="36"/>
  <c r="F10" i="36"/>
  <c r="AA10" i="36" s="1"/>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J35" i="35"/>
  <c r="AC35" i="35" s="1"/>
  <c r="B97" i="35"/>
  <c r="B77" i="35"/>
  <c r="J25" i="35" s="1"/>
  <c r="AC25" i="35" s="1"/>
  <c r="W25" i="35"/>
  <c r="B75" i="35"/>
  <c r="B73" i="35"/>
  <c r="B57" i="35"/>
  <c r="B61" i="35"/>
  <c r="J13" i="35" s="1"/>
  <c r="AC13" i="35" s="1"/>
  <c r="B59" i="35"/>
  <c r="H12" i="35" s="1"/>
  <c r="U12" i="35" s="1"/>
  <c r="B131" i="34"/>
  <c r="B129" i="34"/>
  <c r="B127" i="34"/>
  <c r="B99" i="34"/>
  <c r="B97" i="34"/>
  <c r="B95" i="34"/>
  <c r="F30" i="34" s="1"/>
  <c r="B93" i="34"/>
  <c r="B75" i="34"/>
  <c r="B73" i="34"/>
  <c r="B71" i="34"/>
  <c r="B130" i="33"/>
  <c r="B128" i="33"/>
  <c r="H45" i="33"/>
  <c r="AB45" i="33" s="1"/>
  <c r="U45" i="33"/>
  <c r="B126" i="33"/>
  <c r="B98" i="33"/>
  <c r="F31" i="33"/>
  <c r="B96" i="33"/>
  <c r="J30" i="33" s="1"/>
  <c r="AC30" i="33" s="1"/>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c r="G70" i="35"/>
  <c r="D66" i="35"/>
  <c r="E66" i="35" s="1"/>
  <c r="F66" i="35"/>
  <c r="G66" i="35"/>
  <c r="D64" i="35"/>
  <c r="E64" i="35" s="1"/>
  <c r="F64" i="35" s="1"/>
  <c r="G64" i="35"/>
  <c r="F56" i="35"/>
  <c r="G56" i="35" s="1"/>
  <c r="H56" i="35"/>
  <c r="I56" i="35" s="1"/>
  <c r="C53" i="35"/>
  <c r="H9" i="35" s="1"/>
  <c r="U9" i="35" s="1"/>
  <c r="AB9" i="35"/>
  <c r="P39" i="35"/>
  <c r="P38" i="35"/>
  <c r="V37" i="35"/>
  <c r="T37" i="35"/>
  <c r="R37" i="35"/>
  <c r="P37" i="35"/>
  <c r="Q36" i="35"/>
  <c r="Z36" i="35"/>
  <c r="J36" i="35"/>
  <c r="AC36" i="35" s="1"/>
  <c r="Q35" i="35"/>
  <c r="Z35" i="35"/>
  <c r="Q34" i="35"/>
  <c r="Z34" i="35" s="1"/>
  <c r="Q33" i="35"/>
  <c r="Z33" i="35" s="1"/>
  <c r="Q32" i="35"/>
  <c r="Z32" i="35"/>
  <c r="H32" i="35"/>
  <c r="F32" i="35"/>
  <c r="AA32" i="35"/>
  <c r="Q31" i="35"/>
  <c r="Z31" i="35" s="1"/>
  <c r="AB31" i="35"/>
  <c r="AA31" i="35"/>
  <c r="Q30" i="35"/>
  <c r="Z30" i="35" s="1"/>
  <c r="Q29" i="35"/>
  <c r="Z29" i="35"/>
  <c r="Q28" i="35"/>
  <c r="Z28" i="35" s="1"/>
  <c r="J28" i="35"/>
  <c r="AC28" i="35" s="1"/>
  <c r="H28" i="35"/>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AA12" i="35" s="1"/>
  <c r="Q11" i="35"/>
  <c r="Z11" i="35"/>
  <c r="Q10" i="35"/>
  <c r="Z10" i="35" s="1"/>
  <c r="Q9" i="35"/>
  <c r="Z9" i="35"/>
  <c r="J9" i="35"/>
  <c r="W9" i="35" s="1"/>
  <c r="J8" i="35"/>
  <c r="W8" i="35" s="1"/>
  <c r="H8" i="35"/>
  <c r="F8" i="35"/>
  <c r="AA8" i="35"/>
  <c r="C7" i="35"/>
  <c r="C48" i="35" s="1"/>
  <c r="D120" i="34"/>
  <c r="E120" i="34" s="1"/>
  <c r="F120" i="34"/>
  <c r="G120" i="34"/>
  <c r="H120" i="34" s="1"/>
  <c r="I120" i="34" s="1"/>
  <c r="J120" i="34" s="1"/>
  <c r="K120" i="34" s="1"/>
  <c r="L120" i="34" s="1"/>
  <c r="M120" i="34" s="1"/>
  <c r="D90" i="34"/>
  <c r="C15" i="34"/>
  <c r="F67" i="34"/>
  <c r="G67" i="34" s="1"/>
  <c r="H67" i="34"/>
  <c r="I67" i="34"/>
  <c r="H10" i="34"/>
  <c r="AB10" i="34" s="1"/>
  <c r="D126" i="34"/>
  <c r="E126" i="34"/>
  <c r="F126" i="34" s="1"/>
  <c r="G126" i="34" s="1"/>
  <c r="D124" i="34"/>
  <c r="E124" i="34"/>
  <c r="F124" i="34" s="1"/>
  <c r="G124" i="34" s="1"/>
  <c r="H124" i="34" s="1"/>
  <c r="I124" i="34"/>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c r="G102" i="34" s="1"/>
  <c r="H102" i="34" s="1"/>
  <c r="I102" i="34"/>
  <c r="J102" i="34" s="1"/>
  <c r="K102" i="34" s="1"/>
  <c r="L102" i="34" s="1"/>
  <c r="M102" i="34"/>
  <c r="H33" i="34"/>
  <c r="D92" i="34"/>
  <c r="E92" i="34"/>
  <c r="F92" i="34"/>
  <c r="G92" i="34" s="1"/>
  <c r="H92" i="34" s="1"/>
  <c r="I92" i="34" s="1"/>
  <c r="J92" i="34" s="1"/>
  <c r="K92" i="34" s="1"/>
  <c r="L92" i="34" s="1"/>
  <c r="M92" i="34" s="1"/>
  <c r="B91" i="34"/>
  <c r="B89" i="34"/>
  <c r="J27" i="34"/>
  <c r="AC27" i="34" s="1"/>
  <c r="D88" i="34"/>
  <c r="E88" i="34" s="1"/>
  <c r="F88" i="34"/>
  <c r="G88" i="34"/>
  <c r="H88" i="34" s="1"/>
  <c r="I88" i="34" s="1"/>
  <c r="J88" i="34" s="1"/>
  <c r="K88" i="34" s="1"/>
  <c r="L88" i="34" s="1"/>
  <c r="M88" i="34" s="1"/>
  <c r="D86" i="34"/>
  <c r="E86" i="34"/>
  <c r="D82" i="34"/>
  <c r="E82" i="34" s="1"/>
  <c r="F82" i="34"/>
  <c r="G82" i="34"/>
  <c r="D80" i="34"/>
  <c r="D78" i="34"/>
  <c r="D70" i="34"/>
  <c r="E70" i="34"/>
  <c r="F70" i="34" s="1"/>
  <c r="G70" i="34" s="1"/>
  <c r="H70" i="34"/>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c r="Q40" i="34"/>
  <c r="Z40" i="34" s="1"/>
  <c r="F40" i="34"/>
  <c r="AA40" i="34" s="1"/>
  <c r="S40" i="34"/>
  <c r="Q39" i="34"/>
  <c r="Z39" i="34" s="1"/>
  <c r="J39" i="34"/>
  <c r="H39" i="34"/>
  <c r="U39" i="34" s="1"/>
  <c r="F39" i="34"/>
  <c r="AA39" i="34" s="1"/>
  <c r="Q38" i="34"/>
  <c r="Z38" i="34" s="1"/>
  <c r="Q37" i="34"/>
  <c r="Z37" i="34"/>
  <c r="Q36" i="34"/>
  <c r="Z36" i="34" s="1"/>
  <c r="Q35" i="34"/>
  <c r="Z35" i="34"/>
  <c r="Q34" i="34"/>
  <c r="Z34" i="34" s="1"/>
  <c r="J34" i="34"/>
  <c r="H34" i="34"/>
  <c r="F34" i="34"/>
  <c r="AA34" i="34" s="1"/>
  <c r="Q33" i="34"/>
  <c r="Z33" i="34"/>
  <c r="Q32" i="34"/>
  <c r="Z32" i="34" s="1"/>
  <c r="Q31" i="34"/>
  <c r="Z31" i="34"/>
  <c r="Q30" i="34"/>
  <c r="Z30" i="34" s="1"/>
  <c r="Q29" i="34"/>
  <c r="Z29" i="34"/>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J8" i="34"/>
  <c r="AC8" i="34"/>
  <c r="H8" i="34"/>
  <c r="U8" i="34" s="1"/>
  <c r="F8" i="34"/>
  <c r="AA8" i="34"/>
  <c r="C7" i="34"/>
  <c r="C59" i="34" s="1"/>
  <c r="D59" i="34" s="1"/>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E125" i="33" s="1"/>
  <c r="D123" i="33"/>
  <c r="D117" i="33"/>
  <c r="E117" i="33"/>
  <c r="F117" i="33" s="1"/>
  <c r="G117" i="33" s="1"/>
  <c r="D115" i="33"/>
  <c r="E115" i="33"/>
  <c r="F115" i="33" s="1"/>
  <c r="G115" i="33" s="1"/>
  <c r="H115" i="33"/>
  <c r="I115" i="33"/>
  <c r="J115" i="33" s="1"/>
  <c r="K115" i="33" s="1"/>
  <c r="L115" i="33" s="1"/>
  <c r="M115" i="33" s="1"/>
  <c r="D108" i="33"/>
  <c r="E108" i="33" s="1"/>
  <c r="F108" i="33"/>
  <c r="G108" i="33" s="1"/>
  <c r="H108" i="33" s="1"/>
  <c r="I108" i="33" s="1"/>
  <c r="J108" i="33"/>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c r="I101" i="33"/>
  <c r="J101" i="33" s="1"/>
  <c r="K101" i="33" s="1"/>
  <c r="L101" i="33" s="1"/>
  <c r="M101" i="33" s="1"/>
  <c r="B92" i="33"/>
  <c r="H28" i="33" s="1"/>
  <c r="U28" i="33" s="1"/>
  <c r="AB28" i="33"/>
  <c r="B90" i="33"/>
  <c r="D87" i="33"/>
  <c r="E87" i="33"/>
  <c r="D85" i="33"/>
  <c r="E85" i="33" s="1"/>
  <c r="F85" i="33" s="1"/>
  <c r="D81" i="33"/>
  <c r="E81" i="33" s="1"/>
  <c r="F81" i="33" s="1"/>
  <c r="G81" i="33" s="1"/>
  <c r="D79" i="33"/>
  <c r="E79" i="33"/>
  <c r="D77" i="33"/>
  <c r="E77" i="33" s="1"/>
  <c r="F77" i="33" s="1"/>
  <c r="G77" i="33"/>
  <c r="D69" i="33"/>
  <c r="E69" i="33" s="1"/>
  <c r="F69" i="33"/>
  <c r="G69" i="33" s="1"/>
  <c r="H69" i="33" s="1"/>
  <c r="I69" i="33" s="1"/>
  <c r="J69" i="33"/>
  <c r="K69" i="33"/>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2" i="33" s="1"/>
  <c r="AC42" i="33"/>
  <c r="W41" i="33"/>
  <c r="Q41" i="33"/>
  <c r="Z41" i="33"/>
  <c r="Q40" i="33"/>
  <c r="Z40" i="33" s="1"/>
  <c r="J40" i="33"/>
  <c r="AC40" i="33"/>
  <c r="H40" i="33"/>
  <c r="Q39" i="33"/>
  <c r="Z39" i="33"/>
  <c r="J39" i="33"/>
  <c r="AC39" i="33" s="1"/>
  <c r="Q38" i="33"/>
  <c r="Z38" i="33"/>
  <c r="J38" i="33"/>
  <c r="H38" i="33"/>
  <c r="AB38" i="33"/>
  <c r="F38" i="33"/>
  <c r="AA38" i="33" s="1"/>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c r="Q10" i="33"/>
  <c r="Z10" i="33" s="1"/>
  <c r="Q9" i="33"/>
  <c r="Z9" i="33"/>
  <c r="J8" i="33"/>
  <c r="H8" i="33"/>
  <c r="F8" i="33"/>
  <c r="S8" i="33"/>
  <c r="C7" i="33"/>
  <c r="C58" i="33" s="1"/>
  <c r="D58" i="33" s="1"/>
  <c r="E58" i="33" s="1"/>
  <c r="F58" i="33" s="1"/>
  <c r="G58" i="33" s="1"/>
  <c r="M102" i="21"/>
  <c r="D102" i="21"/>
  <c r="E102" i="21"/>
  <c r="F102" i="21"/>
  <c r="G102" i="21"/>
  <c r="H102" i="21"/>
  <c r="I102" i="21"/>
  <c r="J102" i="21"/>
  <c r="K102" i="21"/>
  <c r="L102" i="21"/>
  <c r="C102" i="21"/>
  <c r="C63" i="21"/>
  <c r="G18" i="20"/>
  <c r="B87" i="46" s="1"/>
  <c r="C25" i="40"/>
  <c r="G16" i="20"/>
  <c r="B81" i="46"/>
  <c r="G15" i="20"/>
  <c r="B80" i="46" s="1"/>
  <c r="C24" i="20"/>
  <c r="B72" i="46"/>
  <c r="C21" i="20"/>
  <c r="B73" i="46" s="1"/>
  <c r="C20" i="20"/>
  <c r="B76" i="46" s="1"/>
  <c r="C18" i="20"/>
  <c r="B70" i="46"/>
  <c r="C17" i="20"/>
  <c r="B58" i="46" s="1"/>
  <c r="C16" i="20"/>
  <c r="B47" i="46"/>
  <c r="C15" i="20"/>
  <c r="B69" i="46" s="1"/>
  <c r="E54" i="21"/>
  <c r="F54" i="21" s="1"/>
  <c r="I54" i="21"/>
  <c r="J54" i="21" s="1"/>
  <c r="G54" i="21"/>
  <c r="H54" i="21"/>
  <c r="D125" i="21"/>
  <c r="E125" i="21" s="1"/>
  <c r="F125" i="21"/>
  <c r="G125" i="21" s="1"/>
  <c r="D123" i="21"/>
  <c r="E123" i="21" s="1"/>
  <c r="F123" i="21" s="1"/>
  <c r="G123" i="21"/>
  <c r="H123" i="21" s="1"/>
  <c r="I123" i="21" s="1"/>
  <c r="J123" i="21" s="1"/>
  <c r="K123" i="21" s="1"/>
  <c r="L123" i="21" s="1"/>
  <c r="M123" i="21" s="1"/>
  <c r="H42" i="21"/>
  <c r="D119" i="21"/>
  <c r="E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c r="I110" i="21" s="1"/>
  <c r="J110" i="21" s="1"/>
  <c r="K110" i="21" s="1"/>
  <c r="L110" i="21" s="1"/>
  <c r="M110" i="21" s="1"/>
  <c r="J36" i="21"/>
  <c r="W36" i="21"/>
  <c r="D108" i="21"/>
  <c r="E108" i="21" s="1"/>
  <c r="F108" i="21" s="1"/>
  <c r="G108" i="21"/>
  <c r="H108" i="21"/>
  <c r="I108" i="21" s="1"/>
  <c r="J108" i="21" s="1"/>
  <c r="K108" i="21"/>
  <c r="L108" i="21" s="1"/>
  <c r="M108" i="21" s="1"/>
  <c r="D106" i="21"/>
  <c r="E106" i="21"/>
  <c r="F106" i="21"/>
  <c r="G106" i="21" s="1"/>
  <c r="H106" i="21" s="1"/>
  <c r="I106" i="21" s="1"/>
  <c r="J106" i="21"/>
  <c r="K106" i="21" s="1"/>
  <c r="L106" i="21" s="1"/>
  <c r="M106" i="21"/>
  <c r="D101" i="21"/>
  <c r="E101" i="21" s="1"/>
  <c r="F101" i="21" s="1"/>
  <c r="G101" i="21" s="1"/>
  <c r="H101" i="21"/>
  <c r="I101" i="21" s="1"/>
  <c r="J101" i="21" s="1"/>
  <c r="K101" i="21"/>
  <c r="L101" i="21"/>
  <c r="M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c r="M69" i="21" s="1"/>
  <c r="D66" i="21"/>
  <c r="E66" i="21" s="1"/>
  <c r="F66" i="21" s="1"/>
  <c r="G66" i="21"/>
  <c r="H66" i="21" s="1"/>
  <c r="I66" i="21" s="1"/>
  <c r="D111" i="21"/>
  <c r="E111" i="21"/>
  <c r="F111" i="21"/>
  <c r="C111" i="21"/>
  <c r="D79" i="21"/>
  <c r="E79" i="21" s="1"/>
  <c r="F79" i="21" s="1"/>
  <c r="G79" i="21" s="1"/>
  <c r="D85" i="21"/>
  <c r="E85" i="21"/>
  <c r="F85" i="21" s="1"/>
  <c r="D81" i="21"/>
  <c r="E81" i="21" s="1"/>
  <c r="F81" i="21" s="1"/>
  <c r="G81" i="21" s="1"/>
  <c r="D77" i="21"/>
  <c r="E77" i="21" s="1"/>
  <c r="B130" i="21"/>
  <c r="B128" i="21"/>
  <c r="J45" i="21" s="1"/>
  <c r="B126" i="21"/>
  <c r="B98" i="21"/>
  <c r="B96" i="21"/>
  <c r="F30" i="21" s="1"/>
  <c r="S30" i="21" s="1"/>
  <c r="B94" i="21"/>
  <c r="H29" i="21" s="1"/>
  <c r="U29" i="21" s="1"/>
  <c r="B92" i="21"/>
  <c r="J28" i="21" s="1"/>
  <c r="B90" i="21"/>
  <c r="B74" i="21"/>
  <c r="B72" i="21"/>
  <c r="F13" i="21" s="1"/>
  <c r="B70" i="21"/>
  <c r="F12" i="21" s="1"/>
  <c r="S12" i="21" s="1"/>
  <c r="AA12" i="21"/>
  <c r="F10" i="21"/>
  <c r="AA10" i="21" s="1"/>
  <c r="C7" i="21"/>
  <c r="C58" i="21"/>
  <c r="D58"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AC35" i="21" s="1"/>
  <c r="Q35" i="21"/>
  <c r="Z35" i="21" s="1"/>
  <c r="Q36" i="21"/>
  <c r="Z36" i="21"/>
  <c r="Q37" i="21"/>
  <c r="Z37" i="21" s="1"/>
  <c r="J38" i="21"/>
  <c r="W38" i="21"/>
  <c r="Q38" i="21"/>
  <c r="Z38" i="21" s="1"/>
  <c r="J39" i="21"/>
  <c r="Q39" i="21"/>
  <c r="Z39"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F43" i="21"/>
  <c r="S43" i="21"/>
  <c r="H38" i="21"/>
  <c r="H43" i="21"/>
  <c r="AB43" i="21"/>
  <c r="F32" i="21"/>
  <c r="F38" i="21"/>
  <c r="S38" i="21" s="1"/>
  <c r="F36" i="21"/>
  <c r="AA36" i="21" s="1"/>
  <c r="F39" i="21"/>
  <c r="J40" i="21"/>
  <c r="H35" i="21"/>
  <c r="U35" i="21" s="1"/>
  <c r="AB35" i="21"/>
  <c r="J8" i="21"/>
  <c r="J9" i="21"/>
  <c r="AC9" i="21"/>
  <c r="H8" i="21"/>
  <c r="H10" i="21"/>
  <c r="U10" i="21" s="1"/>
  <c r="H39" i="21"/>
  <c r="U39" i="21" s="1"/>
  <c r="AB39" i="21"/>
  <c r="J34" i="21"/>
  <c r="W34" i="21" s="1"/>
  <c r="H36" i="21"/>
  <c r="U36" i="21" s="1"/>
  <c r="F35" i="21"/>
  <c r="AA35" i="21" s="1"/>
  <c r="J33" i="21"/>
  <c r="AC33" i="21" s="1"/>
  <c r="W33" i="21"/>
  <c r="H33" i="21"/>
  <c r="U33" i="21" s="1"/>
  <c r="F33" i="21"/>
  <c r="S33" i="21" s="1"/>
  <c r="J10" i="21"/>
  <c r="AC10" i="21" s="1"/>
  <c r="H26" i="21"/>
  <c r="AB26" i="21"/>
  <c r="F19" i="21"/>
  <c r="H19" i="21"/>
  <c r="AB19" i="21"/>
  <c r="J19" i="21"/>
  <c r="W19" i="21" s="1"/>
  <c r="H12" i="21"/>
  <c r="AB12" i="21" s="1"/>
  <c r="J26" i="21"/>
  <c r="W26" i="21" s="1"/>
  <c r="F26" i="21"/>
  <c r="AB41" i="21"/>
  <c r="S41" i="21"/>
  <c r="AA41" i="21"/>
  <c r="W41" i="21"/>
  <c r="S10" i="39"/>
  <c r="E103" i="37"/>
  <c r="F103" i="37"/>
  <c r="F29" i="36"/>
  <c r="AA29" i="36"/>
  <c r="F16" i="36"/>
  <c r="AA16" i="36" s="1"/>
  <c r="U26" i="36"/>
  <c r="J33" i="36"/>
  <c r="W33" i="36"/>
  <c r="U31" i="35"/>
  <c r="S31" i="35"/>
  <c r="F36" i="34"/>
  <c r="S36" i="34"/>
  <c r="W9" i="34"/>
  <c r="S34" i="34"/>
  <c r="H39" i="33"/>
  <c r="AB39" i="33"/>
  <c r="S40" i="33"/>
  <c r="S33" i="33"/>
  <c r="W33" i="33"/>
  <c r="U38" i="33"/>
  <c r="S8" i="21"/>
  <c r="AB27" i="35"/>
  <c r="S10" i="40"/>
  <c r="W10" i="40"/>
  <c r="S11" i="40"/>
  <c r="U36" i="40"/>
  <c r="S36" i="39"/>
  <c r="F11" i="21"/>
  <c r="S11" i="21" s="1"/>
  <c r="AB36" i="21"/>
  <c r="U36" i="39"/>
  <c r="H32" i="33"/>
  <c r="U32" i="33" s="1"/>
  <c r="AB32" i="33"/>
  <c r="H11" i="21"/>
  <c r="U11" i="21" s="1"/>
  <c r="J11" i="21"/>
  <c r="W11" i="21" s="1"/>
  <c r="J27" i="36"/>
  <c r="J34" i="36"/>
  <c r="W34" i="36"/>
  <c r="J30" i="35"/>
  <c r="W30" i="35" s="1"/>
  <c r="F22" i="35"/>
  <c r="AA22" i="35"/>
  <c r="H10" i="35"/>
  <c r="U29" i="36"/>
  <c r="E85" i="36"/>
  <c r="F85" i="36"/>
  <c r="G85" i="36" s="1"/>
  <c r="H85" i="36" s="1"/>
  <c r="I85" i="36" s="1"/>
  <c r="J85" i="36" s="1"/>
  <c r="K85" i="36" s="1"/>
  <c r="L85" i="36" s="1"/>
  <c r="M85" i="36" s="1"/>
  <c r="J29" i="36"/>
  <c r="AC29" i="36" s="1"/>
  <c r="F24" i="36"/>
  <c r="F34" i="36"/>
  <c r="S34" i="36"/>
  <c r="S10" i="36"/>
  <c r="AB8" i="36"/>
  <c r="H16" i="35"/>
  <c r="U16" i="35"/>
  <c r="H33" i="35"/>
  <c r="AC8" i="35"/>
  <c r="F35" i="37"/>
  <c r="AA35" i="37" s="1"/>
  <c r="E101" i="37"/>
  <c r="F101" i="37" s="1"/>
  <c r="G101" i="37"/>
  <c r="H101" i="37" s="1"/>
  <c r="I101" i="37" s="1"/>
  <c r="J101" i="37" s="1"/>
  <c r="K101" i="37" s="1"/>
  <c r="L101" i="37" s="1"/>
  <c r="M101" i="37" s="1"/>
  <c r="J34" i="37"/>
  <c r="W34" i="37"/>
  <c r="H43" i="34"/>
  <c r="E114" i="34"/>
  <c r="H36" i="34"/>
  <c r="U36" i="34"/>
  <c r="F37" i="34"/>
  <c r="AA37" i="34" s="1"/>
  <c r="F33" i="34"/>
  <c r="S33" i="34"/>
  <c r="F19" i="34"/>
  <c r="AA19" i="34" s="1"/>
  <c r="J10" i="34"/>
  <c r="W10" i="34" s="1"/>
  <c r="AC10" i="34"/>
  <c r="S38" i="33"/>
  <c r="E113" i="33"/>
  <c r="F36" i="33"/>
  <c r="S36" i="33"/>
  <c r="F19" i="33"/>
  <c r="S19" i="33" s="1"/>
  <c r="J19" i="33"/>
  <c r="W19" i="33"/>
  <c r="S10" i="21"/>
  <c r="W40" i="33"/>
  <c r="AC34" i="36"/>
  <c r="S22" i="35"/>
  <c r="H29" i="35"/>
  <c r="U34" i="37"/>
  <c r="S34" i="37"/>
  <c r="AA34" i="37"/>
  <c r="AB42" i="34"/>
  <c r="W36" i="34"/>
  <c r="J19" i="34"/>
  <c r="AC19" i="34" s="1"/>
  <c r="F113" i="33"/>
  <c r="G113" i="33" s="1"/>
  <c r="H113" i="33" s="1"/>
  <c r="I113" i="33" s="1"/>
  <c r="J113" i="33"/>
  <c r="K113" i="33"/>
  <c r="L113" i="33" s="1"/>
  <c r="M113" i="33" s="1"/>
  <c r="H37" i="33"/>
  <c r="AC42" i="34"/>
  <c r="W42" i="34"/>
  <c r="AC38" i="34"/>
  <c r="W38" i="34"/>
  <c r="AA38" i="34"/>
  <c r="J37" i="33"/>
  <c r="W37" i="33"/>
  <c r="J42" i="21"/>
  <c r="J44" i="34"/>
  <c r="AC44" i="34"/>
  <c r="F44" i="34"/>
  <c r="J10" i="35"/>
  <c r="W10" i="35"/>
  <c r="AL5" i="3"/>
  <c r="F14" i="21"/>
  <c r="H28" i="21"/>
  <c r="AB28" i="21"/>
  <c r="F28" i="21"/>
  <c r="AA28" i="21" s="1"/>
  <c r="AC28" i="21"/>
  <c r="J44" i="21"/>
  <c r="AC44" i="21" s="1"/>
  <c r="H44" i="21"/>
  <c r="AB44" i="21" s="1"/>
  <c r="U44" i="21"/>
  <c r="F44" i="21"/>
  <c r="AA44" i="21" s="1"/>
  <c r="F28" i="33"/>
  <c r="F33" i="35"/>
  <c r="S33" i="35" s="1"/>
  <c r="J33" i="35"/>
  <c r="W33" i="35" s="1"/>
  <c r="F30" i="35"/>
  <c r="AA30" i="35"/>
  <c r="E89" i="35"/>
  <c r="F89" i="35" s="1"/>
  <c r="G89" i="35"/>
  <c r="H89" i="35" s="1"/>
  <c r="I89" i="35" s="1"/>
  <c r="J89" i="35" s="1"/>
  <c r="K89" i="35"/>
  <c r="L89" i="35"/>
  <c r="M89" i="35" s="1"/>
  <c r="H10" i="36"/>
  <c r="AB10" i="36"/>
  <c r="F28" i="36"/>
  <c r="F27" i="36"/>
  <c r="S27" i="36"/>
  <c r="J45" i="33"/>
  <c r="W45" i="33"/>
  <c r="F45" i="33"/>
  <c r="S45" i="33" s="1"/>
  <c r="F11" i="35"/>
  <c r="S11" i="35" s="1"/>
  <c r="H28" i="36"/>
  <c r="E89" i="37"/>
  <c r="F89" i="37" s="1"/>
  <c r="G89" i="37" s="1"/>
  <c r="H89" i="37"/>
  <c r="I89" i="37" s="1"/>
  <c r="J89" i="37" s="1"/>
  <c r="K89" i="37" s="1"/>
  <c r="L89" i="37"/>
  <c r="M89" i="37"/>
  <c r="J29" i="37"/>
  <c r="F29" i="37"/>
  <c r="AA29" i="37"/>
  <c r="F105" i="37"/>
  <c r="G105" i="37" s="1"/>
  <c r="AB36" i="37"/>
  <c r="J37" i="37"/>
  <c r="H37" i="37"/>
  <c r="U37" i="37"/>
  <c r="F14" i="33"/>
  <c r="AA14" i="33" s="1"/>
  <c r="H30" i="33"/>
  <c r="U30" i="33" s="1"/>
  <c r="H44" i="33"/>
  <c r="J44" i="33"/>
  <c r="AC44" i="33" s="1"/>
  <c r="F44" i="33"/>
  <c r="S44" i="33" s="1"/>
  <c r="J46" i="33"/>
  <c r="AC46" i="33" s="1"/>
  <c r="F46" i="33"/>
  <c r="AA46" i="33"/>
  <c r="H46" i="33"/>
  <c r="AB46" i="33" s="1"/>
  <c r="F13" i="34"/>
  <c r="AA13" i="34"/>
  <c r="J29" i="34"/>
  <c r="AC29" i="34" s="1"/>
  <c r="F29" i="34"/>
  <c r="S29" i="34"/>
  <c r="H29" i="34"/>
  <c r="U29" i="34" s="1"/>
  <c r="H45" i="34"/>
  <c r="U45" i="34" s="1"/>
  <c r="J45" i="34"/>
  <c r="W45" i="34"/>
  <c r="F45" i="34"/>
  <c r="AA45" i="34" s="1"/>
  <c r="F13" i="37"/>
  <c r="AA13" i="37" s="1"/>
  <c r="H28" i="37"/>
  <c r="AB28" i="37" s="1"/>
  <c r="U28" i="37"/>
  <c r="J38" i="37"/>
  <c r="AC38" i="37"/>
  <c r="F27" i="37"/>
  <c r="AA27" i="37" s="1"/>
  <c r="J27" i="37"/>
  <c r="W27" i="37" s="1"/>
  <c r="W35" i="35"/>
  <c r="W46" i="33"/>
  <c r="J36" i="37"/>
  <c r="AC36" i="37" s="1"/>
  <c r="S28" i="21"/>
  <c r="S46" i="33"/>
  <c r="U36" i="37"/>
  <c r="U28" i="21"/>
  <c r="S505" i="31"/>
  <c r="S503" i="31"/>
  <c r="S501" i="31"/>
  <c r="O27" i="31"/>
  <c r="O28" i="31"/>
  <c r="O26" i="31"/>
  <c r="M27" i="31"/>
  <c r="M28" i="31"/>
  <c r="M26" i="31"/>
  <c r="I26" i="31"/>
  <c r="I25" i="31"/>
  <c r="S25" i="31"/>
  <c r="Q26" i="31"/>
  <c r="K26" i="31"/>
  <c r="I27" i="31"/>
  <c r="Q27" i="31"/>
  <c r="K27" i="31"/>
  <c r="I28" i="31"/>
  <c r="Q28" i="31"/>
  <c r="K28" i="31"/>
  <c r="H25" i="21"/>
  <c r="U25" i="21"/>
  <c r="F25" i="21"/>
  <c r="S25" i="21" s="1"/>
  <c r="J25" i="21"/>
  <c r="AC25" i="21"/>
  <c r="F125" i="33"/>
  <c r="G125" i="33" s="1"/>
  <c r="H43" i="33"/>
  <c r="U43" i="33"/>
  <c r="H17" i="37"/>
  <c r="U17" i="37" s="1"/>
  <c r="F23" i="37"/>
  <c r="G79" i="37"/>
  <c r="AB27" i="37"/>
  <c r="F39" i="33"/>
  <c r="AA39" i="33" s="1"/>
  <c r="E123" i="33"/>
  <c r="F123" i="33"/>
  <c r="G123" i="33" s="1"/>
  <c r="H123" i="33" s="1"/>
  <c r="F42" i="33"/>
  <c r="AA42" i="33" s="1"/>
  <c r="F22" i="36"/>
  <c r="H35" i="34"/>
  <c r="U35" i="34" s="1"/>
  <c r="F41" i="34"/>
  <c r="AA41" i="34" s="1"/>
  <c r="S41" i="34"/>
  <c r="H41" i="34"/>
  <c r="U41" i="34" s="1"/>
  <c r="J41" i="34"/>
  <c r="W41" i="34"/>
  <c r="F10" i="35"/>
  <c r="AA10" i="35" s="1"/>
  <c r="H23" i="37"/>
  <c r="U23" i="37" s="1"/>
  <c r="AB23" i="37"/>
  <c r="J32" i="37"/>
  <c r="AC32" i="37" s="1"/>
  <c r="F36" i="37"/>
  <c r="AA36" i="37" s="1"/>
  <c r="F37" i="37"/>
  <c r="AA37" i="37" s="1"/>
  <c r="AC41" i="34"/>
  <c r="I123" i="33"/>
  <c r="J123" i="33" s="1"/>
  <c r="K123" i="33" s="1"/>
  <c r="L123" i="33" s="1"/>
  <c r="M123" i="33" s="1"/>
  <c r="H42" i="33"/>
  <c r="J43" i="33"/>
  <c r="AC43" i="33"/>
  <c r="J23" i="37"/>
  <c r="F17" i="37"/>
  <c r="AA17" i="37" s="1"/>
  <c r="AB43" i="33"/>
  <c r="D3" i="21"/>
  <c r="AC33" i="36"/>
  <c r="S27" i="37"/>
  <c r="AC8" i="37"/>
  <c r="AC36" i="34"/>
  <c r="AC37" i="33"/>
  <c r="AC45" i="33"/>
  <c r="U19" i="21"/>
  <c r="F43" i="33"/>
  <c r="AA43" i="33"/>
  <c r="S10" i="35"/>
  <c r="G107" i="37"/>
  <c r="H107" i="37" s="1"/>
  <c r="I107" i="37" s="1"/>
  <c r="J107" i="37" s="1"/>
  <c r="K107" i="37" s="1"/>
  <c r="L107" i="37" s="1"/>
  <c r="M107" i="37" s="1"/>
  <c r="F37" i="21"/>
  <c r="S37" i="21"/>
  <c r="J37" i="21"/>
  <c r="H19" i="34"/>
  <c r="AB19" i="34"/>
  <c r="J10" i="37"/>
  <c r="F9" i="37"/>
  <c r="S9" i="37" s="1"/>
  <c r="F11" i="37"/>
  <c r="S11" i="37" s="1"/>
  <c r="J12" i="37"/>
  <c r="W12" i="37" s="1"/>
  <c r="AC12" i="37"/>
  <c r="H15" i="37"/>
  <c r="F94" i="37"/>
  <c r="G94" i="37" s="1"/>
  <c r="H94" i="37" s="1"/>
  <c r="I94" i="37" s="1"/>
  <c r="J94" i="37" s="1"/>
  <c r="K94" i="37" s="1"/>
  <c r="L94" i="37" s="1"/>
  <c r="M94" i="37" s="1"/>
  <c r="F31" i="37"/>
  <c r="H31" i="37"/>
  <c r="AB31" i="37" s="1"/>
  <c r="J15" i="37"/>
  <c r="AC15" i="37" s="1"/>
  <c r="W15" i="37"/>
  <c r="AB10" i="37"/>
  <c r="J11" i="37"/>
  <c r="W11" i="37"/>
  <c r="U31" i="37"/>
  <c r="E90" i="40"/>
  <c r="F21" i="40"/>
  <c r="S21" i="40"/>
  <c r="W36" i="40"/>
  <c r="F90" i="40"/>
  <c r="G90" i="40" s="1"/>
  <c r="J21" i="40"/>
  <c r="AC21" i="40"/>
  <c r="S27" i="31"/>
  <c r="J57" i="39"/>
  <c r="H13" i="40"/>
  <c r="U13" i="40"/>
  <c r="I4" i="4"/>
  <c r="K141" i="21"/>
  <c r="K143" i="21"/>
  <c r="I59" i="40"/>
  <c r="C59" i="40"/>
  <c r="I60" i="40"/>
  <c r="C60" i="40" s="1"/>
  <c r="H7" i="48"/>
  <c r="H113" i="46"/>
  <c r="F35" i="46"/>
  <c r="F37" i="46"/>
  <c r="H8" i="48"/>
  <c r="C12" i="46"/>
  <c r="AB16" i="35"/>
  <c r="AA43" i="21"/>
  <c r="U43" i="21"/>
  <c r="AA13" i="40"/>
  <c r="E78" i="40"/>
  <c r="F78" i="40"/>
  <c r="G78" i="40" s="1"/>
  <c r="H78" i="40" s="1"/>
  <c r="I78" i="40" s="1"/>
  <c r="J78" i="40" s="1"/>
  <c r="K78" i="40" s="1"/>
  <c r="L78" i="40" s="1"/>
  <c r="M78" i="40" s="1"/>
  <c r="R16" i="4"/>
  <c r="D3" i="35"/>
  <c r="G4" i="4"/>
  <c r="S37" i="34"/>
  <c r="J16" i="35"/>
  <c r="W16" i="35" s="1"/>
  <c r="H11" i="37"/>
  <c r="AB11" i="37" s="1"/>
  <c r="S42" i="33"/>
  <c r="AB45" i="34"/>
  <c r="J33" i="34"/>
  <c r="AC33" i="34"/>
  <c r="AB36" i="34"/>
  <c r="J40" i="34"/>
  <c r="W40" i="34" s="1"/>
  <c r="F16" i="35"/>
  <c r="AA16" i="35"/>
  <c r="J35" i="34"/>
  <c r="S30" i="36"/>
  <c r="H16" i="36"/>
  <c r="AB16" i="36" s="1"/>
  <c r="G103" i="37"/>
  <c r="H103" i="37"/>
  <c r="I103" i="37" s="1"/>
  <c r="J103" i="37" s="1"/>
  <c r="K103" i="37" s="1"/>
  <c r="L103" i="37"/>
  <c r="M103" i="37" s="1"/>
  <c r="H35" i="37"/>
  <c r="AB35" i="37"/>
  <c r="H32" i="21"/>
  <c r="U32" i="21" s="1"/>
  <c r="U26" i="21"/>
  <c r="W9" i="21"/>
  <c r="J32" i="21"/>
  <c r="AC32" i="21" s="1"/>
  <c r="F17" i="21"/>
  <c r="S17" i="21" s="1"/>
  <c r="H17" i="21"/>
  <c r="AB17" i="21" s="1"/>
  <c r="J17" i="21"/>
  <c r="W17" i="21" s="1"/>
  <c r="AC17" i="21"/>
  <c r="H37" i="21"/>
  <c r="U37" i="21" s="1"/>
  <c r="F40" i="21"/>
  <c r="S40" i="21"/>
  <c r="H40" i="21"/>
  <c r="AB40" i="21" s="1"/>
  <c r="F119" i="21"/>
  <c r="G119" i="21" s="1"/>
  <c r="H119" i="21" s="1"/>
  <c r="I119" i="21" s="1"/>
  <c r="J119" i="21"/>
  <c r="K119" i="21"/>
  <c r="L119" i="21" s="1"/>
  <c r="M119" i="21" s="1"/>
  <c r="AA8" i="33"/>
  <c r="H66" i="33"/>
  <c r="F10" i="33"/>
  <c r="AA10" i="33"/>
  <c r="F11" i="33"/>
  <c r="S11" i="33" s="1"/>
  <c r="J15" i="33"/>
  <c r="W15" i="33"/>
  <c r="H19" i="33"/>
  <c r="AB19" i="33" s="1"/>
  <c r="F32" i="33"/>
  <c r="AA32" i="33"/>
  <c r="J32" i="33"/>
  <c r="AC32" i="33" s="1"/>
  <c r="F35" i="33"/>
  <c r="AA35" i="33"/>
  <c r="AB39" i="34"/>
  <c r="F11" i="34"/>
  <c r="S11" i="34" s="1"/>
  <c r="E80" i="34"/>
  <c r="F80" i="34" s="1"/>
  <c r="G80" i="34" s="1"/>
  <c r="H17" i="34"/>
  <c r="AB17" i="34" s="1"/>
  <c r="W27" i="34"/>
  <c r="S12" i="35"/>
  <c r="H13" i="33"/>
  <c r="U13" i="33" s="1"/>
  <c r="H29" i="33"/>
  <c r="AB29" i="33"/>
  <c r="F29" i="33"/>
  <c r="H12" i="34"/>
  <c r="J14" i="34"/>
  <c r="F14" i="34"/>
  <c r="S14" i="34"/>
  <c r="H14" i="34"/>
  <c r="H32" i="34"/>
  <c r="AB32" i="34" s="1"/>
  <c r="F32" i="34"/>
  <c r="AA32" i="34"/>
  <c r="J32" i="34"/>
  <c r="H11" i="35"/>
  <c r="AB11" i="35" s="1"/>
  <c r="J11" i="35"/>
  <c r="AC11" i="35" s="1"/>
  <c r="H32" i="37"/>
  <c r="AB32" i="37" s="1"/>
  <c r="F43" i="39"/>
  <c r="AC27" i="37"/>
  <c r="S45" i="34"/>
  <c r="AB29" i="35"/>
  <c r="U29" i="35"/>
  <c r="AC19" i="33"/>
  <c r="AC34" i="37"/>
  <c r="S35" i="37"/>
  <c r="AA32" i="21"/>
  <c r="S32" i="21"/>
  <c r="F42" i="21"/>
  <c r="AA42" i="21" s="1"/>
  <c r="AA35" i="34"/>
  <c r="E90" i="34"/>
  <c r="H27" i="34"/>
  <c r="AB27" i="34" s="1"/>
  <c r="AB8" i="35"/>
  <c r="U8" i="35"/>
  <c r="J14" i="35"/>
  <c r="AC14" i="35"/>
  <c r="F14" i="35"/>
  <c r="S14" i="35" s="1"/>
  <c r="H14" i="35"/>
  <c r="U14" i="35" s="1"/>
  <c r="E80" i="35"/>
  <c r="F80" i="35" s="1"/>
  <c r="E94" i="35"/>
  <c r="F94" i="35" s="1"/>
  <c r="G94" i="35" s="1"/>
  <c r="H94" i="35" s="1"/>
  <c r="I94" i="35" s="1"/>
  <c r="J94" i="35" s="1"/>
  <c r="K94" i="35" s="1"/>
  <c r="L94" i="35" s="1"/>
  <c r="M94" i="35" s="1"/>
  <c r="J32" i="35"/>
  <c r="AC32" i="35" s="1"/>
  <c r="H11" i="36"/>
  <c r="U11" i="36" s="1"/>
  <c r="AB11" i="36"/>
  <c r="F11" i="36"/>
  <c r="S11" i="36" s="1"/>
  <c r="AC16" i="36"/>
  <c r="E78" i="36"/>
  <c r="F78" i="36" s="1"/>
  <c r="G78" i="36"/>
  <c r="H78" i="36" s="1"/>
  <c r="I78" i="36" s="1"/>
  <c r="J78" i="36" s="1"/>
  <c r="K78" i="36"/>
  <c r="L78" i="36"/>
  <c r="M78" i="36" s="1"/>
  <c r="F26" i="36"/>
  <c r="S26" i="36"/>
  <c r="H33" i="36"/>
  <c r="U33" i="36"/>
  <c r="F33" i="36"/>
  <c r="H27" i="36"/>
  <c r="AB27" i="36"/>
  <c r="AB29" i="37"/>
  <c r="AA30" i="37"/>
  <c r="S30" i="37"/>
  <c r="AC30" i="37"/>
  <c r="AC31" i="37"/>
  <c r="W31" i="37"/>
  <c r="F17" i="39"/>
  <c r="AA17" i="39"/>
  <c r="H17" i="39"/>
  <c r="J17" i="39"/>
  <c r="W17" i="39"/>
  <c r="F21" i="39"/>
  <c r="S21" i="39" s="1"/>
  <c r="H21" i="39"/>
  <c r="U21" i="39"/>
  <c r="J21" i="39"/>
  <c r="W21" i="39" s="1"/>
  <c r="F33" i="39"/>
  <c r="S33" i="39"/>
  <c r="H33" i="39"/>
  <c r="J33" i="39"/>
  <c r="W33" i="39"/>
  <c r="F44" i="39"/>
  <c r="S44" i="39" s="1"/>
  <c r="J44" i="39"/>
  <c r="F46" i="39"/>
  <c r="H46" i="39"/>
  <c r="U46" i="39" s="1"/>
  <c r="J46" i="39"/>
  <c r="AC46" i="39" s="1"/>
  <c r="W46" i="39"/>
  <c r="F29" i="39"/>
  <c r="AA29" i="39" s="1"/>
  <c r="E103" i="39"/>
  <c r="F103" i="39"/>
  <c r="G103" i="39" s="1"/>
  <c r="H29" i="39"/>
  <c r="U29" i="39"/>
  <c r="F34" i="39"/>
  <c r="AA34" i="39" s="1"/>
  <c r="H34" i="39"/>
  <c r="AB34" i="39"/>
  <c r="J34" i="39"/>
  <c r="AC34" i="39" s="1"/>
  <c r="F39" i="39"/>
  <c r="H39" i="39"/>
  <c r="U39" i="39" s="1"/>
  <c r="AB39" i="39"/>
  <c r="J39" i="39"/>
  <c r="W39" i="39" s="1"/>
  <c r="J29" i="35"/>
  <c r="AC29" i="35"/>
  <c r="F29" i="35"/>
  <c r="F37" i="39"/>
  <c r="S37" i="39" s="1"/>
  <c r="F36" i="44"/>
  <c r="F114" i="34"/>
  <c r="G114" i="34" s="1"/>
  <c r="H114" i="34" s="1"/>
  <c r="I114" i="34" s="1"/>
  <c r="J114" i="34" s="1"/>
  <c r="K114" i="34" s="1"/>
  <c r="L114" i="34" s="1"/>
  <c r="M114" i="34" s="1"/>
  <c r="H38" i="34"/>
  <c r="AB38" i="34" s="1"/>
  <c r="U38" i="34"/>
  <c r="H30" i="40"/>
  <c r="AB30" i="40" s="1"/>
  <c r="J30" i="40"/>
  <c r="AC30" i="40" s="1"/>
  <c r="F38" i="40"/>
  <c r="AA38" i="40"/>
  <c r="AA36" i="34"/>
  <c r="AB33" i="21"/>
  <c r="S35" i="21"/>
  <c r="AB10" i="21"/>
  <c r="S34" i="21"/>
  <c r="AC36" i="21"/>
  <c r="AB8" i="33"/>
  <c r="U8" i="33"/>
  <c r="H34" i="33"/>
  <c r="U34" i="33" s="1"/>
  <c r="F34" i="33"/>
  <c r="S34" i="33" s="1"/>
  <c r="E121" i="33"/>
  <c r="F41" i="33"/>
  <c r="S41" i="33"/>
  <c r="AC34" i="34"/>
  <c r="W34" i="34"/>
  <c r="E78" i="34"/>
  <c r="F78" i="34" s="1"/>
  <c r="F15" i="34"/>
  <c r="J20" i="35"/>
  <c r="AC20" i="35" s="1"/>
  <c r="E72" i="35"/>
  <c r="F72" i="35" s="1"/>
  <c r="G72" i="35" s="1"/>
  <c r="H22" i="35"/>
  <c r="AB22" i="35"/>
  <c r="H23" i="35"/>
  <c r="U23" i="35" s="1"/>
  <c r="U31" i="36"/>
  <c r="S8" i="37"/>
  <c r="AA8" i="37"/>
  <c r="F14" i="39"/>
  <c r="AA14" i="39"/>
  <c r="H14" i="39"/>
  <c r="AB14" i="39" s="1"/>
  <c r="J14" i="39"/>
  <c r="AC14" i="39"/>
  <c r="F16" i="39"/>
  <c r="AA16" i="39" s="1"/>
  <c r="U16" i="39"/>
  <c r="J16" i="39"/>
  <c r="AC16" i="39" s="1"/>
  <c r="H27" i="39"/>
  <c r="U27" i="39" s="1"/>
  <c r="AB27" i="39"/>
  <c r="J27" i="39"/>
  <c r="AC27" i="39" s="1"/>
  <c r="F15" i="40"/>
  <c r="S15" i="40" s="1"/>
  <c r="AA15" i="40"/>
  <c r="J15" i="40"/>
  <c r="H15" i="40"/>
  <c r="AB15" i="40"/>
  <c r="E92" i="40"/>
  <c r="F92" i="40" s="1"/>
  <c r="G92" i="40" s="1"/>
  <c r="H23" i="40"/>
  <c r="AB23" i="40" s="1"/>
  <c r="H41" i="40"/>
  <c r="AB41" i="40" s="1"/>
  <c r="F41" i="40"/>
  <c r="AA41" i="40"/>
  <c r="J41" i="40"/>
  <c r="AC41" i="40" s="1"/>
  <c r="H36" i="33"/>
  <c r="AB36" i="33"/>
  <c r="H37" i="34"/>
  <c r="F15" i="39"/>
  <c r="AA15" i="39"/>
  <c r="H15" i="39"/>
  <c r="U15" i="39" s="1"/>
  <c r="J15" i="39"/>
  <c r="AC15" i="39"/>
  <c r="F25" i="39"/>
  <c r="F47" i="39"/>
  <c r="H47" i="39"/>
  <c r="AB47" i="39"/>
  <c r="J47" i="39"/>
  <c r="H41" i="39"/>
  <c r="AB41" i="39" s="1"/>
  <c r="E94" i="40"/>
  <c r="F94" i="40" s="1"/>
  <c r="G94" i="40" s="1"/>
  <c r="J25" i="40"/>
  <c r="AC25" i="40" s="1"/>
  <c r="J32" i="40"/>
  <c r="AC32" i="40" s="1"/>
  <c r="H33" i="40"/>
  <c r="U33" i="40" s="1"/>
  <c r="AB33" i="40"/>
  <c r="F33" i="40"/>
  <c r="AA33" i="40" s="1"/>
  <c r="J33" i="40"/>
  <c r="AC33" i="40"/>
  <c r="F35" i="40"/>
  <c r="S35" i="40" s="1"/>
  <c r="J38" i="39"/>
  <c r="W38" i="39"/>
  <c r="H38" i="39"/>
  <c r="U38" i="39" s="1"/>
  <c r="J16" i="40"/>
  <c r="W16" i="40" s="1"/>
  <c r="J14" i="40"/>
  <c r="W14" i="40" s="1"/>
  <c r="H42" i="40"/>
  <c r="H40" i="40"/>
  <c r="B41" i="1"/>
  <c r="J40" i="40"/>
  <c r="H16" i="40"/>
  <c r="H14" i="40"/>
  <c r="U14" i="40"/>
  <c r="F32" i="40"/>
  <c r="AA32" i="40" s="1"/>
  <c r="M6" i="46"/>
  <c r="M10" i="46"/>
  <c r="F58" i="46"/>
  <c r="F47" i="46"/>
  <c r="M7" i="46"/>
  <c r="M11" i="46"/>
  <c r="N10" i="46"/>
  <c r="J13" i="40"/>
  <c r="AB14" i="40"/>
  <c r="F27" i="43"/>
  <c r="F72" i="9"/>
  <c r="AC14" i="40"/>
  <c r="S33" i="40"/>
  <c r="AB32" i="40"/>
  <c r="U37" i="34"/>
  <c r="AB37" i="34"/>
  <c r="J23" i="40"/>
  <c r="AC23" i="40"/>
  <c r="F23" i="40"/>
  <c r="S23" i="40" s="1"/>
  <c r="AC15" i="40"/>
  <c r="W15" i="40"/>
  <c r="W14" i="39"/>
  <c r="H20" i="35"/>
  <c r="U20" i="35" s="1"/>
  <c r="F20" i="35"/>
  <c r="S20" i="35"/>
  <c r="H15" i="34"/>
  <c r="AB15" i="34" s="1"/>
  <c r="G78" i="34"/>
  <c r="J15" i="34"/>
  <c r="H41" i="33"/>
  <c r="U41" i="33" s="1"/>
  <c r="F121" i="33"/>
  <c r="G121" i="33"/>
  <c r="H121" i="33" s="1"/>
  <c r="I121" i="33" s="1"/>
  <c r="J121" i="33" s="1"/>
  <c r="K121" i="33" s="1"/>
  <c r="L121" i="33" s="1"/>
  <c r="M121" i="33" s="1"/>
  <c r="F30" i="40"/>
  <c r="S30" i="40" s="1"/>
  <c r="AA30" i="40"/>
  <c r="J100" i="40"/>
  <c r="K100" i="40" s="1"/>
  <c r="L100" i="40" s="1"/>
  <c r="M100" i="40" s="1"/>
  <c r="J29" i="39"/>
  <c r="AB33" i="36"/>
  <c r="AA11" i="36"/>
  <c r="AA14" i="35"/>
  <c r="F33" i="37"/>
  <c r="AA33" i="37" s="1"/>
  <c r="AA14" i="34"/>
  <c r="U29" i="33"/>
  <c r="AA11" i="34"/>
  <c r="H15" i="33"/>
  <c r="U15" i="33" s="1"/>
  <c r="AA11" i="33"/>
  <c r="AA40" i="21"/>
  <c r="U17" i="21"/>
  <c r="AC16" i="40"/>
  <c r="W32" i="40"/>
  <c r="H25" i="40"/>
  <c r="AB25" i="40" s="1"/>
  <c r="U47" i="39"/>
  <c r="W15" i="39"/>
  <c r="J37" i="34"/>
  <c r="AC37" i="34"/>
  <c r="J36" i="33"/>
  <c r="W36" i="33" s="1"/>
  <c r="S41" i="40"/>
  <c r="S16" i="39"/>
  <c r="S15" i="34"/>
  <c r="AA15" i="34"/>
  <c r="AA41" i="33"/>
  <c r="AA34" i="33"/>
  <c r="J34" i="33"/>
  <c r="AC34" i="33" s="1"/>
  <c r="AA37" i="39"/>
  <c r="W29" i="35"/>
  <c r="AC39" i="39"/>
  <c r="AA39" i="39"/>
  <c r="S39" i="39"/>
  <c r="U34" i="39"/>
  <c r="AA33" i="39"/>
  <c r="G80" i="35"/>
  <c r="H80" i="35" s="1"/>
  <c r="I80" i="35" s="1"/>
  <c r="J80" i="35" s="1"/>
  <c r="K80" i="35" s="1"/>
  <c r="L80" i="35" s="1"/>
  <c r="M80" i="35" s="1"/>
  <c r="W14" i="35"/>
  <c r="F90" i="34"/>
  <c r="G90" i="34" s="1"/>
  <c r="H90" i="34" s="1"/>
  <c r="I90" i="34" s="1"/>
  <c r="J90" i="34" s="1"/>
  <c r="K90" i="34" s="1"/>
  <c r="L90" i="34" s="1"/>
  <c r="M90" i="34" s="1"/>
  <c r="F27" i="34"/>
  <c r="AA27" i="34" s="1"/>
  <c r="S27" i="34"/>
  <c r="F32" i="37"/>
  <c r="S32" i="37"/>
  <c r="U11" i="35"/>
  <c r="AB13" i="33"/>
  <c r="F17" i="34"/>
  <c r="AA17" i="34" s="1"/>
  <c r="J17" i="34"/>
  <c r="AC17" i="34"/>
  <c r="H11" i="34"/>
  <c r="AB11" i="34" s="1"/>
  <c r="J35" i="33"/>
  <c r="W35" i="33" s="1"/>
  <c r="S32" i="33"/>
  <c r="AC15" i="33"/>
  <c r="H11" i="33"/>
  <c r="H10" i="33"/>
  <c r="U10" i="33" s="1"/>
  <c r="I66" i="33"/>
  <c r="J10" i="33"/>
  <c r="AC10" i="33" s="1"/>
  <c r="U40" i="21"/>
  <c r="AC16" i="35"/>
  <c r="J11" i="34"/>
  <c r="W11" i="34"/>
  <c r="S17" i="34"/>
  <c r="AC36" i="33"/>
  <c r="F25" i="40"/>
  <c r="AA25" i="40"/>
  <c r="J11" i="33"/>
  <c r="H33" i="37"/>
  <c r="AB33" i="37"/>
  <c r="AB20" i="35"/>
  <c r="W23" i="40"/>
  <c r="D73" i="9"/>
  <c r="N73" i="9" s="1"/>
  <c r="B11" i="1"/>
  <c r="E11" i="1"/>
  <c r="K11" i="1"/>
  <c r="M11" i="1" s="1"/>
  <c r="P11" i="1" s="1"/>
  <c r="B9" i="1"/>
  <c r="E9" i="1" s="1"/>
  <c r="K9" i="1"/>
  <c r="M9" i="1" s="1"/>
  <c r="O9" i="1" s="1"/>
  <c r="B7" i="1"/>
  <c r="E7" i="1"/>
  <c r="C20" i="43"/>
  <c r="F6" i="1"/>
  <c r="AP6" i="1" s="1"/>
  <c r="M22" i="44"/>
  <c r="F70" i="9"/>
  <c r="S23" i="36"/>
  <c r="S8" i="36"/>
  <c r="AA26" i="36"/>
  <c r="H20" i="36"/>
  <c r="U20" i="36"/>
  <c r="J20" i="36"/>
  <c r="AC20" i="36" s="1"/>
  <c r="F20" i="36"/>
  <c r="S20" i="36" s="1"/>
  <c r="F62" i="36"/>
  <c r="G62" i="36"/>
  <c r="J14" i="36"/>
  <c r="H14" i="36"/>
  <c r="F14" i="36"/>
  <c r="S14" i="36" s="1"/>
  <c r="AA14" i="36"/>
  <c r="U27" i="36"/>
  <c r="AB12" i="36"/>
  <c r="AA27" i="36"/>
  <c r="S16" i="36"/>
  <c r="S29" i="36"/>
  <c r="AC33" i="35"/>
  <c r="U22" i="35"/>
  <c r="AC9" i="35"/>
  <c r="S8" i="35"/>
  <c r="AA20" i="35"/>
  <c r="W20" i="35"/>
  <c r="S16" i="35"/>
  <c r="AB14" i="35"/>
  <c r="AC10" i="35"/>
  <c r="AC18" i="35"/>
  <c r="W18" i="35"/>
  <c r="S30" i="35"/>
  <c r="S28" i="35"/>
  <c r="J26" i="35"/>
  <c r="AC26" i="35" s="1"/>
  <c r="F26" i="35"/>
  <c r="S26" i="35" s="1"/>
  <c r="H26" i="35"/>
  <c r="AB26" i="35" s="1"/>
  <c r="AA9" i="37"/>
  <c r="S17" i="37"/>
  <c r="AB37" i="37"/>
  <c r="S33" i="37"/>
  <c r="U32" i="37"/>
  <c r="AA32" i="37"/>
  <c r="J33" i="37"/>
  <c r="W33" i="37" s="1"/>
  <c r="H99" i="37"/>
  <c r="I99" i="37"/>
  <c r="J99" i="37" s="1"/>
  <c r="K99" i="37" s="1"/>
  <c r="L99" i="37" s="1"/>
  <c r="M99" i="37" s="1"/>
  <c r="S29" i="37"/>
  <c r="J19" i="37"/>
  <c r="AC19" i="37"/>
  <c r="F19" i="37"/>
  <c r="AA19" i="37" s="1"/>
  <c r="H19" i="37"/>
  <c r="U19" i="37" s="1"/>
  <c r="J17" i="37"/>
  <c r="S15" i="37"/>
  <c r="AC21" i="37"/>
  <c r="W21" i="37"/>
  <c r="AC11" i="37"/>
  <c r="W32" i="37"/>
  <c r="U35" i="37"/>
  <c r="U8" i="37"/>
  <c r="AB21" i="37"/>
  <c r="U21" i="37"/>
  <c r="S37" i="37"/>
  <c r="AA11" i="37"/>
  <c r="S10" i="37"/>
  <c r="AC45" i="34"/>
  <c r="W33" i="34"/>
  <c r="S32" i="34"/>
  <c r="AA33" i="34"/>
  <c r="U44" i="34"/>
  <c r="J25" i="34"/>
  <c r="AC25" i="34" s="1"/>
  <c r="H25" i="34"/>
  <c r="AB25" i="34" s="1"/>
  <c r="F25" i="34"/>
  <c r="AA25" i="34" s="1"/>
  <c r="J23" i="34"/>
  <c r="F86" i="34"/>
  <c r="G86" i="34" s="1"/>
  <c r="F23" i="34"/>
  <c r="S23" i="34" s="1"/>
  <c r="H23" i="34"/>
  <c r="W17" i="34"/>
  <c r="AC11" i="34"/>
  <c r="U11" i="34"/>
  <c r="U10" i="34"/>
  <c r="W37" i="34"/>
  <c r="AC40" i="34"/>
  <c r="W44" i="34"/>
  <c r="W19" i="34"/>
  <c r="W29" i="34"/>
  <c r="AC21" i="34"/>
  <c r="AB21" i="34"/>
  <c r="U21" i="34"/>
  <c r="U27" i="34"/>
  <c r="U19" i="34"/>
  <c r="AB41" i="34"/>
  <c r="S13" i="34"/>
  <c r="S10" i="34"/>
  <c r="U39" i="33"/>
  <c r="S35" i="33"/>
  <c r="W34" i="33"/>
  <c r="AB41" i="33"/>
  <c r="U36" i="33"/>
  <c r="W43" i="33"/>
  <c r="U46" i="33"/>
  <c r="W39" i="33"/>
  <c r="AB34" i="33"/>
  <c r="H25" i="33"/>
  <c r="J25" i="33"/>
  <c r="W25" i="33" s="1"/>
  <c r="F87" i="33"/>
  <c r="G87" i="33" s="1"/>
  <c r="H87" i="33" s="1"/>
  <c r="I87" i="33"/>
  <c r="J87" i="33"/>
  <c r="K87" i="33" s="1"/>
  <c r="L87" i="33" s="1"/>
  <c r="M87" i="33" s="1"/>
  <c r="F25" i="33"/>
  <c r="S25" i="33" s="1"/>
  <c r="G85" i="33"/>
  <c r="J23" i="33"/>
  <c r="AC23" i="33" s="1"/>
  <c r="F23" i="33"/>
  <c r="H23" i="33"/>
  <c r="U19" i="33"/>
  <c r="F79" i="33"/>
  <c r="G79" i="33" s="1"/>
  <c r="F17" i="33"/>
  <c r="H17" i="33"/>
  <c r="AB17" i="33" s="1"/>
  <c r="J17" i="33"/>
  <c r="AC17" i="33" s="1"/>
  <c r="AB15" i="33"/>
  <c r="S10" i="33"/>
  <c r="AB10" i="33"/>
  <c r="AB21" i="33"/>
  <c r="U21" i="33"/>
  <c r="AA21" i="33"/>
  <c r="S21" i="33"/>
  <c r="AA36" i="33"/>
  <c r="S44" i="21"/>
  <c r="AC34" i="21"/>
  <c r="W43" i="21"/>
  <c r="AA37" i="21"/>
  <c r="S42" i="21"/>
  <c r="AB37" i="21"/>
  <c r="AB32" i="21"/>
  <c r="W28" i="21"/>
  <c r="AC26" i="21"/>
  <c r="G85" i="21"/>
  <c r="J23" i="21"/>
  <c r="W23" i="21" s="1"/>
  <c r="F23" i="21"/>
  <c r="H23" i="21"/>
  <c r="AA17" i="21"/>
  <c r="F15" i="21"/>
  <c r="S15" i="21"/>
  <c r="F77" i="21"/>
  <c r="G77" i="21" s="1"/>
  <c r="J15" i="21"/>
  <c r="H15" i="21"/>
  <c r="AC11" i="21"/>
  <c r="AB11" i="21"/>
  <c r="AA11" i="21"/>
  <c r="AC21" i="21"/>
  <c r="W21" i="21"/>
  <c r="W44" i="21"/>
  <c r="AC19" i="21"/>
  <c r="W10" i="21"/>
  <c r="AC38" i="21"/>
  <c r="AB21" i="21"/>
  <c r="U21" i="21"/>
  <c r="AA30" i="21"/>
  <c r="W33" i="40"/>
  <c r="U15" i="40"/>
  <c r="S14" i="40"/>
  <c r="AB13" i="40"/>
  <c r="S16" i="40"/>
  <c r="W11" i="40"/>
  <c r="AA21" i="40"/>
  <c r="U21" i="40"/>
  <c r="W25" i="40"/>
  <c r="U25" i="40"/>
  <c r="F37" i="40"/>
  <c r="AA37" i="40" s="1"/>
  <c r="J37" i="40"/>
  <c r="AC37" i="40" s="1"/>
  <c r="H37" i="40"/>
  <c r="AB37" i="40" s="1"/>
  <c r="G113" i="40"/>
  <c r="H113" i="40"/>
  <c r="I113" i="40" s="1"/>
  <c r="J113" i="40" s="1"/>
  <c r="K113" i="40" s="1"/>
  <c r="L113" i="40" s="1"/>
  <c r="M113" i="40" s="1"/>
  <c r="F39" i="40"/>
  <c r="S38" i="40"/>
  <c r="H39" i="40"/>
  <c r="J39" i="40"/>
  <c r="W38" i="40"/>
  <c r="F29" i="40"/>
  <c r="H29" i="40"/>
  <c r="AB29" i="40" s="1"/>
  <c r="F98" i="40"/>
  <c r="G98" i="40"/>
  <c r="H98" i="40" s="1"/>
  <c r="I98" i="40" s="1"/>
  <c r="J98" i="40"/>
  <c r="K98" i="40" s="1"/>
  <c r="L98" i="40" s="1"/>
  <c r="M98" i="40" s="1"/>
  <c r="S25" i="40"/>
  <c r="AA23" i="40"/>
  <c r="F88" i="40"/>
  <c r="G88" i="40"/>
  <c r="F19" i="40"/>
  <c r="S19" i="40" s="1"/>
  <c r="H19" i="40"/>
  <c r="U19" i="40" s="1"/>
  <c r="J19" i="40"/>
  <c r="W17" i="40"/>
  <c r="AC17" i="40"/>
  <c r="F17" i="40"/>
  <c r="AA17" i="40" s="1"/>
  <c r="H17" i="40"/>
  <c r="W21" i="40"/>
  <c r="U10" i="40"/>
  <c r="U27" i="40"/>
  <c r="AB27" i="40"/>
  <c r="AA21" i="39"/>
  <c r="AC38" i="39"/>
  <c r="S29" i="39"/>
  <c r="S14" i="39"/>
  <c r="AB15" i="39"/>
  <c r="U11" i="39"/>
  <c r="AB38" i="39"/>
  <c r="U31" i="39"/>
  <c r="AB31" i="39"/>
  <c r="S38" i="39"/>
  <c r="M20" i="15"/>
  <c r="D96" i="9"/>
  <c r="A18" i="64"/>
  <c r="B74" i="63" s="1"/>
  <c r="C53" i="10"/>
  <c r="A18" i="51"/>
  <c r="B14" i="63" s="1"/>
  <c r="K1" i="43"/>
  <c r="K1" i="12"/>
  <c r="G1" i="44"/>
  <c r="H48" i="46"/>
  <c r="H52" i="46"/>
  <c r="G28" i="12"/>
  <c r="G22" i="43"/>
  <c r="G26" i="12"/>
  <c r="D24" i="44"/>
  <c r="D26" i="44"/>
  <c r="G27" i="12"/>
  <c r="G23" i="43"/>
  <c r="G21" i="43"/>
  <c r="H54" i="46"/>
  <c r="H50" i="46"/>
  <c r="H55" i="46"/>
  <c r="N8" i="46"/>
  <c r="N1" i="46"/>
  <c r="M9" i="46"/>
  <c r="M2" i="46"/>
  <c r="N9" i="46"/>
  <c r="F69" i="46"/>
  <c r="M4" i="46"/>
  <c r="M8" i="46"/>
  <c r="M3" i="46"/>
  <c r="M5" i="46"/>
  <c r="H6" i="48"/>
  <c r="H15" i="48"/>
  <c r="H14" i="48"/>
  <c r="F38" i="46"/>
  <c r="F36" i="46"/>
  <c r="J17" i="46"/>
  <c r="C17" i="46"/>
  <c r="I17" i="46"/>
  <c r="F39" i="46"/>
  <c r="H13" i="48"/>
  <c r="E17" i="46"/>
  <c r="D71" i="46"/>
  <c r="D84" i="46"/>
  <c r="D69" i="46"/>
  <c r="E69" i="46"/>
  <c r="B67" i="46" s="1"/>
  <c r="E47" i="46"/>
  <c r="A4" i="64"/>
  <c r="A4" i="51"/>
  <c r="B6" i="63" s="1"/>
  <c r="C51" i="10"/>
  <c r="H58" i="46"/>
  <c r="H61" i="46"/>
  <c r="I100" i="46"/>
  <c r="C24" i="46"/>
  <c r="N100" i="46"/>
  <c r="H100" i="46"/>
  <c r="F108" i="46"/>
  <c r="H80" i="46"/>
  <c r="B45" i="46"/>
  <c r="E100" i="46"/>
  <c r="G100" i="46"/>
  <c r="H84" i="46"/>
  <c r="C100" i="46"/>
  <c r="M100" i="46"/>
  <c r="AB12" i="35"/>
  <c r="W11" i="35"/>
  <c r="AA11" i="35"/>
  <c r="C24" i="9"/>
  <c r="C25" i="9"/>
  <c r="AP8" i="1"/>
  <c r="I20" i="46"/>
  <c r="C20" i="46" s="1"/>
  <c r="L5" i="54"/>
  <c r="B39" i="63"/>
  <c r="B38" i="63"/>
  <c r="T41" i="4"/>
  <c r="A17" i="64"/>
  <c r="B46" i="50"/>
  <c r="B4" i="63" s="1"/>
  <c r="C46" i="36"/>
  <c r="D46" i="36" s="1"/>
  <c r="D48" i="35"/>
  <c r="E48" i="35" s="1"/>
  <c r="F48" i="35" s="1"/>
  <c r="G48" i="35" s="1"/>
  <c r="H48" i="35" s="1"/>
  <c r="I48" i="35" s="1"/>
  <c r="J48" i="35" s="1"/>
  <c r="K48" i="35" s="1"/>
  <c r="L48" i="35" s="1"/>
  <c r="D52" i="37"/>
  <c r="E52" i="37" s="1"/>
  <c r="H73" i="46"/>
  <c r="H86" i="46"/>
  <c r="H82" i="46"/>
  <c r="H63" i="46"/>
  <c r="H10" i="48"/>
  <c r="H87" i="46"/>
  <c r="H85" i="46"/>
  <c r="H83" i="46"/>
  <c r="K10" i="1"/>
  <c r="M10" i="1" s="1"/>
  <c r="O10" i="1" s="1"/>
  <c r="P10" i="1" s="1"/>
  <c r="S11" i="1"/>
  <c r="R11" i="1"/>
  <c r="S13" i="1"/>
  <c r="R13" i="1"/>
  <c r="B6" i="1"/>
  <c r="E6" i="1"/>
  <c r="B10" i="1"/>
  <c r="E10" i="1" s="1"/>
  <c r="S10" i="1"/>
  <c r="B8" i="1"/>
  <c r="E8" i="1"/>
  <c r="S12" i="1"/>
  <c r="K6" i="1"/>
  <c r="M6" i="1" s="1"/>
  <c r="G1" i="15"/>
  <c r="F66" i="36"/>
  <c r="G66" i="36"/>
  <c r="H18" i="36"/>
  <c r="U16" i="36"/>
  <c r="AA34" i="36"/>
  <c r="U23" i="36"/>
  <c r="W28" i="36"/>
  <c r="U10" i="36"/>
  <c r="W9" i="36"/>
  <c r="S9" i="36"/>
  <c r="W8" i="36"/>
  <c r="AC30" i="35"/>
  <c r="W32" i="35"/>
  <c r="W22" i="35"/>
  <c r="S32" i="35"/>
  <c r="AC33" i="37"/>
  <c r="U33" i="37"/>
  <c r="W38" i="37"/>
  <c r="W36" i="37"/>
  <c r="S26" i="37"/>
  <c r="AB35" i="34"/>
  <c r="AB29" i="34"/>
  <c r="AA29" i="34"/>
  <c r="S19" i="34"/>
  <c r="S8" i="34"/>
  <c r="AC25" i="33"/>
  <c r="S43" i="33"/>
  <c r="S15" i="33"/>
  <c r="AB25" i="21"/>
  <c r="W25" i="21"/>
  <c r="AA25" i="21"/>
  <c r="AA15" i="21"/>
  <c r="G96" i="40"/>
  <c r="J27" i="40"/>
  <c r="AC27" i="40" s="1"/>
  <c r="W37" i="40"/>
  <c r="W30" i="40"/>
  <c r="U38" i="40"/>
  <c r="J31" i="39"/>
  <c r="AC31" i="39" s="1"/>
  <c r="S34" i="39"/>
  <c r="U14" i="39"/>
  <c r="W16" i="39"/>
  <c r="S15" i="39"/>
  <c r="AA44" i="39"/>
  <c r="W34" i="39"/>
  <c r="W10" i="39"/>
  <c r="W11" i="39"/>
  <c r="S32" i="40"/>
  <c r="C27" i="39"/>
  <c r="C17" i="40"/>
  <c r="C19" i="40"/>
  <c r="C17" i="39"/>
  <c r="C19" i="39"/>
  <c r="C21" i="39"/>
  <c r="C23" i="40"/>
  <c r="B51" i="46"/>
  <c r="B55" i="46"/>
  <c r="B59" i="46"/>
  <c r="B62" i="46"/>
  <c r="B66" i="46"/>
  <c r="B53" i="46"/>
  <c r="B64" i="46"/>
  <c r="D24" i="15"/>
  <c r="AB20" i="36"/>
  <c r="AA20" i="36"/>
  <c r="AC14" i="36"/>
  <c r="W14" i="36"/>
  <c r="U14" i="36"/>
  <c r="AB14" i="36"/>
  <c r="U18" i="36"/>
  <c r="AB18" i="36"/>
  <c r="AA26" i="35"/>
  <c r="U26" i="35"/>
  <c r="W26" i="35"/>
  <c r="S19" i="37"/>
  <c r="W19" i="37"/>
  <c r="AC17" i="37"/>
  <c r="W17" i="37"/>
  <c r="U25" i="34"/>
  <c r="S25" i="34"/>
  <c r="U23" i="34"/>
  <c r="AB23" i="34"/>
  <c r="AA23" i="34"/>
  <c r="AC23" i="34"/>
  <c r="W23" i="34"/>
  <c r="U23" i="33"/>
  <c r="AB23" i="33"/>
  <c r="W23" i="33"/>
  <c r="S23" i="33"/>
  <c r="AA23" i="33"/>
  <c r="W17" i="33"/>
  <c r="AA17" i="33"/>
  <c r="S17" i="33"/>
  <c r="U17" i="33"/>
  <c r="U23" i="21"/>
  <c r="AB23" i="21"/>
  <c r="AA23" i="21"/>
  <c r="S23" i="21"/>
  <c r="U15" i="21"/>
  <c r="AB15" i="21"/>
  <c r="W15" i="21"/>
  <c r="AC15" i="21"/>
  <c r="AB39" i="40"/>
  <c r="U39" i="40"/>
  <c r="AC39" i="40"/>
  <c r="W39" i="40"/>
  <c r="AA39" i="40"/>
  <c r="S39" i="40"/>
  <c r="U29" i="40"/>
  <c r="AC29" i="40"/>
  <c r="W29" i="40"/>
  <c r="AA29" i="40"/>
  <c r="S29" i="40"/>
  <c r="W19" i="40"/>
  <c r="AC19" i="40"/>
  <c r="AA19" i="40"/>
  <c r="AB19" i="40"/>
  <c r="A17" i="51"/>
  <c r="B13" i="63" s="1"/>
  <c r="A9" i="64"/>
  <c r="A9" i="51"/>
  <c r="B9" i="63" s="1"/>
  <c r="A3" i="55"/>
  <c r="B56" i="63"/>
  <c r="E4" i="4"/>
  <c r="B21" i="55" s="1"/>
  <c r="J18" i="36"/>
  <c r="W18" i="36"/>
  <c r="AE8" i="1"/>
  <c r="AE6" i="1"/>
  <c r="AG6" i="1"/>
  <c r="L20" i="6"/>
  <c r="B72" i="63"/>
  <c r="S8" i="1"/>
  <c r="S9" i="1"/>
  <c r="R9" i="1"/>
  <c r="R8" i="1"/>
  <c r="C45" i="9"/>
  <c r="H14" i="66" s="1"/>
  <c r="B7" i="66"/>
  <c r="C44" i="9"/>
  <c r="O40" i="9"/>
  <c r="R7" i="54" s="1"/>
  <c r="B52" i="63" s="1"/>
  <c r="K31" i="9"/>
  <c r="K32" i="9"/>
  <c r="K29" i="9"/>
  <c r="K30" i="9"/>
  <c r="N76" i="9"/>
  <c r="C46" i="9"/>
  <c r="K33" i="9"/>
  <c r="K34" i="9" s="1"/>
  <c r="O41" i="9"/>
  <c r="R8" i="54" s="1"/>
  <c r="B54" i="63" s="1"/>
  <c r="W27" i="40"/>
  <c r="AC18" i="36"/>
  <c r="U41" i="40"/>
  <c r="H47" i="46"/>
  <c r="S39" i="33"/>
  <c r="W23" i="37"/>
  <c r="AC23" i="37"/>
  <c r="S23" i="37"/>
  <c r="AA23" i="37"/>
  <c r="W29" i="37"/>
  <c r="AC29" i="37"/>
  <c r="AA38" i="21"/>
  <c r="AA26" i="21"/>
  <c r="S26" i="21"/>
  <c r="AC8" i="21"/>
  <c r="W8" i="21"/>
  <c r="W40" i="21"/>
  <c r="AC40" i="21"/>
  <c r="S36" i="21"/>
  <c r="H5" i="3"/>
  <c r="J13" i="21"/>
  <c r="AC13" i="21" s="1"/>
  <c r="H27" i="21"/>
  <c r="J27" i="21"/>
  <c r="W27" i="21" s="1"/>
  <c r="F27" i="21"/>
  <c r="S27" i="21" s="1"/>
  <c r="J31" i="21"/>
  <c r="AC31" i="21" s="1"/>
  <c r="H31" i="21"/>
  <c r="AB31" i="21" s="1"/>
  <c r="F31" i="21"/>
  <c r="H45" i="21"/>
  <c r="U45" i="21" s="1"/>
  <c r="AB42" i="21"/>
  <c r="U42" i="21"/>
  <c r="S31" i="33"/>
  <c r="AA31" i="33"/>
  <c r="AB17" i="37"/>
  <c r="AA45" i="33"/>
  <c r="AA28" i="33"/>
  <c r="S28" i="33"/>
  <c r="C29" i="39"/>
  <c r="F9" i="21"/>
  <c r="AA9" i="21" s="1"/>
  <c r="H9" i="21"/>
  <c r="E124" i="39"/>
  <c r="F124" i="39"/>
  <c r="G124" i="39" s="1"/>
  <c r="H124" i="39"/>
  <c r="I124" i="39"/>
  <c r="J124" i="39" s="1"/>
  <c r="K124" i="39" s="1"/>
  <c r="L124" i="39" s="1"/>
  <c r="M124" i="39" s="1"/>
  <c r="F42" i="39"/>
  <c r="S42" i="39" s="1"/>
  <c r="H42" i="39"/>
  <c r="J42" i="39"/>
  <c r="W42" i="39" s="1"/>
  <c r="AB8" i="34"/>
  <c r="H28" i="34"/>
  <c r="U28" i="34" s="1"/>
  <c r="H25" i="36"/>
  <c r="F25" i="36"/>
  <c r="AA25" i="36" s="1"/>
  <c r="H35" i="35"/>
  <c r="AB35" i="35" s="1"/>
  <c r="F35" i="35"/>
  <c r="H25" i="35"/>
  <c r="F25" i="35"/>
  <c r="S25" i="35" s="1"/>
  <c r="H31" i="33"/>
  <c r="AB31" i="33" s="1"/>
  <c r="J31" i="33"/>
  <c r="AC31" i="33" s="1"/>
  <c r="W8" i="34"/>
  <c r="U24" i="36"/>
  <c r="W36" i="35"/>
  <c r="W22" i="36"/>
  <c r="F9" i="33"/>
  <c r="S9" i="33" s="1"/>
  <c r="J25" i="37"/>
  <c r="W25" i="37" s="1"/>
  <c r="F25" i="37"/>
  <c r="AA25" i="37" s="1"/>
  <c r="K145" i="21"/>
  <c r="X12" i="59"/>
  <c r="B13" i="59"/>
  <c r="B14" i="59" s="1"/>
  <c r="B15" i="59"/>
  <c r="S15" i="59" s="1"/>
  <c r="X9" i="59"/>
  <c r="X10" i="59"/>
  <c r="X20" i="59"/>
  <c r="B21" i="59"/>
  <c r="B22" i="59" s="1"/>
  <c r="B23" i="59"/>
  <c r="S23" i="59"/>
  <c r="E50" i="59"/>
  <c r="E49" i="59" s="1"/>
  <c r="P51" i="59"/>
  <c r="U59" i="59"/>
  <c r="E58" i="59"/>
  <c r="E57" i="59"/>
  <c r="Y5" i="59"/>
  <c r="Z5" i="59" s="1"/>
  <c r="Y3" i="59"/>
  <c r="Z3" i="59" s="1"/>
  <c r="D108" i="46"/>
  <c r="D100" i="46"/>
  <c r="E26" i="57"/>
  <c r="AA21" i="21"/>
  <c r="S21" i="21"/>
  <c r="AA21" i="37"/>
  <c r="S21" i="37"/>
  <c r="C26" i="59"/>
  <c r="C27" i="59" s="1"/>
  <c r="AA3" i="59"/>
  <c r="AB16" i="59"/>
  <c r="F17" i="59"/>
  <c r="F18" i="59" s="1"/>
  <c r="F19" i="59" s="1"/>
  <c r="V19" i="59" s="1"/>
  <c r="AB9" i="59"/>
  <c r="Y22" i="59"/>
  <c r="Z22" i="59" s="1"/>
  <c r="Y21" i="59"/>
  <c r="Z21" i="59"/>
  <c r="C34" i="59"/>
  <c r="F49" i="59"/>
  <c r="Q48" i="59" s="1"/>
  <c r="Q50" i="59"/>
  <c r="S11" i="59"/>
  <c r="X19" i="59"/>
  <c r="AB15" i="59"/>
  <c r="G12" i="1"/>
  <c r="C49" i="59"/>
  <c r="D49" i="59" s="1"/>
  <c r="D50" i="59"/>
  <c r="Y12" i="59"/>
  <c r="Z12" i="59" s="1"/>
  <c r="C13" i="59"/>
  <c r="C14" i="59" s="1"/>
  <c r="X13" i="59"/>
  <c r="AA13" i="59"/>
  <c r="X14" i="59"/>
  <c r="C18" i="59"/>
  <c r="C19" i="59" s="1"/>
  <c r="X17" i="59"/>
  <c r="Y20" i="59"/>
  <c r="Z20" i="59"/>
  <c r="C21" i="59"/>
  <c r="C22" i="59" s="1"/>
  <c r="C23" i="59" s="1"/>
  <c r="D23" i="59" s="1"/>
  <c r="C38" i="59"/>
  <c r="C39" i="59" s="1"/>
  <c r="C46" i="59"/>
  <c r="N51" i="59"/>
  <c r="B50" i="59"/>
  <c r="N50" i="59" s="1"/>
  <c r="S51" i="59"/>
  <c r="V51" i="59"/>
  <c r="Q51" i="59"/>
  <c r="C11" i="59"/>
  <c r="Y8" i="59"/>
  <c r="Z8" i="59"/>
  <c r="Y9" i="59"/>
  <c r="Z9" i="59" s="1"/>
  <c r="Y10" i="59"/>
  <c r="Z10" i="59" s="1"/>
  <c r="Y11" i="59"/>
  <c r="Z11" i="59" s="1"/>
  <c r="F11" i="59"/>
  <c r="V11" i="59" s="1"/>
  <c r="AB11" i="59"/>
  <c r="AB8" i="59"/>
  <c r="AA16" i="59"/>
  <c r="E6" i="59"/>
  <c r="E5" i="59"/>
  <c r="AB7" i="59"/>
  <c r="B21" i="63"/>
  <c r="AA7" i="59"/>
  <c r="AA8" i="59"/>
  <c r="AB6" i="59"/>
  <c r="AB12" i="59"/>
  <c r="AB14" i="59"/>
  <c r="Y15" i="59"/>
  <c r="Z15" i="59" s="1"/>
  <c r="X16" i="59"/>
  <c r="AA17" i="59"/>
  <c r="X18" i="59"/>
  <c r="AI10" i="46"/>
  <c r="AI12" i="46"/>
  <c r="AE10" i="46"/>
  <c r="AE12" i="46"/>
  <c r="AA10" i="46"/>
  <c r="AA12" i="46"/>
  <c r="N1" i="65"/>
  <c r="H1" i="65"/>
  <c r="O76" i="9"/>
  <c r="K76" i="9"/>
  <c r="K77" i="9"/>
  <c r="K79" i="9" s="1"/>
  <c r="K81" i="9"/>
  <c r="X6" i="59"/>
  <c r="AB5" i="59"/>
  <c r="J51" i="15"/>
  <c r="AC33" i="39"/>
  <c r="S31" i="39"/>
  <c r="AB29" i="39"/>
  <c r="U41" i="39"/>
  <c r="W27" i="39"/>
  <c r="AB21" i="39"/>
  <c r="AC17" i="39"/>
  <c r="S17" i="39"/>
  <c r="A30" i="51"/>
  <c r="B22" i="63"/>
  <c r="A30" i="64"/>
  <c r="L16" i="4"/>
  <c r="M18" i="15"/>
  <c r="F28" i="15"/>
  <c r="F31" i="43"/>
  <c r="F29" i="12"/>
  <c r="F32" i="15"/>
  <c r="F59" i="15"/>
  <c r="F66" i="9"/>
  <c r="P72" i="9"/>
  <c r="D23" i="15"/>
  <c r="O11" i="1"/>
  <c r="O6" i="1"/>
  <c r="P6" i="1"/>
  <c r="AP9" i="1"/>
  <c r="G10" i="1"/>
  <c r="G13" i="1"/>
  <c r="S7" i="59"/>
  <c r="T11" i="59"/>
  <c r="C10" i="59"/>
  <c r="D10" i="59" s="1"/>
  <c r="D11" i="59"/>
  <c r="B49" i="59"/>
  <c r="N49" i="59" s="1"/>
  <c r="D46" i="59"/>
  <c r="C47" i="59"/>
  <c r="T47" i="59" s="1"/>
  <c r="D21" i="59"/>
  <c r="D13" i="59"/>
  <c r="D34" i="59"/>
  <c r="C35" i="59"/>
  <c r="D35" i="59" s="1"/>
  <c r="D26" i="59"/>
  <c r="S25" i="37"/>
  <c r="AA9" i="33"/>
  <c r="U31" i="33"/>
  <c r="U25" i="35"/>
  <c r="AB25" i="35"/>
  <c r="U35" i="35"/>
  <c r="U25" i="36"/>
  <c r="AB25" i="36"/>
  <c r="AC42" i="39"/>
  <c r="AB9" i="21"/>
  <c r="U9" i="21"/>
  <c r="S31" i="21"/>
  <c r="AA31" i="21"/>
  <c r="W31" i="21"/>
  <c r="AB27" i="21"/>
  <c r="U27" i="21"/>
  <c r="F10" i="59"/>
  <c r="F9" i="59" s="1"/>
  <c r="D38" i="59"/>
  <c r="D18" i="59"/>
  <c r="O49" i="59"/>
  <c r="O48" i="59"/>
  <c r="W31" i="33"/>
  <c r="AA25" i="35"/>
  <c r="S35" i="35"/>
  <c r="AA35" i="35"/>
  <c r="S25" i="36"/>
  <c r="AB42" i="39"/>
  <c r="U42" i="39"/>
  <c r="S9" i="21"/>
  <c r="AB45" i="21"/>
  <c r="AC27" i="21"/>
  <c r="T19" i="59"/>
  <c r="D19" i="59"/>
  <c r="C9" i="59"/>
  <c r="D9" i="59" s="1"/>
  <c r="T27" i="59"/>
  <c r="D27" i="59"/>
  <c r="D22" i="59"/>
  <c r="D47" i="59"/>
  <c r="T23" i="59"/>
  <c r="L46" i="15"/>
  <c r="F15" i="66"/>
  <c r="E15" i="66"/>
  <c r="F16" i="66"/>
  <c r="E16" i="66"/>
  <c r="Y17" i="59"/>
  <c r="Z17" i="59"/>
  <c r="Y14" i="59"/>
  <c r="Z14" i="59"/>
  <c r="E12" i="67"/>
  <c r="B10" i="67"/>
  <c r="F9" i="67"/>
  <c r="J4" i="65"/>
  <c r="B8" i="67"/>
  <c r="I7" i="65"/>
  <c r="J5" i="65"/>
  <c r="F10" i="67"/>
  <c r="E11" i="67"/>
  <c r="I5" i="65"/>
  <c r="I3" i="65"/>
  <c r="F14" i="67"/>
  <c r="J36" i="15"/>
  <c r="F11" i="67"/>
  <c r="M23" i="44"/>
  <c r="B14" i="67"/>
  <c r="F8" i="67"/>
  <c r="F15" i="44"/>
  <c r="L49" i="44"/>
  <c r="M22" i="15"/>
  <c r="F38" i="15"/>
  <c r="M25" i="44"/>
  <c r="B11" i="67"/>
  <c r="F12" i="67"/>
  <c r="F13" i="67"/>
  <c r="M30" i="44"/>
  <c r="M6" i="15"/>
  <c r="B12" i="67"/>
  <c r="F9" i="15"/>
  <c r="E10" i="67"/>
  <c r="M27" i="15"/>
  <c r="M8" i="15"/>
  <c r="B13" i="67"/>
  <c r="M10" i="44"/>
  <c r="C19" i="44"/>
  <c r="N5" i="65"/>
  <c r="F8" i="44"/>
  <c r="E9" i="67"/>
  <c r="F46" i="44"/>
  <c r="E8" i="67"/>
  <c r="E14" i="67"/>
  <c r="F45" i="44"/>
  <c r="F37" i="44"/>
  <c r="I6" i="65"/>
  <c r="F16" i="15"/>
  <c r="I4" i="65"/>
  <c r="J3" i="65"/>
  <c r="M31" i="44"/>
  <c r="F42" i="15"/>
  <c r="F11" i="44"/>
  <c r="J17" i="44"/>
  <c r="L48" i="44"/>
  <c r="M26" i="15"/>
  <c r="J7" i="65"/>
  <c r="F36" i="15"/>
  <c r="N3" i="65"/>
  <c r="M23" i="15"/>
  <c r="J6" i="65"/>
  <c r="B9" i="67"/>
  <c r="M8" i="44"/>
  <c r="N7" i="65"/>
  <c r="E13" i="67"/>
  <c r="B4" i="52" l="1"/>
  <c r="E21" i="52"/>
  <c r="AZ315" i="3"/>
  <c r="T39" i="59"/>
  <c r="D39" i="59"/>
  <c r="S13" i="21"/>
  <c r="AA13" i="21"/>
  <c r="U25" i="37"/>
  <c r="AB25" i="37"/>
  <c r="R22" i="31"/>
  <c r="B21" i="31" s="1"/>
  <c r="B20" i="31"/>
  <c r="F29" i="6"/>
  <c r="E29" i="6" s="1"/>
  <c r="AZ251" i="3"/>
  <c r="AZ187" i="3"/>
  <c r="W45" i="21"/>
  <c r="AC45" i="21"/>
  <c r="S30" i="34"/>
  <c r="AA30" i="34"/>
  <c r="AZ308" i="3"/>
  <c r="AZ244" i="3"/>
  <c r="D14" i="59"/>
  <c r="C15" i="59"/>
  <c r="P49" i="59"/>
  <c r="P48" i="59"/>
  <c r="N69" i="9"/>
  <c r="H74" i="46"/>
  <c r="H75" i="46"/>
  <c r="H72" i="46"/>
  <c r="AB16" i="40"/>
  <c r="U16" i="40"/>
  <c r="U40" i="40"/>
  <c r="AB40" i="40"/>
  <c r="AB12" i="34"/>
  <c r="U12" i="34"/>
  <c r="W35" i="34"/>
  <c r="AC35" i="34"/>
  <c r="S44" i="34"/>
  <c r="AA44" i="34"/>
  <c r="AA19" i="21"/>
  <c r="S19" i="21"/>
  <c r="H27" i="33"/>
  <c r="F27" i="33"/>
  <c r="J27" i="33"/>
  <c r="AB34" i="34"/>
  <c r="U34" i="34"/>
  <c r="H12" i="33"/>
  <c r="F12" i="33"/>
  <c r="J12" i="34"/>
  <c r="F12" i="34"/>
  <c r="H46" i="34"/>
  <c r="J46" i="34"/>
  <c r="F46" i="34"/>
  <c r="AB14" i="37"/>
  <c r="U14" i="37"/>
  <c r="J39" i="37"/>
  <c r="F39" i="37"/>
  <c r="AA36" i="40"/>
  <c r="S36" i="40"/>
  <c r="N16" i="4"/>
  <c r="K17" i="4" s="1"/>
  <c r="A22" i="51" s="1"/>
  <c r="B16" i="63" s="1"/>
  <c r="P16" i="4"/>
  <c r="C57" i="59"/>
  <c r="D57" i="59" s="1"/>
  <c r="D58" i="59"/>
  <c r="BT5" i="3"/>
  <c r="BO5" i="3"/>
  <c r="BL14" i="3"/>
  <c r="BL5" i="3" s="1"/>
  <c r="AZ551" i="3"/>
  <c r="AZ535" i="3"/>
  <c r="AZ463" i="3"/>
  <c r="AZ367" i="3"/>
  <c r="AZ271" i="3"/>
  <c r="AZ263" i="3"/>
  <c r="AZ235" i="3"/>
  <c r="N48" i="59"/>
  <c r="W13" i="35"/>
  <c r="P50" i="59"/>
  <c r="H13" i="35"/>
  <c r="S37" i="40"/>
  <c r="W25" i="34"/>
  <c r="S17" i="40"/>
  <c r="AA19" i="33"/>
  <c r="S27" i="35"/>
  <c r="AB23" i="35"/>
  <c r="AC40" i="40"/>
  <c r="W40" i="40"/>
  <c r="AB42" i="40"/>
  <c r="U42" i="40"/>
  <c r="AA25" i="39"/>
  <c r="S25" i="39"/>
  <c r="U33" i="39"/>
  <c r="AB33" i="39"/>
  <c r="U34" i="36"/>
  <c r="AA43" i="39"/>
  <c r="S43" i="39"/>
  <c r="W32" i="34"/>
  <c r="AC32" i="34"/>
  <c r="S28" i="36"/>
  <c r="AA28" i="36"/>
  <c r="J14" i="21"/>
  <c r="H14" i="21"/>
  <c r="J46" i="21"/>
  <c r="H46" i="21"/>
  <c r="C23" i="39"/>
  <c r="B48" i="46"/>
  <c r="H13" i="36"/>
  <c r="F13" i="36"/>
  <c r="J13" i="36"/>
  <c r="W31" i="36"/>
  <c r="AC31" i="36"/>
  <c r="W35" i="37"/>
  <c r="AC35" i="37"/>
  <c r="H43" i="39"/>
  <c r="H126" i="39"/>
  <c r="I126" i="39" s="1"/>
  <c r="J126" i="39" s="1"/>
  <c r="K126" i="39" s="1"/>
  <c r="L126" i="39" s="1"/>
  <c r="M126" i="39" s="1"/>
  <c r="BR5" i="3"/>
  <c r="G28" i="6" s="1"/>
  <c r="G30" i="6" s="1"/>
  <c r="G31" i="6" s="1"/>
  <c r="BQ5" i="3"/>
  <c r="F28" i="6" s="1"/>
  <c r="BH5" i="3"/>
  <c r="BA568" i="3"/>
  <c r="AZ568" i="3" s="1"/>
  <c r="BA548" i="3"/>
  <c r="AZ548" i="3" s="1"/>
  <c r="BA540" i="3"/>
  <c r="AZ540" i="3" s="1"/>
  <c r="BA528" i="3"/>
  <c r="AZ528" i="3" s="1"/>
  <c r="BA520" i="3"/>
  <c r="AZ520" i="3" s="1"/>
  <c r="BA512" i="3"/>
  <c r="AZ512" i="3" s="1"/>
  <c r="BA504" i="3"/>
  <c r="AZ504" i="3" s="1"/>
  <c r="BA492" i="3"/>
  <c r="AZ492" i="3" s="1"/>
  <c r="BA484" i="3"/>
  <c r="AZ484" i="3" s="1"/>
  <c r="BA476" i="3"/>
  <c r="AZ476" i="3" s="1"/>
  <c r="BA468" i="3"/>
  <c r="AZ468" i="3" s="1"/>
  <c r="BA460" i="3"/>
  <c r="AZ460" i="3" s="1"/>
  <c r="BA452" i="3"/>
  <c r="AZ452" i="3" s="1"/>
  <c r="BA440" i="3"/>
  <c r="AZ440" i="3" s="1"/>
  <c r="BA432" i="3"/>
  <c r="BA420" i="3"/>
  <c r="BA412" i="3"/>
  <c r="AZ412" i="3" s="1"/>
  <c r="BA404" i="3"/>
  <c r="BA396" i="3"/>
  <c r="AZ396" i="3" s="1"/>
  <c r="BA384" i="3"/>
  <c r="AZ384" i="3" s="1"/>
  <c r="BA376" i="3"/>
  <c r="AZ376" i="3" s="1"/>
  <c r="BA368" i="3"/>
  <c r="AZ368" i="3" s="1"/>
  <c r="BA360" i="3"/>
  <c r="AZ360" i="3" s="1"/>
  <c r="BA348" i="3"/>
  <c r="AZ348" i="3" s="1"/>
  <c r="BA336" i="3"/>
  <c r="AZ336" i="3" s="1"/>
  <c r="BA328" i="3"/>
  <c r="AZ328" i="3" s="1"/>
  <c r="BA320" i="3"/>
  <c r="AZ320" i="3" s="1"/>
  <c r="BA312" i="3"/>
  <c r="AZ312" i="3" s="1"/>
  <c r="BA300" i="3"/>
  <c r="AZ300" i="3" s="1"/>
  <c r="BA292" i="3"/>
  <c r="AZ292" i="3" s="1"/>
  <c r="BA284" i="3"/>
  <c r="AZ284" i="3" s="1"/>
  <c r="BA280" i="3"/>
  <c r="AZ280" i="3" s="1"/>
  <c r="BA268" i="3"/>
  <c r="AZ268" i="3" s="1"/>
  <c r="BA264" i="3"/>
  <c r="AZ264" i="3" s="1"/>
  <c r="BA260" i="3"/>
  <c r="BA256" i="3"/>
  <c r="AZ256" i="3" s="1"/>
  <c r="BA252" i="3"/>
  <c r="AZ252" i="3" s="1"/>
  <c r="BA248" i="3"/>
  <c r="AZ248" i="3" s="1"/>
  <c r="BA240" i="3"/>
  <c r="AZ240" i="3" s="1"/>
  <c r="BA236" i="3"/>
  <c r="AZ236" i="3" s="1"/>
  <c r="BA232" i="3"/>
  <c r="AZ232" i="3" s="1"/>
  <c r="BA224" i="3"/>
  <c r="AZ224" i="3" s="1"/>
  <c r="BA220" i="3"/>
  <c r="AZ220" i="3" s="1"/>
  <c r="BA216" i="3"/>
  <c r="AZ216" i="3" s="1"/>
  <c r="BA208" i="3"/>
  <c r="AZ208" i="3" s="1"/>
  <c r="BA204" i="3"/>
  <c r="AZ204" i="3" s="1"/>
  <c r="BA200" i="3"/>
  <c r="AZ200" i="3" s="1"/>
  <c r="BA196" i="3"/>
  <c r="BA192" i="3"/>
  <c r="AZ192" i="3" s="1"/>
  <c r="BA188" i="3"/>
  <c r="AZ188" i="3" s="1"/>
  <c r="BA184" i="3"/>
  <c r="AZ184" i="3" s="1"/>
  <c r="BA176" i="3"/>
  <c r="AZ176" i="3" s="1"/>
  <c r="BA172" i="3"/>
  <c r="AZ172" i="3" s="1"/>
  <c r="BA168" i="3"/>
  <c r="AZ168" i="3" s="1"/>
  <c r="BA164" i="3"/>
  <c r="BA160" i="3"/>
  <c r="AZ160" i="3" s="1"/>
  <c r="BA156" i="3"/>
  <c r="AZ156" i="3" s="1"/>
  <c r="BA152" i="3"/>
  <c r="AZ152" i="3" s="1"/>
  <c r="BA148" i="3"/>
  <c r="AZ148" i="3" s="1"/>
  <c r="BA144" i="3"/>
  <c r="AZ144" i="3" s="1"/>
  <c r="BA140" i="3"/>
  <c r="AZ140" i="3" s="1"/>
  <c r="BA136" i="3"/>
  <c r="BA132" i="3"/>
  <c r="AZ132" i="3" s="1"/>
  <c r="BA128" i="3"/>
  <c r="AZ128" i="3" s="1"/>
  <c r="BA124" i="3"/>
  <c r="AZ124" i="3" s="1"/>
  <c r="BA120" i="3"/>
  <c r="AZ120" i="3" s="1"/>
  <c r="BA116" i="3"/>
  <c r="AZ116" i="3" s="1"/>
  <c r="BA112" i="3"/>
  <c r="AZ112" i="3" s="1"/>
  <c r="BA108" i="3"/>
  <c r="AZ108" i="3" s="1"/>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A20" i="3"/>
  <c r="BA16" i="3"/>
  <c r="AZ16" i="3" s="1"/>
  <c r="BA569" i="3"/>
  <c r="AZ569" i="3" s="1"/>
  <c r="BA561" i="3"/>
  <c r="AZ561" i="3" s="1"/>
  <c r="BA553" i="3"/>
  <c r="AZ553" i="3" s="1"/>
  <c r="BA545" i="3"/>
  <c r="AZ545" i="3" s="1"/>
  <c r="BA533" i="3"/>
  <c r="AZ533" i="3" s="1"/>
  <c r="BA525" i="3"/>
  <c r="AZ525" i="3" s="1"/>
  <c r="BA521" i="3"/>
  <c r="AZ521" i="3" s="1"/>
  <c r="BA513" i="3"/>
  <c r="BA505" i="3"/>
  <c r="AZ505" i="3" s="1"/>
  <c r="BA497" i="3"/>
  <c r="BA489" i="3"/>
  <c r="AZ489" i="3" s="1"/>
  <c r="BA481" i="3"/>
  <c r="BA473" i="3"/>
  <c r="AZ473" i="3" s="1"/>
  <c r="BA465" i="3"/>
  <c r="BA457" i="3"/>
  <c r="AZ457" i="3" s="1"/>
  <c r="BA449" i="3"/>
  <c r="BA441" i="3"/>
  <c r="AZ441" i="3" s="1"/>
  <c r="BA433" i="3"/>
  <c r="BA425" i="3"/>
  <c r="AZ425" i="3" s="1"/>
  <c r="BA417" i="3"/>
  <c r="BA409" i="3"/>
  <c r="AZ409" i="3" s="1"/>
  <c r="BA401" i="3"/>
  <c r="AZ401" i="3" s="1"/>
  <c r="BA393" i="3"/>
  <c r="AZ393" i="3" s="1"/>
  <c r="BA381" i="3"/>
  <c r="BA373" i="3"/>
  <c r="AZ373" i="3" s="1"/>
  <c r="BA361" i="3"/>
  <c r="AZ361" i="3" s="1"/>
  <c r="BA353" i="3"/>
  <c r="AZ353" i="3" s="1"/>
  <c r="BA345" i="3"/>
  <c r="AZ345" i="3" s="1"/>
  <c r="BA337" i="3"/>
  <c r="AZ337" i="3" s="1"/>
  <c r="BA329" i="3"/>
  <c r="AZ329" i="3" s="1"/>
  <c r="BA321" i="3"/>
  <c r="AZ321" i="3" s="1"/>
  <c r="BA313" i="3"/>
  <c r="AZ313" i="3" s="1"/>
  <c r="BA301" i="3"/>
  <c r="AZ301" i="3" s="1"/>
  <c r="BA293" i="3"/>
  <c r="AZ293" i="3" s="1"/>
  <c r="BA285" i="3"/>
  <c r="AZ285" i="3" s="1"/>
  <c r="BA277" i="3"/>
  <c r="AZ277" i="3" s="1"/>
  <c r="BA269" i="3"/>
  <c r="AZ269" i="3" s="1"/>
  <c r="BA261" i="3"/>
  <c r="AZ261" i="3" s="1"/>
  <c r="BA257" i="3"/>
  <c r="AZ257" i="3" s="1"/>
  <c r="BA249" i="3"/>
  <c r="AZ249" i="3" s="1"/>
  <c r="BA245" i="3"/>
  <c r="AZ245" i="3" s="1"/>
  <c r="BA241" i="3"/>
  <c r="AZ241" i="3" s="1"/>
  <c r="BA237" i="3"/>
  <c r="AZ237" i="3" s="1"/>
  <c r="BA233" i="3"/>
  <c r="AZ233" i="3" s="1"/>
  <c r="BA225" i="3"/>
  <c r="AZ225" i="3" s="1"/>
  <c r="BA221" i="3"/>
  <c r="AZ221" i="3" s="1"/>
  <c r="BA217" i="3"/>
  <c r="AZ217" i="3" s="1"/>
  <c r="BA213" i="3"/>
  <c r="AZ213"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161" i="3"/>
  <c r="BA157" i="3"/>
  <c r="AZ157" i="3" s="1"/>
  <c r="BA153" i="3"/>
  <c r="AZ153" i="3" s="1"/>
  <c r="BA149" i="3"/>
  <c r="BA145" i="3"/>
  <c r="BA141" i="3"/>
  <c r="AZ141" i="3" s="1"/>
  <c r="BA137" i="3"/>
  <c r="BA133" i="3"/>
  <c r="AZ133" i="3" s="1"/>
  <c r="BA129" i="3"/>
  <c r="BA125" i="3"/>
  <c r="AZ125" i="3" s="1"/>
  <c r="BA121" i="3"/>
  <c r="AZ121" i="3" s="1"/>
  <c r="BA117" i="3"/>
  <c r="AZ117" i="3" s="1"/>
  <c r="BA113" i="3"/>
  <c r="AZ113" i="3" s="1"/>
  <c r="BA109" i="3"/>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3" i="3"/>
  <c r="BB5" i="3"/>
  <c r="AA42" i="39"/>
  <c r="X5" i="59"/>
  <c r="T59" i="59"/>
  <c r="F26" i="33"/>
  <c r="H26" i="33"/>
  <c r="S40" i="40"/>
  <c r="H76" i="46"/>
  <c r="W26" i="33"/>
  <c r="U15" i="34"/>
  <c r="W11" i="33"/>
  <c r="AC11" i="33"/>
  <c r="U11" i="37"/>
  <c r="H62" i="46"/>
  <c r="H59" i="46"/>
  <c r="H65" i="46"/>
  <c r="H60" i="46"/>
  <c r="AC42" i="40"/>
  <c r="J37" i="39"/>
  <c r="U42" i="33"/>
  <c r="AB42" i="33"/>
  <c r="AC37" i="37"/>
  <c r="W37" i="37"/>
  <c r="J30" i="21"/>
  <c r="AB40" i="33"/>
  <c r="U40" i="33"/>
  <c r="U40" i="34"/>
  <c r="AB40" i="34"/>
  <c r="J34" i="35"/>
  <c r="F34" i="35"/>
  <c r="H34" i="35"/>
  <c r="W11" i="36"/>
  <c r="AC11" i="36"/>
  <c r="F34" i="40"/>
  <c r="H34" i="40"/>
  <c r="J34" i="40"/>
  <c r="U30" i="36"/>
  <c r="AB30" i="36"/>
  <c r="AC21" i="33"/>
  <c r="W21" i="33"/>
  <c r="AA18" i="36"/>
  <c r="S18" i="36"/>
  <c r="X11" i="59"/>
  <c r="X15" i="59"/>
  <c r="B18" i="59"/>
  <c r="B19" i="59" s="1"/>
  <c r="S19" i="59" s="1"/>
  <c r="X8" i="59"/>
  <c r="Y18" i="59"/>
  <c r="Z18" i="59" s="1"/>
  <c r="Y7" i="59"/>
  <c r="Z7" i="59" s="1"/>
  <c r="Y6" i="59"/>
  <c r="Z6" i="59" s="1"/>
  <c r="Y13" i="59"/>
  <c r="Z13" i="59" s="1"/>
  <c r="B26" i="59"/>
  <c r="B27" i="59" s="1"/>
  <c r="S27" i="59" s="1"/>
  <c r="A26" i="51"/>
  <c r="B19" i="63" s="1"/>
  <c r="A26" i="64"/>
  <c r="AA20" i="59"/>
  <c r="AA18" i="59"/>
  <c r="AA19" i="59"/>
  <c r="E21" i="59"/>
  <c r="E22" i="59" s="1"/>
  <c r="E23" i="59" s="1"/>
  <c r="U23" i="59" s="1"/>
  <c r="E17" i="59"/>
  <c r="E18" i="59" s="1"/>
  <c r="E19" i="59" s="1"/>
  <c r="U19" i="59" s="1"/>
  <c r="AA15" i="59"/>
  <c r="AA14" i="59"/>
  <c r="AA9" i="59"/>
  <c r="AA11" i="59"/>
  <c r="E13" i="59"/>
  <c r="E14" i="59" s="1"/>
  <c r="E15" i="59" s="1"/>
  <c r="U15" i="59" s="1"/>
  <c r="AA12" i="59"/>
  <c r="AA10" i="59"/>
  <c r="AA6" i="59"/>
  <c r="S46" i="39"/>
  <c r="AA46" i="39"/>
  <c r="W44" i="39"/>
  <c r="AC44" i="39"/>
  <c r="AA22" i="36"/>
  <c r="S22" i="36"/>
  <c r="AB28" i="36"/>
  <c r="U28" i="36"/>
  <c r="S14" i="21"/>
  <c r="AA14" i="21"/>
  <c r="AB33" i="35"/>
  <c r="U33" i="35"/>
  <c r="H30" i="34"/>
  <c r="J30" i="34"/>
  <c r="D70" i="39"/>
  <c r="C72" i="39"/>
  <c r="G101" i="39"/>
  <c r="F27" i="39"/>
  <c r="AA42" i="40"/>
  <c r="S42" i="40"/>
  <c r="AA11" i="39"/>
  <c r="S11" i="39"/>
  <c r="E58" i="46"/>
  <c r="B56" i="46" s="1"/>
  <c r="BL40" i="3"/>
  <c r="BP5" i="3"/>
  <c r="BN5" i="3"/>
  <c r="G29" i="6" s="1"/>
  <c r="AZ571" i="3"/>
  <c r="AZ495" i="3"/>
  <c r="AZ431" i="3"/>
  <c r="AZ351" i="3"/>
  <c r="AZ343" i="3"/>
  <c r="AZ319" i="3"/>
  <c r="AZ311" i="3"/>
  <c r="AZ287" i="3"/>
  <c r="AZ279" i="3"/>
  <c r="AZ223" i="3"/>
  <c r="AZ215" i="3"/>
  <c r="AZ191" i="3"/>
  <c r="AZ183" i="3"/>
  <c r="AZ127" i="3"/>
  <c r="AZ71" i="3"/>
  <c r="AZ39" i="3"/>
  <c r="AZ31" i="3"/>
  <c r="U31" i="21"/>
  <c r="AA27" i="21"/>
  <c r="AB28" i="34"/>
  <c r="D59" i="59"/>
  <c r="F45" i="21"/>
  <c r="H13" i="21"/>
  <c r="AB30" i="33"/>
  <c r="H77" i="46"/>
  <c r="J100" i="46"/>
  <c r="A25" i="64"/>
  <c r="A25" i="51"/>
  <c r="B18" i="63" s="1"/>
  <c r="AC23" i="21"/>
  <c r="W10" i="33"/>
  <c r="U32" i="34"/>
  <c r="AC29" i="39"/>
  <c r="W29" i="39"/>
  <c r="S29" i="35"/>
  <c r="AA29" i="35"/>
  <c r="AC10" i="36"/>
  <c r="U15" i="37"/>
  <c r="AB15" i="37"/>
  <c r="F14" i="37"/>
  <c r="W25" i="36"/>
  <c r="H39" i="37"/>
  <c r="AA39" i="21"/>
  <c r="S39" i="21"/>
  <c r="AB33" i="33"/>
  <c r="U33" i="33"/>
  <c r="F28" i="34"/>
  <c r="J28" i="34"/>
  <c r="F13" i="33"/>
  <c r="J13" i="33"/>
  <c r="J13" i="34"/>
  <c r="H13" i="34"/>
  <c r="H31" i="34"/>
  <c r="J31" i="34"/>
  <c r="F47" i="34"/>
  <c r="H47" i="34"/>
  <c r="U9" i="37"/>
  <c r="AB9" i="37"/>
  <c r="C69" i="59"/>
  <c r="D69" i="59" s="1"/>
  <c r="P62" i="15"/>
  <c r="P75" i="15"/>
  <c r="BA572" i="3"/>
  <c r="AZ572" i="3" s="1"/>
  <c r="BA564" i="3"/>
  <c r="AZ564" i="3" s="1"/>
  <c r="BA556" i="3"/>
  <c r="AZ556" i="3" s="1"/>
  <c r="BA552" i="3"/>
  <c r="AZ552" i="3" s="1"/>
  <c r="BA544" i="3"/>
  <c r="AZ544" i="3" s="1"/>
  <c r="BA536" i="3"/>
  <c r="AZ536" i="3" s="1"/>
  <c r="BA524" i="3"/>
  <c r="AZ524" i="3" s="1"/>
  <c r="BA516" i="3"/>
  <c r="AZ516" i="3" s="1"/>
  <c r="BA508" i="3"/>
  <c r="AZ508" i="3" s="1"/>
  <c r="BA500" i="3"/>
  <c r="AZ500" i="3" s="1"/>
  <c r="BA496" i="3"/>
  <c r="BA488" i="3"/>
  <c r="AZ488" i="3" s="1"/>
  <c r="BA480" i="3"/>
  <c r="AZ480" i="3" s="1"/>
  <c r="BA472" i="3"/>
  <c r="AZ472" i="3" s="1"/>
  <c r="BA464" i="3"/>
  <c r="BA456" i="3"/>
  <c r="AZ456" i="3" s="1"/>
  <c r="BA448" i="3"/>
  <c r="AZ448" i="3" s="1"/>
  <c r="BA444" i="3"/>
  <c r="AZ444" i="3" s="1"/>
  <c r="BA436" i="3"/>
  <c r="AZ436" i="3" s="1"/>
  <c r="BA428" i="3"/>
  <c r="AZ428" i="3" s="1"/>
  <c r="BA424" i="3"/>
  <c r="AZ424" i="3" s="1"/>
  <c r="BA416" i="3"/>
  <c r="AZ416" i="3" s="1"/>
  <c r="BA408" i="3"/>
  <c r="AZ408" i="3" s="1"/>
  <c r="BA400" i="3"/>
  <c r="AZ400" i="3" s="1"/>
  <c r="BA392" i="3"/>
  <c r="AZ392" i="3" s="1"/>
  <c r="BA388" i="3"/>
  <c r="BA380" i="3"/>
  <c r="AZ380" i="3" s="1"/>
  <c r="BA372" i="3"/>
  <c r="AZ372" i="3" s="1"/>
  <c r="BA364" i="3"/>
  <c r="AZ364" i="3" s="1"/>
  <c r="BA356" i="3"/>
  <c r="BA352" i="3"/>
  <c r="AZ352" i="3" s="1"/>
  <c r="BA344" i="3"/>
  <c r="AZ344" i="3" s="1"/>
  <c r="BA332" i="3"/>
  <c r="AZ332" i="3" s="1"/>
  <c r="BA324" i="3"/>
  <c r="BA316" i="3"/>
  <c r="AZ316" i="3" s="1"/>
  <c r="BA304" i="3"/>
  <c r="AZ304" i="3" s="1"/>
  <c r="BA296" i="3"/>
  <c r="AZ296" i="3" s="1"/>
  <c r="BA288" i="3"/>
  <c r="AZ288" i="3" s="1"/>
  <c r="BA272" i="3"/>
  <c r="AZ272" i="3" s="1"/>
  <c r="BA228" i="3"/>
  <c r="BA565" i="3"/>
  <c r="AZ565" i="3" s="1"/>
  <c r="BA557" i="3"/>
  <c r="AZ557" i="3" s="1"/>
  <c r="BA549" i="3"/>
  <c r="AZ549" i="3" s="1"/>
  <c r="BA541" i="3"/>
  <c r="AZ541" i="3" s="1"/>
  <c r="BA537" i="3"/>
  <c r="AZ537" i="3" s="1"/>
  <c r="BA529" i="3"/>
  <c r="AZ529" i="3" s="1"/>
  <c r="BA517" i="3"/>
  <c r="AZ517" i="3" s="1"/>
  <c r="BA509" i="3"/>
  <c r="BA501" i="3"/>
  <c r="AZ501" i="3" s="1"/>
  <c r="BA493" i="3"/>
  <c r="BA485" i="3"/>
  <c r="AZ485" i="3" s="1"/>
  <c r="BA477" i="3"/>
  <c r="BA469" i="3"/>
  <c r="AZ469" i="3" s="1"/>
  <c r="BA461" i="3"/>
  <c r="BA453" i="3"/>
  <c r="AZ453" i="3" s="1"/>
  <c r="BA445" i="3"/>
  <c r="BA437" i="3"/>
  <c r="AZ437" i="3" s="1"/>
  <c r="BA429" i="3"/>
  <c r="BA421" i="3"/>
  <c r="BA413" i="3"/>
  <c r="BA405" i="3"/>
  <c r="AZ405" i="3" s="1"/>
  <c r="BA397" i="3"/>
  <c r="BA389" i="3"/>
  <c r="BA385" i="3"/>
  <c r="BA377" i="3"/>
  <c r="AZ377" i="3" s="1"/>
  <c r="BA369" i="3"/>
  <c r="AZ369" i="3" s="1"/>
  <c r="BA365" i="3"/>
  <c r="AZ365" i="3" s="1"/>
  <c r="BA357" i="3"/>
  <c r="AZ357" i="3" s="1"/>
  <c r="BA349" i="3"/>
  <c r="AZ349" i="3" s="1"/>
  <c r="BA341" i="3"/>
  <c r="AZ341" i="3" s="1"/>
  <c r="BA333" i="3"/>
  <c r="AZ333" i="3" s="1"/>
  <c r="BA325" i="3"/>
  <c r="AZ325" i="3" s="1"/>
  <c r="BA317" i="3"/>
  <c r="AZ317" i="3" s="1"/>
  <c r="BA309" i="3"/>
  <c r="AZ309" i="3" s="1"/>
  <c r="BA305" i="3"/>
  <c r="AZ305" i="3" s="1"/>
  <c r="BA297" i="3"/>
  <c r="AZ297" i="3" s="1"/>
  <c r="BA289" i="3"/>
  <c r="AZ289" i="3" s="1"/>
  <c r="BA281" i="3"/>
  <c r="AZ281" i="3" s="1"/>
  <c r="BA273" i="3"/>
  <c r="AZ273" i="3" s="1"/>
  <c r="BA265" i="3"/>
  <c r="AZ265" i="3" s="1"/>
  <c r="BA253" i="3"/>
  <c r="AZ253" i="3" s="1"/>
  <c r="BA229" i="3"/>
  <c r="AZ229" i="3" s="1"/>
  <c r="BA165" i="3"/>
  <c r="AZ165" i="3" s="1"/>
  <c r="AC25" i="37"/>
  <c r="W13" i="21"/>
  <c r="AB29" i="21"/>
  <c r="Q49" i="59"/>
  <c r="P9" i="1"/>
  <c r="X3" i="59"/>
  <c r="F29" i="21"/>
  <c r="H70" i="46"/>
  <c r="W29" i="36"/>
  <c r="E9" i="46"/>
  <c r="E10" i="46"/>
  <c r="AC21" i="39"/>
  <c r="W32" i="21"/>
  <c r="AA44" i="33"/>
  <c r="S14" i="33"/>
  <c r="AB30" i="35"/>
  <c r="AB37" i="39"/>
  <c r="AA47" i="39"/>
  <c r="S47" i="39"/>
  <c r="W28" i="35"/>
  <c r="S43" i="34"/>
  <c r="J14" i="37"/>
  <c r="F31" i="34"/>
  <c r="AB44" i="33"/>
  <c r="U44" i="33"/>
  <c r="U8" i="21"/>
  <c r="AB8" i="21"/>
  <c r="U34" i="21"/>
  <c r="AB34" i="21"/>
  <c r="J12" i="33"/>
  <c r="AB32" i="35"/>
  <c r="U32" i="35"/>
  <c r="F23" i="35"/>
  <c r="J23" i="35"/>
  <c r="H32" i="36"/>
  <c r="F32" i="36"/>
  <c r="J28" i="37"/>
  <c r="F28" i="37"/>
  <c r="J40" i="37"/>
  <c r="H40" i="37"/>
  <c r="H23" i="39"/>
  <c r="F23" i="39"/>
  <c r="E97" i="39"/>
  <c r="F97" i="39" s="1"/>
  <c r="G97" i="39" s="1"/>
  <c r="E122" i="39"/>
  <c r="F122" i="39" s="1"/>
  <c r="G122" i="39" s="1"/>
  <c r="H122" i="39" s="1"/>
  <c r="I122" i="39" s="1"/>
  <c r="J122" i="39" s="1"/>
  <c r="K122" i="39" s="1"/>
  <c r="L122" i="39" s="1"/>
  <c r="M122" i="39" s="1"/>
  <c r="F41" i="39"/>
  <c r="J41" i="39"/>
  <c r="T35" i="59"/>
  <c r="D12" i="11"/>
  <c r="C12" i="11" s="1"/>
  <c r="H16" i="1"/>
  <c r="W31" i="39"/>
  <c r="X7" i="59"/>
  <c r="AC24" i="36"/>
  <c r="J29" i="21"/>
  <c r="I14" i="66"/>
  <c r="B8" i="66" s="1"/>
  <c r="O39" i="9"/>
  <c r="R6" i="54" s="1"/>
  <c r="B50" i="63" s="1"/>
  <c r="G14" i="66"/>
  <c r="B6" i="66" s="1"/>
  <c r="U37" i="40"/>
  <c r="AA25" i="33"/>
  <c r="AB19" i="37"/>
  <c r="G6" i="1"/>
  <c r="AA33" i="35"/>
  <c r="H64" i="46"/>
  <c r="H69" i="46"/>
  <c r="D65" i="40"/>
  <c r="H66" i="46"/>
  <c r="H71" i="46"/>
  <c r="E8" i="46"/>
  <c r="AB17" i="40"/>
  <c r="U17" i="40"/>
  <c r="AC35" i="33"/>
  <c r="U9" i="36"/>
  <c r="W20" i="36"/>
  <c r="AB11" i="33"/>
  <c r="U11" i="33"/>
  <c r="J23" i="39"/>
  <c r="W32" i="33"/>
  <c r="AC15" i="34"/>
  <c r="W15" i="34"/>
  <c r="F34" i="44"/>
  <c r="F30" i="44"/>
  <c r="M20" i="44"/>
  <c r="D86" i="9"/>
  <c r="F71" i="9"/>
  <c r="AA35" i="40"/>
  <c r="W47" i="39"/>
  <c r="AC47" i="39"/>
  <c r="U23" i="40"/>
  <c r="S39" i="34"/>
  <c r="AA31" i="36"/>
  <c r="J43" i="39"/>
  <c r="AB14" i="34"/>
  <c r="U14" i="34"/>
  <c r="AA33" i="21"/>
  <c r="W30" i="33"/>
  <c r="S31" i="37"/>
  <c r="AA31" i="37"/>
  <c r="J9" i="37"/>
  <c r="W37" i="21"/>
  <c r="AC37" i="21"/>
  <c r="S36" i="37"/>
  <c r="S13" i="37"/>
  <c r="J47" i="34"/>
  <c r="F30" i="33"/>
  <c r="F40" i="37"/>
  <c r="J32" i="36"/>
  <c r="F46" i="21"/>
  <c r="H30" i="21"/>
  <c r="U37" i="33"/>
  <c r="AB37" i="33"/>
  <c r="AA24" i="36"/>
  <c r="S24" i="36"/>
  <c r="U10" i="35"/>
  <c r="AB10" i="35"/>
  <c r="U12" i="21"/>
  <c r="AB38" i="21"/>
  <c r="U38" i="21"/>
  <c r="I4" i="6"/>
  <c r="G3" i="46" s="1"/>
  <c r="W39" i="21"/>
  <c r="AC39" i="21"/>
  <c r="W35" i="21"/>
  <c r="W8" i="33"/>
  <c r="AC8" i="33"/>
  <c r="AB35" i="33"/>
  <c r="U35" i="33"/>
  <c r="J9" i="33"/>
  <c r="H9" i="33"/>
  <c r="W39" i="34"/>
  <c r="AC39" i="34"/>
  <c r="H9" i="34"/>
  <c r="F9" i="34"/>
  <c r="U33" i="34"/>
  <c r="AB33" i="34"/>
  <c r="W29" i="33"/>
  <c r="AC29" i="33"/>
  <c r="F13" i="35"/>
  <c r="J24" i="35"/>
  <c r="H24" i="35"/>
  <c r="F24" i="35"/>
  <c r="W27" i="35"/>
  <c r="AC27" i="35"/>
  <c r="AC23" i="36"/>
  <c r="W23" i="36"/>
  <c r="H13" i="37"/>
  <c r="J13" i="37"/>
  <c r="J26" i="37"/>
  <c r="H26" i="37"/>
  <c r="J25" i="39"/>
  <c r="E99" i="39"/>
  <c r="F99" i="39" s="1"/>
  <c r="G99" i="39" s="1"/>
  <c r="H25" i="39"/>
  <c r="F45" i="39"/>
  <c r="J45" i="39"/>
  <c r="H45" i="39"/>
  <c r="AA37" i="33"/>
  <c r="AA42" i="34"/>
  <c r="S42" i="34"/>
  <c r="W31" i="35"/>
  <c r="AC31" i="35"/>
  <c r="W30" i="36"/>
  <c r="AC30" i="36"/>
  <c r="AC36" i="39"/>
  <c r="W36" i="39"/>
  <c r="R12" i="1"/>
  <c r="B12" i="1"/>
  <c r="E12" i="1" s="1"/>
  <c r="K12" i="1"/>
  <c r="M12" i="1" s="1"/>
  <c r="AB18" i="35"/>
  <c r="U18" i="35"/>
  <c r="S21" i="34"/>
  <c r="AA21" i="34"/>
  <c r="AB19" i="59"/>
  <c r="AB10" i="59"/>
  <c r="AB13" i="59"/>
  <c r="C42" i="59"/>
  <c r="D41" i="59"/>
  <c r="T55" i="59"/>
  <c r="C54" i="59"/>
  <c r="D55" i="59"/>
  <c r="V63" i="59"/>
  <c r="F62" i="59"/>
  <c r="F61" i="59" s="1"/>
  <c r="AB11" i="40"/>
  <c r="U11" i="40"/>
  <c r="X7" i="46"/>
  <c r="H17" i="46"/>
  <c r="G17" i="46"/>
  <c r="C16" i="46" s="1"/>
  <c r="F33" i="46"/>
  <c r="C6" i="46"/>
  <c r="F34" i="46"/>
  <c r="K7" i="1"/>
  <c r="F3" i="35"/>
  <c r="L108" i="46"/>
  <c r="L100" i="46"/>
  <c r="Y16" i="59"/>
  <c r="Z16" i="59" s="1"/>
  <c r="C30" i="59"/>
  <c r="D30" i="59" s="1"/>
  <c r="D29" i="59"/>
  <c r="AC5" i="3"/>
  <c r="AZ518" i="3"/>
  <c r="AZ502" i="3"/>
  <c r="AZ486" i="3"/>
  <c r="AZ470" i="3"/>
  <c r="AZ454" i="3"/>
  <c r="AZ438" i="3"/>
  <c r="AZ126" i="3"/>
  <c r="AB25" i="33"/>
  <c r="U25" i="33"/>
  <c r="W13" i="40"/>
  <c r="AC13" i="40"/>
  <c r="H49" i="46"/>
  <c r="H53" i="46"/>
  <c r="H51" i="46"/>
  <c r="U17" i="39"/>
  <c r="AB17" i="39"/>
  <c r="AA33" i="36"/>
  <c r="S33" i="36"/>
  <c r="W14" i="34"/>
  <c r="AC14" i="34"/>
  <c r="AA29" i="33"/>
  <c r="S29" i="33"/>
  <c r="W10" i="37"/>
  <c r="AC10" i="37"/>
  <c r="AC42" i="21"/>
  <c r="W42" i="21"/>
  <c r="AB43" i="34"/>
  <c r="U43" i="34"/>
  <c r="W27" i="36"/>
  <c r="AC27" i="36"/>
  <c r="AC38" i="33"/>
  <c r="W38" i="33"/>
  <c r="U28" i="35"/>
  <c r="AB28" i="35"/>
  <c r="H14" i="33"/>
  <c r="J14" i="33"/>
  <c r="H36" i="35"/>
  <c r="F36" i="35"/>
  <c r="J12" i="36"/>
  <c r="F12" i="36"/>
  <c r="AB22" i="36"/>
  <c r="U22" i="36"/>
  <c r="AB30" i="37"/>
  <c r="U30" i="37"/>
  <c r="H12" i="37"/>
  <c r="F12" i="37"/>
  <c r="H38" i="37"/>
  <c r="F38" i="37"/>
  <c r="E93" i="39"/>
  <c r="J19" i="39"/>
  <c r="H44" i="39"/>
  <c r="E128" i="39"/>
  <c r="F128" i="39" s="1"/>
  <c r="G128" i="39" s="1"/>
  <c r="H128" i="39" s="1"/>
  <c r="I128" i="39" s="1"/>
  <c r="J128" i="39" s="1"/>
  <c r="K128" i="39" s="1"/>
  <c r="L128" i="39" s="1"/>
  <c r="M128" i="39" s="1"/>
  <c r="H35" i="40"/>
  <c r="J35" i="40"/>
  <c r="N12" i="46"/>
  <c r="H12" i="48"/>
  <c r="H16" i="48"/>
  <c r="N2" i="46"/>
  <c r="N3" i="46"/>
  <c r="H9" i="48"/>
  <c r="M1" i="46"/>
  <c r="N5" i="46"/>
  <c r="N7" i="46"/>
  <c r="N6" i="46"/>
  <c r="N4" i="46"/>
  <c r="N11" i="46"/>
  <c r="M12" i="46"/>
  <c r="H5" i="48"/>
  <c r="H11" i="48"/>
  <c r="G565" i="3"/>
  <c r="G533" i="3"/>
  <c r="G501" i="3"/>
  <c r="G469" i="3"/>
  <c r="G437" i="3"/>
  <c r="G405" i="3"/>
  <c r="G373" i="3"/>
  <c r="G341" i="3"/>
  <c r="G309" i="3"/>
  <c r="G277" i="3"/>
  <c r="G245" i="3"/>
  <c r="G213" i="3"/>
  <c r="G181" i="3"/>
  <c r="G149" i="3"/>
  <c r="G117" i="3"/>
  <c r="G85" i="3"/>
  <c r="G53" i="3"/>
  <c r="G21" i="3"/>
  <c r="AB46" i="39"/>
  <c r="U30" i="40"/>
  <c r="U17" i="34"/>
  <c r="W41" i="40"/>
  <c r="W44" i="33"/>
  <c r="J28" i="33"/>
  <c r="W43" i="34"/>
  <c r="J12" i="21"/>
  <c r="F9" i="35"/>
  <c r="J12" i="35"/>
  <c r="C18" i="9"/>
  <c r="I10" i="57"/>
  <c r="AA18" i="35"/>
  <c r="S18" i="35"/>
  <c r="F22" i="59"/>
  <c r="F23" i="59" s="1"/>
  <c r="V23" i="59" s="1"/>
  <c r="E38" i="59"/>
  <c r="E39" i="59" s="1"/>
  <c r="U39" i="59" s="1"/>
  <c r="T63" i="59"/>
  <c r="C62" i="59"/>
  <c r="D63" i="59"/>
  <c r="T7" i="59"/>
  <c r="C6" i="59"/>
  <c r="D7" i="59"/>
  <c r="AA5" i="59"/>
  <c r="G541" i="3"/>
  <c r="G509" i="3"/>
  <c r="G477" i="3"/>
  <c r="G445" i="3"/>
  <c r="G413" i="3"/>
  <c r="G381" i="3"/>
  <c r="G349" i="3"/>
  <c r="G317" i="3"/>
  <c r="G285" i="3"/>
  <c r="G253" i="3"/>
  <c r="G221" i="3"/>
  <c r="G189" i="3"/>
  <c r="G157" i="3"/>
  <c r="G125" i="3"/>
  <c r="G93" i="3"/>
  <c r="G61" i="3"/>
  <c r="G29" i="3"/>
  <c r="BL535" i="3"/>
  <c r="P27" i="6"/>
  <c r="AB17" i="59"/>
  <c r="AB18" i="59"/>
  <c r="AB20" i="59"/>
  <c r="T51" i="59"/>
  <c r="O51" i="59"/>
  <c r="D67" i="59"/>
  <c r="C66" i="59"/>
  <c r="G549" i="3"/>
  <c r="G517" i="3"/>
  <c r="G485" i="3"/>
  <c r="G453" i="3"/>
  <c r="G421" i="3"/>
  <c r="G389" i="3"/>
  <c r="G357" i="3"/>
  <c r="G325" i="3"/>
  <c r="G293" i="3"/>
  <c r="G261" i="3"/>
  <c r="G229" i="3"/>
  <c r="G197" i="3"/>
  <c r="G165" i="3"/>
  <c r="G133" i="3"/>
  <c r="G101" i="3"/>
  <c r="G69" i="3"/>
  <c r="G37" i="3"/>
  <c r="AZ410" i="3"/>
  <c r="AZ394" i="3"/>
  <c r="AZ378" i="3"/>
  <c r="K13" i="1"/>
  <c r="M13" i="1" s="1"/>
  <c r="F6" i="59"/>
  <c r="F5" i="59" s="1"/>
  <c r="BL571" i="3"/>
  <c r="BL555" i="3"/>
  <c r="AZ555" i="3" s="1"/>
  <c r="BL539" i="3"/>
  <c r="AZ539" i="3" s="1"/>
  <c r="BL523" i="3"/>
  <c r="AZ523" i="3" s="1"/>
  <c r="BL512" i="3"/>
  <c r="BL496" i="3"/>
  <c r="BL480" i="3"/>
  <c r="BL464" i="3"/>
  <c r="BL448" i="3"/>
  <c r="BL432" i="3"/>
  <c r="BL356" i="3"/>
  <c r="BL340" i="3"/>
  <c r="AZ340" i="3" s="1"/>
  <c r="BL324" i="3"/>
  <c r="BL308" i="3"/>
  <c r="BL292" i="3"/>
  <c r="BL276" i="3"/>
  <c r="AZ276" i="3" s="1"/>
  <c r="BL260" i="3"/>
  <c r="BL244" i="3"/>
  <c r="BL228" i="3"/>
  <c r="BL212" i="3"/>
  <c r="AZ212" i="3" s="1"/>
  <c r="BL196" i="3"/>
  <c r="BL180" i="3"/>
  <c r="AZ180" i="3" s="1"/>
  <c r="BL164" i="3"/>
  <c r="G8" i="1"/>
  <c r="B9" i="69"/>
  <c r="BL559" i="3"/>
  <c r="AZ559" i="3" s="1"/>
  <c r="BL543" i="3"/>
  <c r="AZ543" i="3" s="1"/>
  <c r="BL527" i="3"/>
  <c r="AZ527" i="3" s="1"/>
  <c r="AZ506" i="3"/>
  <c r="AZ490" i="3"/>
  <c r="AZ474" i="3"/>
  <c r="AZ458" i="3"/>
  <c r="AZ442" i="3"/>
  <c r="AZ426" i="3"/>
  <c r="Z12" i="46"/>
  <c r="AZ514" i="3"/>
  <c r="BL513" i="3"/>
  <c r="AZ498" i="3"/>
  <c r="BL497" i="3"/>
  <c r="AZ482" i="3"/>
  <c r="BL481" i="3"/>
  <c r="AZ466" i="3"/>
  <c r="BL465" i="3"/>
  <c r="AZ450" i="3"/>
  <c r="BL449" i="3"/>
  <c r="AZ434" i="3"/>
  <c r="BL433" i="3"/>
  <c r="BL420" i="3"/>
  <c r="AZ414" i="3"/>
  <c r="BL413" i="3"/>
  <c r="BL404" i="3"/>
  <c r="AZ398" i="3"/>
  <c r="BL397" i="3"/>
  <c r="BL388" i="3"/>
  <c r="AZ382" i="3"/>
  <c r="BL381" i="3"/>
  <c r="BL372" i="3"/>
  <c r="AZ370" i="3"/>
  <c r="AZ158" i="3"/>
  <c r="AZ134" i="3"/>
  <c r="AZ510" i="3"/>
  <c r="BL509" i="3"/>
  <c r="AZ494" i="3"/>
  <c r="BL493" i="3"/>
  <c r="AZ478" i="3"/>
  <c r="BL477" i="3"/>
  <c r="AZ462" i="3"/>
  <c r="BL461" i="3"/>
  <c r="AZ446" i="3"/>
  <c r="BL445" i="3"/>
  <c r="AZ430" i="3"/>
  <c r="BL429" i="3"/>
  <c r="AZ418" i="3"/>
  <c r="BL417" i="3"/>
  <c r="AZ402" i="3"/>
  <c r="BL401" i="3"/>
  <c r="AZ386" i="3"/>
  <c r="BL385" i="3"/>
  <c r="AZ114" i="3"/>
  <c r="BL141" i="3"/>
  <c r="AZ90" i="3"/>
  <c r="AZ82" i="3"/>
  <c r="AZ58" i="3"/>
  <c r="AZ50" i="3"/>
  <c r="AZ422" i="3"/>
  <c r="BL421" i="3"/>
  <c r="AZ406" i="3"/>
  <c r="BL405" i="3"/>
  <c r="AZ390" i="3"/>
  <c r="BL389" i="3"/>
  <c r="AZ374" i="3"/>
  <c r="BL373" i="3"/>
  <c r="AZ150" i="3"/>
  <c r="BL149" i="3"/>
  <c r="AZ142" i="3"/>
  <c r="AZ94" i="3"/>
  <c r="AZ62" i="3"/>
  <c r="AZ30" i="3"/>
  <c r="BL103" i="3"/>
  <c r="AZ103" i="3" s="1"/>
  <c r="BL71" i="3"/>
  <c r="BL39" i="3"/>
  <c r="AZ162" i="3"/>
  <c r="BL161" i="3"/>
  <c r="BL152" i="3"/>
  <c r="AZ146" i="3"/>
  <c r="BL145" i="3"/>
  <c r="BL136" i="3"/>
  <c r="AZ130" i="3"/>
  <c r="BL129" i="3"/>
  <c r="BL120" i="3"/>
  <c r="BL109" i="3"/>
  <c r="BL77" i="3"/>
  <c r="BL45" i="3"/>
  <c r="AZ106" i="3"/>
  <c r="AZ98" i="3"/>
  <c r="AZ74" i="3"/>
  <c r="AZ66" i="3"/>
  <c r="AZ42" i="3"/>
  <c r="AZ34" i="3"/>
  <c r="BL367" i="3"/>
  <c r="BL363" i="3"/>
  <c r="AZ363" i="3" s="1"/>
  <c r="BL359" i="3"/>
  <c r="AZ359" i="3" s="1"/>
  <c r="BL355" i="3"/>
  <c r="AZ355" i="3" s="1"/>
  <c r="BL351" i="3"/>
  <c r="BL347" i="3"/>
  <c r="AZ347" i="3" s="1"/>
  <c r="BL343" i="3"/>
  <c r="BL339" i="3"/>
  <c r="AZ339" i="3" s="1"/>
  <c r="BL335" i="3"/>
  <c r="AZ335" i="3" s="1"/>
  <c r="BL331" i="3"/>
  <c r="AZ331" i="3" s="1"/>
  <c r="BL327" i="3"/>
  <c r="AZ327" i="3" s="1"/>
  <c r="BL323" i="3"/>
  <c r="AZ323" i="3" s="1"/>
  <c r="BL319" i="3"/>
  <c r="BL315" i="3"/>
  <c r="BL311" i="3"/>
  <c r="BL307" i="3"/>
  <c r="AZ307" i="3" s="1"/>
  <c r="BL303" i="3"/>
  <c r="AZ303" i="3" s="1"/>
  <c r="BL299" i="3"/>
  <c r="AZ299" i="3" s="1"/>
  <c r="BL295" i="3"/>
  <c r="AZ295" i="3" s="1"/>
  <c r="BL291" i="3"/>
  <c r="AZ291" i="3" s="1"/>
  <c r="BL287" i="3"/>
  <c r="BL283" i="3"/>
  <c r="AZ283" i="3" s="1"/>
  <c r="BL279" i="3"/>
  <c r="BL275" i="3"/>
  <c r="AZ275" i="3" s="1"/>
  <c r="BL271" i="3"/>
  <c r="BL267" i="3"/>
  <c r="AZ267" i="3" s="1"/>
  <c r="BL263" i="3"/>
  <c r="BL259" i="3"/>
  <c r="AZ259" i="3" s="1"/>
  <c r="BL255" i="3"/>
  <c r="AZ255" i="3" s="1"/>
  <c r="BL251" i="3"/>
  <c r="BL247" i="3"/>
  <c r="AZ247" i="3" s="1"/>
  <c r="BL243" i="3"/>
  <c r="AZ243" i="3" s="1"/>
  <c r="BL239" i="3"/>
  <c r="AZ239" i="3" s="1"/>
  <c r="BL235" i="3"/>
  <c r="BL231" i="3"/>
  <c r="AZ231" i="3" s="1"/>
  <c r="BL227" i="3"/>
  <c r="AZ227" i="3" s="1"/>
  <c r="BL223" i="3"/>
  <c r="BL219" i="3"/>
  <c r="AZ219" i="3" s="1"/>
  <c r="BL215" i="3"/>
  <c r="BL211" i="3"/>
  <c r="AZ211" i="3" s="1"/>
  <c r="BL207" i="3"/>
  <c r="AZ207" i="3" s="1"/>
  <c r="BL203" i="3"/>
  <c r="AZ203" i="3" s="1"/>
  <c r="BL199" i="3"/>
  <c r="AZ199" i="3" s="1"/>
  <c r="BL195" i="3"/>
  <c r="AZ195" i="3" s="1"/>
  <c r="BL191" i="3"/>
  <c r="BL187" i="3"/>
  <c r="BL183" i="3"/>
  <c r="BL179" i="3"/>
  <c r="AZ179" i="3" s="1"/>
  <c r="BL175" i="3"/>
  <c r="AZ175" i="3" s="1"/>
  <c r="BL171" i="3"/>
  <c r="AZ171" i="3" s="1"/>
  <c r="BL167" i="3"/>
  <c r="AZ167" i="3" s="1"/>
  <c r="BL159" i="3"/>
  <c r="AZ159" i="3" s="1"/>
  <c r="BL143" i="3"/>
  <c r="AZ143" i="3" s="1"/>
  <c r="BL127" i="3"/>
  <c r="BL95" i="3"/>
  <c r="AZ95" i="3" s="1"/>
  <c r="BL91" i="3"/>
  <c r="AZ91" i="3" s="1"/>
  <c r="BL63" i="3"/>
  <c r="AZ63" i="3" s="1"/>
  <c r="BL59" i="3"/>
  <c r="AZ59" i="3" s="1"/>
  <c r="BL31" i="3"/>
  <c r="BL15" i="3"/>
  <c r="AZ15" i="3" s="1"/>
  <c r="AZ154" i="3"/>
  <c r="BL153" i="3"/>
  <c r="AZ138" i="3"/>
  <c r="BL137" i="3"/>
  <c r="AZ122" i="3"/>
  <c r="BL121" i="3"/>
  <c r="BL24" i="3"/>
  <c r="BL20" i="3"/>
  <c r="BJ5" i="3"/>
  <c r="BI5" i="3"/>
  <c r="BD5" i="3"/>
  <c r="BA14" i="3"/>
  <c r="AZ14" i="3" s="1"/>
  <c r="BF5" i="3"/>
  <c r="B23" i="52"/>
  <c r="E11" i="52"/>
  <c r="B22" i="52"/>
  <c r="B6" i="52"/>
  <c r="E9" i="52"/>
  <c r="C4" i="4" s="1"/>
  <c r="B20" i="55" s="1"/>
  <c r="B70" i="63" s="1"/>
  <c r="B10" i="52"/>
  <c r="B11" i="52"/>
  <c r="B13" i="52"/>
  <c r="E6" i="52"/>
  <c r="E5" i="52"/>
  <c r="B16" i="52"/>
  <c r="E10" i="52"/>
  <c r="B8" i="52"/>
  <c r="B9" i="52"/>
  <c r="B7" i="52"/>
  <c r="E22" i="52"/>
  <c r="B14" i="52"/>
  <c r="B5" i="52"/>
  <c r="E4" i="52"/>
  <c r="E8" i="52"/>
  <c r="E16" i="52"/>
  <c r="M48" i="35"/>
  <c r="N48" i="35" s="1"/>
  <c r="O48" i="35" s="1"/>
  <c r="J7" i="35"/>
  <c r="H58" i="33"/>
  <c r="I58" i="33" s="1"/>
  <c r="J58" i="33" s="1"/>
  <c r="K58" i="33" s="1"/>
  <c r="L58" i="33" s="1"/>
  <c r="M58" i="33" s="1"/>
  <c r="N58" i="33" s="1"/>
  <c r="O58" i="33" s="1"/>
  <c r="J7" i="33"/>
  <c r="F7" i="33"/>
  <c r="F52" i="37"/>
  <c r="G52" i="37" s="1"/>
  <c r="H52" i="37" s="1"/>
  <c r="I52" i="37" s="1"/>
  <c r="J52" i="37" s="1"/>
  <c r="K52" i="37" s="1"/>
  <c r="L52" i="37" s="1"/>
  <c r="M52" i="37" s="1"/>
  <c r="N52" i="37" s="1"/>
  <c r="O52" i="37" s="1"/>
  <c r="F7" i="37"/>
  <c r="E59" i="34"/>
  <c r="H7" i="33"/>
  <c r="C27" i="43"/>
  <c r="C25" i="12"/>
  <c r="C15" i="43"/>
  <c r="C30" i="44"/>
  <c r="C28" i="15"/>
  <c r="C31" i="43"/>
  <c r="C15" i="12"/>
  <c r="E46" i="36"/>
  <c r="E58" i="21"/>
  <c r="F58" i="21" s="1"/>
  <c r="G58" i="21" s="1"/>
  <c r="H58" i="21" s="1"/>
  <c r="I58" i="21" s="1"/>
  <c r="J58" i="21" s="1"/>
  <c r="K58" i="21" s="1"/>
  <c r="L58" i="21" s="1"/>
  <c r="M58" i="21" s="1"/>
  <c r="N58" i="21" s="1"/>
  <c r="O58" i="21" s="1"/>
  <c r="G7" i="1"/>
  <c r="AP7" i="1"/>
  <c r="AP16" i="1" s="1"/>
  <c r="F22" i="11" s="1"/>
  <c r="G19" i="46"/>
  <c r="H7" i="37"/>
  <c r="I1" i="65"/>
  <c r="E20" i="46"/>
  <c r="Q72" i="15"/>
  <c r="J1" i="65"/>
  <c r="C36" i="44"/>
  <c r="F63" i="15"/>
  <c r="F65" i="15"/>
  <c r="J54" i="44"/>
  <c r="I55" i="44"/>
  <c r="J58" i="44"/>
  <c r="J56" i="44" s="1"/>
  <c r="J59" i="44" s="1"/>
  <c r="Q52" i="44" s="1"/>
  <c r="J61" i="44"/>
  <c r="Q50" i="44" s="1"/>
  <c r="L57" i="44"/>
  <c r="J60" i="44"/>
  <c r="J22" i="44"/>
  <c r="L59" i="44"/>
  <c r="L60" i="44"/>
  <c r="M29" i="44"/>
  <c r="M24" i="44"/>
  <c r="F43" i="44"/>
  <c r="M28" i="44"/>
  <c r="F9" i="44"/>
  <c r="M24" i="15"/>
  <c r="N6" i="65"/>
  <c r="F43" i="15"/>
  <c r="M29" i="15"/>
  <c r="F10" i="44"/>
  <c r="J15" i="15"/>
  <c r="F26" i="15"/>
  <c r="F37" i="15"/>
  <c r="F38" i="44"/>
  <c r="F13" i="15"/>
  <c r="F8" i="15"/>
  <c r="L48" i="15"/>
  <c r="F18" i="44"/>
  <c r="F39" i="44"/>
  <c r="N4" i="65"/>
  <c r="M28" i="15"/>
  <c r="L47" i="15"/>
  <c r="M9" i="15"/>
  <c r="M11" i="44"/>
  <c r="F28" i="44"/>
  <c r="M26" i="44"/>
  <c r="F7" i="15"/>
  <c r="F40" i="44"/>
  <c r="F40" i="15"/>
  <c r="F33" i="44"/>
  <c r="E3" i="65"/>
  <c r="E2" i="65"/>
  <c r="F67" i="15" l="1"/>
  <c r="F49" i="15"/>
  <c r="M7" i="15"/>
  <c r="C29" i="44"/>
  <c r="L58" i="15"/>
  <c r="Q61" i="15" s="1"/>
  <c r="L59" i="15"/>
  <c r="C4" i="65"/>
  <c r="B39" i="1" s="1"/>
  <c r="F11" i="15" s="1"/>
  <c r="C52" i="15" s="1"/>
  <c r="I54" i="15"/>
  <c r="J59" i="15"/>
  <c r="J57" i="15"/>
  <c r="J55" i="15" s="1"/>
  <c r="J58" i="15" s="1"/>
  <c r="Q51" i="15" s="1"/>
  <c r="L57" i="15"/>
  <c r="J53" i="15"/>
  <c r="Q53" i="15" s="1"/>
  <c r="J60" i="15"/>
  <c r="Q49" i="15" s="1"/>
  <c r="L56" i="15"/>
  <c r="L60" i="15"/>
  <c r="Q58" i="15" s="1"/>
  <c r="F50" i="15"/>
  <c r="C48" i="15" s="1"/>
  <c r="F64" i="15"/>
  <c r="C27" i="15"/>
  <c r="C8" i="44"/>
  <c r="F70" i="15"/>
  <c r="M9" i="44"/>
  <c r="Q73" i="44"/>
  <c r="Z13" i="46"/>
  <c r="E29" i="3"/>
  <c r="AC12" i="21"/>
  <c r="W12" i="21"/>
  <c r="E405" i="3"/>
  <c r="AA9" i="34"/>
  <c r="S9" i="34"/>
  <c r="AC9" i="37"/>
  <c r="W9" i="37"/>
  <c r="AA23" i="39"/>
  <c r="S23" i="39"/>
  <c r="AC23" i="35"/>
  <c r="W23" i="35"/>
  <c r="AA31" i="34"/>
  <c r="S31" i="34"/>
  <c r="W31" i="34"/>
  <c r="AC31" i="34"/>
  <c r="AC13" i="33"/>
  <c r="W13" i="33"/>
  <c r="AB39" i="37"/>
  <c r="U39" i="37"/>
  <c r="S26" i="33"/>
  <c r="AA26" i="33"/>
  <c r="AA13" i="36"/>
  <c r="S13" i="36"/>
  <c r="AB46" i="21"/>
  <c r="U46" i="21"/>
  <c r="AC27" i="33"/>
  <c r="W27" i="33"/>
  <c r="G16" i="1"/>
  <c r="H12" i="40" s="1"/>
  <c r="AC35" i="40"/>
  <c r="W35" i="40"/>
  <c r="W19" i="39"/>
  <c r="AC19" i="39"/>
  <c r="AA12" i="37"/>
  <c r="S12" i="37"/>
  <c r="S36" i="35"/>
  <c r="AA36" i="35"/>
  <c r="L109" i="46"/>
  <c r="U25" i="39"/>
  <c r="AB25" i="39"/>
  <c r="AC26" i="37"/>
  <c r="W26" i="37"/>
  <c r="AB24" i="35"/>
  <c r="U24" i="35"/>
  <c r="AC9" i="33"/>
  <c r="W9" i="33"/>
  <c r="D67" i="40"/>
  <c r="E65" i="40"/>
  <c r="AA41" i="39"/>
  <c r="S41" i="39"/>
  <c r="AC28" i="37"/>
  <c r="W28" i="37"/>
  <c r="AC14" i="37"/>
  <c r="W14" i="37"/>
  <c r="AZ413" i="3"/>
  <c r="AZ477" i="3"/>
  <c r="AZ228" i="3"/>
  <c r="U31" i="34"/>
  <c r="AB31" i="34"/>
  <c r="AA27" i="39"/>
  <c r="S27" i="39"/>
  <c r="S34" i="35"/>
  <c r="AA34" i="35"/>
  <c r="AZ13" i="3"/>
  <c r="BA5" i="3"/>
  <c r="E27" i="6" s="1"/>
  <c r="AZ109" i="3"/>
  <c r="W46" i="21"/>
  <c r="AC46" i="21"/>
  <c r="U13" i="35"/>
  <c r="AB13" i="35"/>
  <c r="AA27" i="33"/>
  <c r="S27" i="33"/>
  <c r="T15" i="59"/>
  <c r="D15" i="59"/>
  <c r="AC28" i="33"/>
  <c r="W28" i="33"/>
  <c r="E341" i="3"/>
  <c r="AB35" i="40"/>
  <c r="U35" i="40"/>
  <c r="F93" i="39"/>
  <c r="G93" i="39" s="1"/>
  <c r="F19" i="39"/>
  <c r="H19" i="39"/>
  <c r="AB12" i="37"/>
  <c r="U12" i="37"/>
  <c r="AB36" i="35"/>
  <c r="U36" i="35"/>
  <c r="C43" i="59"/>
  <c r="D42" i="59"/>
  <c r="O12" i="1"/>
  <c r="P12" i="1" s="1"/>
  <c r="U45" i="39"/>
  <c r="AB45" i="39"/>
  <c r="AC13" i="37"/>
  <c r="W13" i="37"/>
  <c r="AC24" i="35"/>
  <c r="W24" i="35"/>
  <c r="U30" i="21"/>
  <c r="AB30" i="21"/>
  <c r="S30" i="33"/>
  <c r="AA30" i="33"/>
  <c r="AC23" i="39"/>
  <c r="W23" i="39"/>
  <c r="C7" i="46"/>
  <c r="U40" i="37"/>
  <c r="AB40" i="37"/>
  <c r="S32" i="36"/>
  <c r="AA32" i="36"/>
  <c r="AZ389" i="3"/>
  <c r="AZ421" i="3"/>
  <c r="AZ464" i="3"/>
  <c r="AZ496" i="3"/>
  <c r="AB47" i="34"/>
  <c r="U47" i="34"/>
  <c r="AB13" i="34"/>
  <c r="U13" i="34"/>
  <c r="AC28" i="34"/>
  <c r="W28" i="34"/>
  <c r="S14" i="37"/>
  <c r="AA14" i="37"/>
  <c r="U13" i="21"/>
  <c r="AB13" i="21"/>
  <c r="AB30" i="34"/>
  <c r="U30" i="34"/>
  <c r="W34" i="35"/>
  <c r="AC34" i="35"/>
  <c r="W37" i="39"/>
  <c r="AC37" i="39"/>
  <c r="AZ129" i="3"/>
  <c r="AZ145" i="3"/>
  <c r="AZ161" i="3"/>
  <c r="AZ381" i="3"/>
  <c r="AZ417" i="3"/>
  <c r="AZ449" i="3"/>
  <c r="AZ481" i="3"/>
  <c r="AZ513" i="3"/>
  <c r="AZ196" i="3"/>
  <c r="AZ420" i="3"/>
  <c r="AB43" i="39"/>
  <c r="U43" i="39"/>
  <c r="U14" i="21"/>
  <c r="AB14" i="21"/>
  <c r="S12" i="34"/>
  <c r="AA12" i="34"/>
  <c r="U27" i="33"/>
  <c r="AB27" i="33"/>
  <c r="E413" i="3"/>
  <c r="I21" i="57"/>
  <c r="D1" i="57"/>
  <c r="E10" i="57" s="1"/>
  <c r="AB44" i="39"/>
  <c r="U44" i="39"/>
  <c r="AB38" i="37"/>
  <c r="U38" i="37"/>
  <c r="W12" i="36"/>
  <c r="AC12" i="36"/>
  <c r="U14" i="33"/>
  <c r="AB14" i="33"/>
  <c r="AA45" i="39"/>
  <c r="S45" i="39"/>
  <c r="U26" i="37"/>
  <c r="AB26" i="37"/>
  <c r="AA24" i="35"/>
  <c r="S24" i="35"/>
  <c r="U9" i="33"/>
  <c r="AB9" i="33"/>
  <c r="W32" i="36"/>
  <c r="AC32" i="36"/>
  <c r="AC41" i="39"/>
  <c r="W41" i="39"/>
  <c r="S28" i="37"/>
  <c r="AA28" i="37"/>
  <c r="W12" i="33"/>
  <c r="AC12" i="33"/>
  <c r="S29" i="21"/>
  <c r="AA29" i="21"/>
  <c r="D72" i="39"/>
  <c r="E70" i="39"/>
  <c r="U34" i="40"/>
  <c r="AB34" i="40"/>
  <c r="AB34" i="35"/>
  <c r="U34" i="35"/>
  <c r="E8" i="6"/>
  <c r="E12" i="6"/>
  <c r="E10" i="6"/>
  <c r="E15" i="6"/>
  <c r="E13" i="6"/>
  <c r="E14" i="6"/>
  <c r="E11" i="6"/>
  <c r="AZ137" i="3"/>
  <c r="AZ433" i="3"/>
  <c r="AZ465" i="3"/>
  <c r="AZ497" i="3"/>
  <c r="AZ136" i="3"/>
  <c r="AZ404" i="3"/>
  <c r="W39" i="37"/>
  <c r="AC39" i="37"/>
  <c r="AC46" i="34"/>
  <c r="W46" i="34"/>
  <c r="S12" i="33"/>
  <c r="AA12" i="33"/>
  <c r="K15" i="1"/>
  <c r="L19" i="6"/>
  <c r="L27" i="6" s="1"/>
  <c r="E61" i="3"/>
  <c r="M43" i="9"/>
  <c r="D18" i="9"/>
  <c r="M44" i="9" s="1"/>
  <c r="E437" i="3"/>
  <c r="C5" i="46"/>
  <c r="U9" i="34"/>
  <c r="AB9" i="34"/>
  <c r="H101" i="46"/>
  <c r="G22" i="46"/>
  <c r="AI11" i="46"/>
  <c r="AI13" i="46" s="1"/>
  <c r="C23" i="46"/>
  <c r="C21" i="46" s="1"/>
  <c r="AD11" i="46"/>
  <c r="AD13" i="46" s="1"/>
  <c r="F101" i="46"/>
  <c r="E101" i="46"/>
  <c r="B113" i="46"/>
  <c r="J22" i="46"/>
  <c r="AF11" i="46"/>
  <c r="AF13" i="46" s="1"/>
  <c r="AC11" i="46"/>
  <c r="AC13" i="46" s="1"/>
  <c r="D101" i="46"/>
  <c r="Z11" i="46"/>
  <c r="Z7" i="46"/>
  <c r="J101" i="46"/>
  <c r="S3" i="46"/>
  <c r="AE11" i="46"/>
  <c r="AE13" i="46" s="1"/>
  <c r="Y11" i="46"/>
  <c r="Y13" i="46" s="1"/>
  <c r="I101" i="46"/>
  <c r="F22" i="46"/>
  <c r="G101" i="46"/>
  <c r="S4" i="46"/>
  <c r="AJ11" i="46"/>
  <c r="AJ13" i="46" s="1"/>
  <c r="E22" i="46"/>
  <c r="D22" i="46" s="1"/>
  <c r="AA11" i="46"/>
  <c r="AA13" i="46" s="1"/>
  <c r="N101" i="46"/>
  <c r="L101" i="46"/>
  <c r="S7" i="46"/>
  <c r="AH11" i="46"/>
  <c r="AH13" i="46" s="1"/>
  <c r="H22" i="46"/>
  <c r="C101" i="46"/>
  <c r="S6" i="46"/>
  <c r="AG11" i="46"/>
  <c r="AG13" i="46" s="1"/>
  <c r="M101" i="46"/>
  <c r="AB11" i="46"/>
  <c r="AB13" i="46" s="1"/>
  <c r="K101" i="46"/>
  <c r="N104" i="45"/>
  <c r="S5" i="46"/>
  <c r="S2" i="46"/>
  <c r="AA40" i="37"/>
  <c r="S40" i="37"/>
  <c r="AC29" i="21"/>
  <c r="W29" i="21"/>
  <c r="AB23" i="39"/>
  <c r="U23" i="39"/>
  <c r="AA23" i="35"/>
  <c r="S23" i="35"/>
  <c r="AZ385" i="3"/>
  <c r="AZ445" i="3"/>
  <c r="AZ509" i="3"/>
  <c r="AA13" i="33"/>
  <c r="S13" i="33"/>
  <c r="AC30" i="34"/>
  <c r="W30" i="34"/>
  <c r="AA34" i="40"/>
  <c r="S34" i="40"/>
  <c r="W30" i="21"/>
  <c r="AC30" i="21"/>
  <c r="U13" i="36"/>
  <c r="AB13" i="36"/>
  <c r="U46" i="34"/>
  <c r="AB46" i="34"/>
  <c r="AB12" i="33"/>
  <c r="U12" i="33"/>
  <c r="O13" i="1"/>
  <c r="P13" i="1" s="1"/>
  <c r="E165" i="3"/>
  <c r="E221" i="3"/>
  <c r="D62" i="59"/>
  <c r="C61" i="59"/>
  <c r="D61" i="59" s="1"/>
  <c r="AC12" i="35"/>
  <c r="W12" i="35"/>
  <c r="H7" i="35"/>
  <c r="AB7" i="35" s="1"/>
  <c r="T38" i="35" s="1"/>
  <c r="G38" i="35" s="1"/>
  <c r="D4" i="69"/>
  <c r="D3" i="69"/>
  <c r="D2" i="69"/>
  <c r="E197" i="3"/>
  <c r="C65" i="59"/>
  <c r="D65" i="59" s="1"/>
  <c r="D66" i="59"/>
  <c r="E509" i="3"/>
  <c r="C5" i="59"/>
  <c r="D5" i="59" s="1"/>
  <c r="D6" i="59"/>
  <c r="M20" i="46" s="1"/>
  <c r="C19" i="46" s="1"/>
  <c r="S9" i="35"/>
  <c r="AA9" i="35"/>
  <c r="E501" i="3"/>
  <c r="S38" i="37"/>
  <c r="AA38" i="37"/>
  <c r="AA12" i="36"/>
  <c r="S12" i="36"/>
  <c r="AC14" i="33"/>
  <c r="W14" i="33"/>
  <c r="G5" i="3"/>
  <c r="B3" i="3" s="1"/>
  <c r="M7" i="1"/>
  <c r="Q16" i="1"/>
  <c r="D54" i="59"/>
  <c r="C53" i="59"/>
  <c r="D53" i="59" s="1"/>
  <c r="AC45" i="39"/>
  <c r="W45" i="39"/>
  <c r="AC25" i="39"/>
  <c r="W25" i="39"/>
  <c r="AB13" i="37"/>
  <c r="U13" i="37"/>
  <c r="S13" i="35"/>
  <c r="AA13" i="35"/>
  <c r="S46" i="21"/>
  <c r="AA46" i="21"/>
  <c r="W47" i="34"/>
  <c r="AC47" i="34"/>
  <c r="AC43" i="39"/>
  <c r="W43" i="39"/>
  <c r="AC40" i="37"/>
  <c r="W40" i="37"/>
  <c r="AB32" i="36"/>
  <c r="U32" i="36"/>
  <c r="AZ397" i="3"/>
  <c r="AZ429" i="3"/>
  <c r="AZ461" i="3"/>
  <c r="AZ493" i="3"/>
  <c r="AZ324" i="3"/>
  <c r="AZ356" i="3"/>
  <c r="AZ388" i="3"/>
  <c r="AA47" i="34"/>
  <c r="S47" i="34"/>
  <c r="W13" i="34"/>
  <c r="AC13" i="34"/>
  <c r="AA28" i="34"/>
  <c r="S28" i="34"/>
  <c r="AA45" i="21"/>
  <c r="S45" i="21"/>
  <c r="AC34" i="40"/>
  <c r="W34" i="40"/>
  <c r="U26" i="33"/>
  <c r="AB26" i="33"/>
  <c r="AZ149" i="3"/>
  <c r="AZ20" i="3"/>
  <c r="AZ164" i="3"/>
  <c r="AZ260" i="3"/>
  <c r="AZ432" i="3"/>
  <c r="F30" i="6"/>
  <c r="E28" i="6"/>
  <c r="W13" i="36"/>
  <c r="AC13" i="36"/>
  <c r="W14" i="21"/>
  <c r="AC14" i="21"/>
  <c r="AA39" i="37"/>
  <c r="S39" i="37"/>
  <c r="AA46" i="34"/>
  <c r="S46" i="34"/>
  <c r="W12" i="34"/>
  <c r="AC12" i="34"/>
  <c r="M86" i="9"/>
  <c r="N86" i="9" s="1"/>
  <c r="M88" i="9"/>
  <c r="N88" i="9" s="1"/>
  <c r="M85" i="9"/>
  <c r="N85" i="9" s="1"/>
  <c r="M84" i="9"/>
  <c r="N84" i="9" s="1"/>
  <c r="M83" i="9"/>
  <c r="N83" i="9" s="1"/>
  <c r="N89" i="9" s="1"/>
  <c r="O89" i="9" s="1"/>
  <c r="M87" i="9"/>
  <c r="N87" i="9" s="1"/>
  <c r="AB7" i="37"/>
  <c r="T42" i="37" s="1"/>
  <c r="G42" i="37" s="1"/>
  <c r="U7" i="37"/>
  <c r="P24" i="46"/>
  <c r="B68" i="40" s="1"/>
  <c r="P25" i="46"/>
  <c r="B73" i="39" s="1"/>
  <c r="P23" i="46"/>
  <c r="P22" i="46"/>
  <c r="P21" i="46"/>
  <c r="O19" i="46"/>
  <c r="F12" i="39"/>
  <c r="H7" i="21"/>
  <c r="F7" i="21"/>
  <c r="AB7" i="33"/>
  <c r="T48" i="33" s="1"/>
  <c r="G48" i="33" s="1"/>
  <c r="U7" i="33"/>
  <c r="F59" i="34"/>
  <c r="G59" i="34" s="1"/>
  <c r="H59" i="34" s="1"/>
  <c r="I59" i="34" s="1"/>
  <c r="J59" i="34" s="1"/>
  <c r="K59" i="34" s="1"/>
  <c r="L59" i="34" s="1"/>
  <c r="M59" i="34" s="1"/>
  <c r="N59" i="34" s="1"/>
  <c r="O59" i="34" s="1"/>
  <c r="AA7" i="37"/>
  <c r="R42" i="37" s="1"/>
  <c r="S7" i="37"/>
  <c r="AC7" i="33"/>
  <c r="V48" i="33" s="1"/>
  <c r="I48" i="33" s="1"/>
  <c r="W7" i="33"/>
  <c r="U7" i="35"/>
  <c r="F7" i="35"/>
  <c r="J7" i="21"/>
  <c r="F46" i="36"/>
  <c r="J7" i="37"/>
  <c r="AA7" i="33"/>
  <c r="R48" i="33" s="1"/>
  <c r="S7" i="33"/>
  <c r="AC7" i="35"/>
  <c r="V38" i="35" s="1"/>
  <c r="I38" i="35" s="1"/>
  <c r="W7" i="35"/>
  <c r="F17" i="11"/>
  <c r="C17" i="11" s="1"/>
  <c r="B40" i="1"/>
  <c r="Q63" i="44"/>
  <c r="Q76" i="44"/>
  <c r="L47" i="44"/>
  <c r="Q54" i="44"/>
  <c r="F1" i="44"/>
  <c r="Q75" i="15"/>
  <c r="Q62" i="15"/>
  <c r="O17" i="46"/>
  <c r="N17" i="46"/>
  <c r="M17" i="46"/>
  <c r="P17" i="46"/>
  <c r="Q75" i="44"/>
  <c r="Q62" i="44"/>
  <c r="F1" i="15"/>
  <c r="F13" i="44"/>
  <c r="C12" i="44" s="1"/>
  <c r="F58" i="15"/>
  <c r="AE7" i="1"/>
  <c r="C18" i="44"/>
  <c r="M17" i="15"/>
  <c r="M19" i="44"/>
  <c r="C16" i="15"/>
  <c r="M11" i="15" l="1"/>
  <c r="J10" i="15" s="1"/>
  <c r="M13" i="44"/>
  <c r="J12" i="44" s="1"/>
  <c r="O7" i="1"/>
  <c r="K105" i="46"/>
  <c r="K103" i="46"/>
  <c r="K109" i="46"/>
  <c r="K107" i="46"/>
  <c r="K104" i="46"/>
  <c r="K102" i="46"/>
  <c r="K106" i="46"/>
  <c r="D102" i="46"/>
  <c r="D103" i="46"/>
  <c r="D105" i="46"/>
  <c r="D104" i="46"/>
  <c r="D106" i="46"/>
  <c r="D107" i="46"/>
  <c r="D109" i="46"/>
  <c r="I117" i="46"/>
  <c r="J117" i="46" s="1"/>
  <c r="K117" i="46" s="1"/>
  <c r="L117" i="46" s="1"/>
  <c r="M117" i="46" s="1"/>
  <c r="G118" i="46"/>
  <c r="H118" i="46" s="1"/>
  <c r="I115" i="46"/>
  <c r="J115" i="46" s="1"/>
  <c r="K115" i="46" s="1"/>
  <c r="L115" i="46" s="1"/>
  <c r="M115" i="46" s="1"/>
  <c r="B115" i="46"/>
  <c r="D117" i="46"/>
  <c r="E117" i="46" s="1"/>
  <c r="F117" i="46" s="1"/>
  <c r="G117" i="46" s="1"/>
  <c r="H117" i="46" s="1"/>
  <c r="I116" i="46"/>
  <c r="J116" i="46" s="1"/>
  <c r="K116" i="46" s="1"/>
  <c r="L116" i="46" s="1"/>
  <c r="M116" i="46" s="1"/>
  <c r="B118" i="46"/>
  <c r="C118" i="46" s="1"/>
  <c r="D116" i="46"/>
  <c r="E116" i="46" s="1"/>
  <c r="F116" i="46" s="1"/>
  <c r="G116" i="46" s="1"/>
  <c r="H116" i="46" s="1"/>
  <c r="B116" i="46"/>
  <c r="C116" i="46" s="1"/>
  <c r="D118" i="46"/>
  <c r="E118" i="46" s="1"/>
  <c r="F118" i="46" s="1"/>
  <c r="D115" i="46"/>
  <c r="E115" i="46" s="1"/>
  <c r="F115" i="46" s="1"/>
  <c r="G115" i="46" s="1"/>
  <c r="H115" i="46" s="1"/>
  <c r="I118" i="46"/>
  <c r="J118" i="46" s="1"/>
  <c r="K118" i="46" s="1"/>
  <c r="L118" i="46" s="1"/>
  <c r="M118" i="46" s="1"/>
  <c r="B117" i="46"/>
  <c r="C117" i="46" s="1"/>
  <c r="E61" i="40"/>
  <c r="E66" i="39"/>
  <c r="E283" i="3"/>
  <c r="E49" i="3"/>
  <c r="E104" i="3"/>
  <c r="AD6" i="3"/>
  <c r="E200" i="3"/>
  <c r="E230" i="3"/>
  <c r="Z6" i="3"/>
  <c r="E266" i="3"/>
  <c r="E158" i="3"/>
  <c r="AM6" i="3"/>
  <c r="E23" i="3"/>
  <c r="E434" i="3"/>
  <c r="E146" i="3"/>
  <c r="E388" i="3"/>
  <c r="E124" i="3"/>
  <c r="E202" i="3"/>
  <c r="E414" i="3"/>
  <c r="E92" i="3"/>
  <c r="E418" i="3"/>
  <c r="E41" i="3"/>
  <c r="E411" i="3"/>
  <c r="E86" i="3"/>
  <c r="E135" i="3"/>
  <c r="E22" i="3"/>
  <c r="E459" i="3"/>
  <c r="E231" i="3"/>
  <c r="E470" i="3"/>
  <c r="E249" i="3"/>
  <c r="E460" i="3"/>
  <c r="I3" i="6"/>
  <c r="E463" i="3"/>
  <c r="E292" i="3"/>
  <c r="E426" i="3"/>
  <c r="E60" i="3"/>
  <c r="E75" i="3"/>
  <c r="E178" i="3"/>
  <c r="E48" i="3"/>
  <c r="E438" i="3"/>
  <c r="E455" i="3"/>
  <c r="E206" i="3"/>
  <c r="E115" i="3"/>
  <c r="E321" i="3"/>
  <c r="E537" i="3"/>
  <c r="E452" i="3"/>
  <c r="E536" i="3"/>
  <c r="E462" i="3"/>
  <c r="E545" i="3"/>
  <c r="E482" i="3"/>
  <c r="N6" i="3"/>
  <c r="E560" i="3"/>
  <c r="E111" i="3"/>
  <c r="E39" i="3"/>
  <c r="E107" i="3"/>
  <c r="E288" i="3"/>
  <c r="E393" i="3"/>
  <c r="E88" i="3"/>
  <c r="E480" i="3"/>
  <c r="E220" i="3"/>
  <c r="AQ6" i="3"/>
  <c r="E162" i="3"/>
  <c r="E235" i="3"/>
  <c r="E120" i="3"/>
  <c r="E191" i="3"/>
  <c r="E555" i="3"/>
  <c r="E355" i="3"/>
  <c r="E499" i="3"/>
  <c r="E558" i="3"/>
  <c r="E173" i="3"/>
  <c r="E436" i="3"/>
  <c r="E385" i="3"/>
  <c r="E95" i="3"/>
  <c r="E498" i="3"/>
  <c r="E298" i="3"/>
  <c r="E361" i="3"/>
  <c r="E315" i="3"/>
  <c r="E323" i="3"/>
  <c r="E46" i="3"/>
  <c r="E142" i="3"/>
  <c r="E185" i="3"/>
  <c r="E79" i="3"/>
  <c r="E272" i="3"/>
  <c r="E25" i="3"/>
  <c r="E479" i="3"/>
  <c r="E276" i="3"/>
  <c r="E526" i="3"/>
  <c r="E540" i="3"/>
  <c r="E234" i="3"/>
  <c r="E176" i="3"/>
  <c r="E525" i="3"/>
  <c r="E353" i="3"/>
  <c r="E236" i="3"/>
  <c r="E171" i="3"/>
  <c r="E531" i="3"/>
  <c r="E344" i="3"/>
  <c r="R6" i="3"/>
  <c r="E84" i="3"/>
  <c r="E38" i="3"/>
  <c r="E568" i="3"/>
  <c r="E451" i="3"/>
  <c r="E305" i="3"/>
  <c r="E126" i="3"/>
  <c r="E51" i="3"/>
  <c r="E281" i="3"/>
  <c r="E559" i="3"/>
  <c r="E324" i="3"/>
  <c r="E216" i="3"/>
  <c r="E219" i="3"/>
  <c r="E335" i="3"/>
  <c r="E366" i="3"/>
  <c r="E330" i="3"/>
  <c r="E350" i="3"/>
  <c r="E496" i="3"/>
  <c r="E352" i="3"/>
  <c r="E138" i="3"/>
  <c r="E519" i="3"/>
  <c r="E252" i="3"/>
  <c r="E544" i="3"/>
  <c r="E523" i="3"/>
  <c r="E13" i="3"/>
  <c r="E342" i="3"/>
  <c r="E572" i="3"/>
  <c r="E227" i="3"/>
  <c r="E71" i="3"/>
  <c r="E382" i="3"/>
  <c r="E481" i="3"/>
  <c r="E310" i="3"/>
  <c r="E511" i="3"/>
  <c r="E358" i="3"/>
  <c r="E427" i="3"/>
  <c r="E534" i="3"/>
  <c r="E103" i="3"/>
  <c r="AK6" i="3"/>
  <c r="E57" i="3"/>
  <c r="E548" i="3"/>
  <c r="E472" i="3"/>
  <c r="E78" i="3"/>
  <c r="E561" i="3"/>
  <c r="E99" i="3"/>
  <c r="E430" i="3"/>
  <c r="E311" i="3"/>
  <c r="E450" i="3"/>
  <c r="E238" i="3"/>
  <c r="E270" i="3"/>
  <c r="AN6" i="3"/>
  <c r="E114" i="3"/>
  <c r="E439" i="3"/>
  <c r="E282" i="3"/>
  <c r="E409" i="3"/>
  <c r="E295" i="3"/>
  <c r="E428" i="3"/>
  <c r="E404" i="3"/>
  <c r="E274" i="3"/>
  <c r="E205" i="3"/>
  <c r="E415" i="3"/>
  <c r="E33" i="3"/>
  <c r="E168" i="3"/>
  <c r="E97" i="3"/>
  <c r="E383" i="3"/>
  <c r="E132" i="3"/>
  <c r="E195" i="3"/>
  <c r="E225" i="3"/>
  <c r="E435" i="3"/>
  <c r="E397" i="3"/>
  <c r="E63" i="3"/>
  <c r="E98" i="3"/>
  <c r="W6" i="3"/>
  <c r="E303" i="3"/>
  <c r="E203" i="3"/>
  <c r="E429" i="3"/>
  <c r="E214" i="3"/>
  <c r="E417" i="3"/>
  <c r="E154" i="3"/>
  <c r="E369" i="3"/>
  <c r="E400" i="3"/>
  <c r="E74" i="3"/>
  <c r="E505" i="3"/>
  <c r="E66" i="3"/>
  <c r="E287" i="3"/>
  <c r="E379" i="3"/>
  <c r="E508" i="3"/>
  <c r="E551" i="3"/>
  <c r="E217" i="3"/>
  <c r="E260" i="3"/>
  <c r="E90" i="3"/>
  <c r="E212" i="3"/>
  <c r="E14" i="3"/>
  <c r="E226" i="3"/>
  <c r="E294" i="3"/>
  <c r="E410" i="3"/>
  <c r="E27" i="3"/>
  <c r="E113" i="3"/>
  <c r="E166" i="3"/>
  <c r="E258" i="3"/>
  <c r="E196" i="3"/>
  <c r="E416" i="3"/>
  <c r="E134" i="3"/>
  <c r="E87" i="3"/>
  <c r="E256" i="3"/>
  <c r="K6" i="3"/>
  <c r="E251" i="3"/>
  <c r="E495" i="3"/>
  <c r="E431" i="3"/>
  <c r="E52" i="3"/>
  <c r="E291" i="3"/>
  <c r="E248" i="3"/>
  <c r="E466" i="3"/>
  <c r="E345" i="3"/>
  <c r="E331" i="3"/>
  <c r="E228" i="3"/>
  <c r="E489" i="3"/>
  <c r="E320" i="3"/>
  <c r="E360" i="3"/>
  <c r="E269" i="3"/>
  <c r="E562" i="3"/>
  <c r="E532" i="3"/>
  <c r="E566" i="3"/>
  <c r="E494" i="3"/>
  <c r="E461" i="3"/>
  <c r="E112" i="3"/>
  <c r="E316" i="3"/>
  <c r="E503" i="3"/>
  <c r="E516" i="3"/>
  <c r="E244" i="3"/>
  <c r="E484" i="3"/>
  <c r="E159" i="3"/>
  <c r="E371" i="3"/>
  <c r="E26" i="3"/>
  <c r="E377" i="3"/>
  <c r="E564" i="3"/>
  <c r="E193" i="3"/>
  <c r="AA6" i="3"/>
  <c r="E143" i="3"/>
  <c r="I6" i="3"/>
  <c r="E296" i="3"/>
  <c r="E194" i="3"/>
  <c r="E77" i="3"/>
  <c r="E186" i="3"/>
  <c r="E44" i="3"/>
  <c r="E59" i="3"/>
  <c r="E250" i="3"/>
  <c r="E147" i="3"/>
  <c r="E394" i="3"/>
  <c r="E237" i="3"/>
  <c r="E223" i="3"/>
  <c r="E367" i="3"/>
  <c r="E141" i="3"/>
  <c r="E444" i="3"/>
  <c r="AO6" i="3"/>
  <c r="E333" i="3"/>
  <c r="E199" i="3"/>
  <c r="E174" i="3"/>
  <c r="E473" i="3"/>
  <c r="E233" i="3"/>
  <c r="E67" i="3"/>
  <c r="E255" i="3"/>
  <c r="E264" i="3"/>
  <c r="E347" i="3"/>
  <c r="E448" i="3"/>
  <c r="E123" i="3"/>
  <c r="E300" i="3"/>
  <c r="E271" i="3"/>
  <c r="E180" i="3"/>
  <c r="E81" i="3"/>
  <c r="E307" i="3"/>
  <c r="E19" i="3"/>
  <c r="E169" i="3"/>
  <c r="E267" i="3"/>
  <c r="E64" i="3"/>
  <c r="E412" i="3"/>
  <c r="E425" i="3"/>
  <c r="E207" i="3"/>
  <c r="E259" i="3"/>
  <c r="E242" i="3"/>
  <c r="E458" i="3"/>
  <c r="E456" i="3"/>
  <c r="E546" i="3"/>
  <c r="E208" i="3"/>
  <c r="E31" i="3"/>
  <c r="AH6" i="3"/>
  <c r="E550" i="3"/>
  <c r="E539" i="3"/>
  <c r="E211" i="3"/>
  <c r="E65" i="3"/>
  <c r="E40" i="3"/>
  <c r="E314" i="3"/>
  <c r="E392" i="3"/>
  <c r="E42" i="3"/>
  <c r="E483" i="3"/>
  <c r="E497" i="3"/>
  <c r="E130" i="3"/>
  <c r="E563" i="3"/>
  <c r="E163" i="3"/>
  <c r="E504" i="3"/>
  <c r="E137" i="3"/>
  <c r="E514" i="3"/>
  <c r="E567" i="3"/>
  <c r="E18" i="3"/>
  <c r="E156" i="3"/>
  <c r="E299" i="3"/>
  <c r="E262" i="3"/>
  <c r="E390" i="3"/>
  <c r="E263" i="3"/>
  <c r="E161" i="3"/>
  <c r="E471" i="3"/>
  <c r="E68" i="3"/>
  <c r="E55" i="3"/>
  <c r="E36" i="3"/>
  <c r="E201" i="3"/>
  <c r="E441" i="3"/>
  <c r="E478" i="3"/>
  <c r="E119" i="3"/>
  <c r="E407" i="3"/>
  <c r="E91" i="3"/>
  <c r="E54" i="3"/>
  <c r="E490" i="3"/>
  <c r="E184" i="3"/>
  <c r="E275" i="3"/>
  <c r="E172" i="3"/>
  <c r="E543" i="3"/>
  <c r="E302" i="3"/>
  <c r="E529" i="3"/>
  <c r="E306" i="3"/>
  <c r="E108" i="3"/>
  <c r="E177" i="3"/>
  <c r="E153" i="3"/>
  <c r="E182" i="3"/>
  <c r="E457" i="3"/>
  <c r="E109" i="3"/>
  <c r="E401" i="3"/>
  <c r="E449" i="3"/>
  <c r="E96" i="3"/>
  <c r="E128" i="3"/>
  <c r="E569" i="3"/>
  <c r="E474" i="3"/>
  <c r="E241" i="3"/>
  <c r="P6" i="3"/>
  <c r="E247" i="3"/>
  <c r="E556" i="3"/>
  <c r="E336" i="3"/>
  <c r="E290" i="3"/>
  <c r="E502" i="3"/>
  <c r="E45" i="3"/>
  <c r="E571" i="3"/>
  <c r="E521" i="3"/>
  <c r="E254" i="3"/>
  <c r="E175" i="3"/>
  <c r="E364" i="3"/>
  <c r="E406" i="3"/>
  <c r="E240" i="3"/>
  <c r="E512" i="3"/>
  <c r="E322" i="3"/>
  <c r="E43" i="3"/>
  <c r="E329" i="3"/>
  <c r="E535" i="3"/>
  <c r="E62" i="3"/>
  <c r="E552" i="3"/>
  <c r="E424" i="3"/>
  <c r="E476" i="3"/>
  <c r="E570" i="3"/>
  <c r="E170" i="3"/>
  <c r="E447" i="3"/>
  <c r="E500" i="3"/>
  <c r="E391" i="3"/>
  <c r="E442" i="3"/>
  <c r="E232" i="3"/>
  <c r="L6" i="3"/>
  <c r="E465" i="3"/>
  <c r="AG6" i="3"/>
  <c r="E386" i="3"/>
  <c r="E403" i="3"/>
  <c r="E339" i="3"/>
  <c r="E152" i="3"/>
  <c r="E468" i="3"/>
  <c r="E102" i="3"/>
  <c r="E554" i="3"/>
  <c r="E354" i="3"/>
  <c r="E70" i="3"/>
  <c r="E527" i="3"/>
  <c r="E72" i="3"/>
  <c r="E286" i="3"/>
  <c r="E338" i="3"/>
  <c r="E515" i="3"/>
  <c r="E346" i="3"/>
  <c r="E522" i="3"/>
  <c r="E326" i="3"/>
  <c r="S6" i="3"/>
  <c r="E278" i="3"/>
  <c r="E215" i="3"/>
  <c r="E265" i="3"/>
  <c r="E164" i="3"/>
  <c r="E83" i="3"/>
  <c r="E464" i="3"/>
  <c r="E395" i="3"/>
  <c r="E348" i="3"/>
  <c r="E528" i="3"/>
  <c r="E304" i="3"/>
  <c r="E374" i="3"/>
  <c r="E547" i="3"/>
  <c r="E28" i="3"/>
  <c r="AS6" i="3"/>
  <c r="E475" i="3"/>
  <c r="E187" i="3"/>
  <c r="E110" i="3"/>
  <c r="E422" i="3"/>
  <c r="E420" i="3"/>
  <c r="E467" i="3"/>
  <c r="E372" i="3"/>
  <c r="E279" i="3"/>
  <c r="E105" i="3"/>
  <c r="E224" i="3"/>
  <c r="E24" i="3"/>
  <c r="E538" i="3"/>
  <c r="E524" i="3"/>
  <c r="E106" i="3"/>
  <c r="E378" i="3"/>
  <c r="E140" i="3"/>
  <c r="E289" i="3"/>
  <c r="O6" i="3"/>
  <c r="E370" i="3"/>
  <c r="E491" i="3"/>
  <c r="E56" i="3"/>
  <c r="X6" i="3"/>
  <c r="E151" i="3"/>
  <c r="E332" i="3"/>
  <c r="E73" i="3"/>
  <c r="E513" i="3"/>
  <c r="E362" i="3"/>
  <c r="E396" i="3"/>
  <c r="E167" i="3"/>
  <c r="E273" i="3"/>
  <c r="E155" i="3"/>
  <c r="E380" i="3"/>
  <c r="E368" i="3"/>
  <c r="E356" i="3"/>
  <c r="E487" i="3"/>
  <c r="E16" i="3"/>
  <c r="E94" i="3"/>
  <c r="E327" i="3"/>
  <c r="E520" i="3"/>
  <c r="E454" i="3"/>
  <c r="E127" i="3"/>
  <c r="E337" i="3"/>
  <c r="E443" i="3"/>
  <c r="E82" i="3"/>
  <c r="E222" i="3"/>
  <c r="E492" i="3"/>
  <c r="E209" i="3"/>
  <c r="E408" i="3"/>
  <c r="E280" i="3"/>
  <c r="E297" i="3"/>
  <c r="E192" i="3"/>
  <c r="E375" i="3"/>
  <c r="E131" i="3"/>
  <c r="E89" i="3"/>
  <c r="E100" i="3"/>
  <c r="E30" i="3"/>
  <c r="E32" i="3"/>
  <c r="E399" i="3"/>
  <c r="E80" i="3"/>
  <c r="Q6" i="3"/>
  <c r="E179" i="3"/>
  <c r="E34" i="3"/>
  <c r="AE6" i="3"/>
  <c r="E359" i="3"/>
  <c r="E423" i="3"/>
  <c r="E218" i="3"/>
  <c r="E47" i="3"/>
  <c r="E129" i="3"/>
  <c r="E398" i="3"/>
  <c r="E190" i="3"/>
  <c r="E507" i="3"/>
  <c r="AT6" i="3"/>
  <c r="E402" i="3"/>
  <c r="E116" i="3"/>
  <c r="E486" i="3"/>
  <c r="E145" i="3"/>
  <c r="E243" i="3"/>
  <c r="V6" i="3"/>
  <c r="E58" i="3"/>
  <c r="E121" i="3"/>
  <c r="E419" i="3"/>
  <c r="E433" i="3"/>
  <c r="E76" i="3"/>
  <c r="E188" i="3"/>
  <c r="E530" i="3"/>
  <c r="E493" i="3"/>
  <c r="E246" i="3"/>
  <c r="E432" i="3"/>
  <c r="E210" i="3"/>
  <c r="E35" i="3"/>
  <c r="E118" i="3"/>
  <c r="M6" i="3"/>
  <c r="E376" i="3"/>
  <c r="E343" i="3"/>
  <c r="E148" i="3"/>
  <c r="E363" i="3"/>
  <c r="E257" i="3"/>
  <c r="E204" i="3"/>
  <c r="E308" i="3"/>
  <c r="E160" i="3"/>
  <c r="E239" i="3"/>
  <c r="E319" i="3"/>
  <c r="E50" i="3"/>
  <c r="E15" i="3"/>
  <c r="E122" i="3"/>
  <c r="E446" i="3"/>
  <c r="E387" i="3"/>
  <c r="AP6" i="3"/>
  <c r="E313" i="3"/>
  <c r="E136" i="3"/>
  <c r="E139" i="3"/>
  <c r="U6" i="3"/>
  <c r="E365" i="3"/>
  <c r="AR6" i="3"/>
  <c r="E198" i="3"/>
  <c r="E440" i="3"/>
  <c r="E150" i="3"/>
  <c r="E334" i="3"/>
  <c r="E183" i="3"/>
  <c r="E284" i="3"/>
  <c r="E144" i="3"/>
  <c r="E506" i="3"/>
  <c r="E518" i="3"/>
  <c r="E340" i="3"/>
  <c r="E553" i="3"/>
  <c r="E542" i="3"/>
  <c r="E328" i="3"/>
  <c r="E268" i="3"/>
  <c r="E318" i="3"/>
  <c r="E557" i="3"/>
  <c r="E351" i="3"/>
  <c r="E510" i="3"/>
  <c r="E488" i="3"/>
  <c r="E301" i="3"/>
  <c r="E312" i="3"/>
  <c r="E384" i="3"/>
  <c r="E17" i="3"/>
  <c r="E20" i="3"/>
  <c r="AJ6" i="3"/>
  <c r="J6" i="3"/>
  <c r="T6" i="3"/>
  <c r="AL6" i="3"/>
  <c r="Y6" i="3"/>
  <c r="AB6" i="3"/>
  <c r="AI6" i="3"/>
  <c r="AF6" i="3"/>
  <c r="E373" i="3"/>
  <c r="E381" i="3"/>
  <c r="E69" i="3"/>
  <c r="C102" i="46"/>
  <c r="C104" i="46"/>
  <c r="C106" i="46"/>
  <c r="C107" i="46"/>
  <c r="C105" i="46"/>
  <c r="C103" i="46"/>
  <c r="C109" i="46"/>
  <c r="L102" i="46"/>
  <c r="L106" i="46"/>
  <c r="L107" i="46"/>
  <c r="L103" i="46"/>
  <c r="L105" i="46"/>
  <c r="L104" i="46"/>
  <c r="I102" i="46"/>
  <c r="I106" i="46"/>
  <c r="I109" i="46"/>
  <c r="I103" i="46"/>
  <c r="I107" i="46"/>
  <c r="I105" i="46"/>
  <c r="I104" i="46"/>
  <c r="J105" i="46"/>
  <c r="J106" i="46"/>
  <c r="J107" i="46"/>
  <c r="J103" i="46"/>
  <c r="J104" i="46"/>
  <c r="J102" i="46"/>
  <c r="J109" i="46"/>
  <c r="E106" i="46"/>
  <c r="E102" i="46"/>
  <c r="E105" i="46"/>
  <c r="E109" i="46"/>
  <c r="E104" i="46"/>
  <c r="E103" i="46"/>
  <c r="E107" i="46"/>
  <c r="E309" i="3"/>
  <c r="E517" i="3"/>
  <c r="E65" i="39"/>
  <c r="E60" i="40"/>
  <c r="H7" i="34"/>
  <c r="AB7" i="34" s="1"/>
  <c r="T49" i="34" s="1"/>
  <c r="G49" i="34" s="1"/>
  <c r="H12" i="39"/>
  <c r="J12" i="40"/>
  <c r="D5" i="69"/>
  <c r="U7" i="1" s="1"/>
  <c r="E477" i="3"/>
  <c r="E549" i="3"/>
  <c r="M103" i="46"/>
  <c r="M109" i="46"/>
  <c r="M102" i="46"/>
  <c r="M104" i="46"/>
  <c r="M106" i="46"/>
  <c r="M105" i="46"/>
  <c r="M107" i="46"/>
  <c r="N105" i="46"/>
  <c r="N103" i="46"/>
  <c r="N109" i="46"/>
  <c r="N106" i="46"/>
  <c r="N102" i="46"/>
  <c r="N107" i="46"/>
  <c r="N104" i="46"/>
  <c r="F106" i="46"/>
  <c r="F103" i="46"/>
  <c r="F109" i="46"/>
  <c r="F102" i="46"/>
  <c r="F105" i="46"/>
  <c r="F107" i="46"/>
  <c r="F104" i="46"/>
  <c r="E181" i="3"/>
  <c r="E317" i="3"/>
  <c r="E389" i="3"/>
  <c r="E67" i="39"/>
  <c r="E62" i="40"/>
  <c r="E72" i="39"/>
  <c r="F70" i="39"/>
  <c r="E357" i="3"/>
  <c r="U19" i="39"/>
  <c r="AB19" i="39"/>
  <c r="E85" i="3"/>
  <c r="E67" i="40"/>
  <c r="F65" i="40"/>
  <c r="E261" i="3"/>
  <c r="E149" i="3"/>
  <c r="E541" i="3"/>
  <c r="E229" i="3"/>
  <c r="J8" i="44"/>
  <c r="J6" i="15"/>
  <c r="J5" i="15" s="1"/>
  <c r="E64" i="39"/>
  <c r="E59" i="40"/>
  <c r="AZ5" i="3"/>
  <c r="F12" i="40"/>
  <c r="J12" i="39"/>
  <c r="W12" i="39" s="1"/>
  <c r="K26" i="6"/>
  <c r="M26" i="6" s="1"/>
  <c r="I26" i="6" s="1"/>
  <c r="S26" i="6" s="1"/>
  <c r="K20" i="6"/>
  <c r="K25" i="6"/>
  <c r="M25" i="6" s="1"/>
  <c r="I25" i="6" s="1"/>
  <c r="S25" i="6" s="1"/>
  <c r="K22" i="6"/>
  <c r="M22" i="6" s="1"/>
  <c r="I22" i="6" s="1"/>
  <c r="S22" i="6" s="1"/>
  <c r="K24" i="6"/>
  <c r="M24" i="6" s="1"/>
  <c r="I24" i="6" s="1"/>
  <c r="S24" i="6" s="1"/>
  <c r="K23" i="6"/>
  <c r="M23" i="6" s="1"/>
  <c r="I23" i="6" s="1"/>
  <c r="S23" i="6" s="1"/>
  <c r="K19" i="6"/>
  <c r="K21" i="6"/>
  <c r="M21" i="6" s="1"/>
  <c r="I21" i="6" s="1"/>
  <c r="S21" i="6" s="1"/>
  <c r="E30" i="6"/>
  <c r="K14" i="1"/>
  <c r="E93" i="3"/>
  <c r="E37" i="3"/>
  <c r="F27" i="6"/>
  <c r="F31" i="6" s="1"/>
  <c r="E58" i="39"/>
  <c r="E16" i="6"/>
  <c r="E53" i="40"/>
  <c r="E157" i="3"/>
  <c r="D43" i="59"/>
  <c r="T43" i="59"/>
  <c r="E213" i="3"/>
  <c r="E293" i="3"/>
  <c r="E445" i="3"/>
  <c r="E277" i="3"/>
  <c r="E485" i="3"/>
  <c r="C47" i="15"/>
  <c r="C59" i="15" s="1"/>
  <c r="Q74" i="15"/>
  <c r="Q67" i="15"/>
  <c r="C19" i="11"/>
  <c r="E245" i="3"/>
  <c r="E253" i="3"/>
  <c r="E453" i="3"/>
  <c r="C7" i="44"/>
  <c r="C40" i="44" s="1"/>
  <c r="F7" i="34"/>
  <c r="F24" i="43"/>
  <c r="C26" i="43" s="1"/>
  <c r="D24" i="43" s="1"/>
  <c r="F18" i="11"/>
  <c r="C18" i="11" s="1"/>
  <c r="F33" i="12"/>
  <c r="C34" i="12" s="1"/>
  <c r="D33" i="12" s="1"/>
  <c r="E117" i="3"/>
  <c r="E125" i="3"/>
  <c r="E325" i="3"/>
  <c r="E349" i="3"/>
  <c r="E421" i="3"/>
  <c r="G107" i="46"/>
  <c r="G106" i="46"/>
  <c r="G105" i="46"/>
  <c r="G104" i="46"/>
  <c r="G103" i="46"/>
  <c r="G102" i="46"/>
  <c r="G109" i="46"/>
  <c r="H105" i="46"/>
  <c r="H107" i="46"/>
  <c r="H104" i="46"/>
  <c r="H103" i="46"/>
  <c r="H106" i="46"/>
  <c r="H109" i="46"/>
  <c r="H102" i="46"/>
  <c r="E565" i="3"/>
  <c r="E53" i="3"/>
  <c r="E189" i="3"/>
  <c r="E133" i="3"/>
  <c r="E58" i="40"/>
  <c r="E63" i="39"/>
  <c r="AA19" i="39"/>
  <c r="S19" i="39"/>
  <c r="E469" i="3"/>
  <c r="E31" i="6"/>
  <c r="E533" i="3"/>
  <c r="E21" i="3"/>
  <c r="E285" i="3"/>
  <c r="E101" i="3"/>
  <c r="I42" i="35"/>
  <c r="J42" i="35" s="1"/>
  <c r="R49" i="33"/>
  <c r="E48" i="33"/>
  <c r="U7" i="34"/>
  <c r="G46" i="36"/>
  <c r="H46" i="36" s="1"/>
  <c r="I46" i="36" s="1"/>
  <c r="J46" i="36" s="1"/>
  <c r="K46" i="36" s="1"/>
  <c r="L46" i="36" s="1"/>
  <c r="M46" i="36" s="1"/>
  <c r="N46" i="36" s="1"/>
  <c r="O46" i="36" s="1"/>
  <c r="F7" i="36"/>
  <c r="H7" i="36"/>
  <c r="AA7" i="34"/>
  <c r="R49" i="34" s="1"/>
  <c r="S7" i="34"/>
  <c r="G52" i="33"/>
  <c r="H52" i="33" s="1"/>
  <c r="G53" i="33"/>
  <c r="H53" i="33" s="1"/>
  <c r="AB7" i="21"/>
  <c r="T48" i="21" s="1"/>
  <c r="G48" i="21" s="1"/>
  <c r="U7" i="21"/>
  <c r="AB12" i="39"/>
  <c r="U12" i="39"/>
  <c r="AA12" i="39"/>
  <c r="S12" i="39"/>
  <c r="AC12" i="40"/>
  <c r="W12" i="40"/>
  <c r="W7" i="37"/>
  <c r="AC7" i="37"/>
  <c r="V42" i="37" s="1"/>
  <c r="I42" i="37" s="1"/>
  <c r="J7" i="36"/>
  <c r="AC7" i="21"/>
  <c r="V48" i="21" s="1"/>
  <c r="I48" i="21" s="1"/>
  <c r="W7" i="21"/>
  <c r="AA7" i="35"/>
  <c r="R38" i="35" s="1"/>
  <c r="S7" i="35"/>
  <c r="G42" i="35"/>
  <c r="H42" i="35" s="1"/>
  <c r="G43" i="35"/>
  <c r="H43" i="35" s="1"/>
  <c r="I53" i="33"/>
  <c r="J53" i="33" s="1"/>
  <c r="I52" i="33"/>
  <c r="J52" i="33" s="1"/>
  <c r="E42" i="37"/>
  <c r="R43" i="37"/>
  <c r="J7" i="34"/>
  <c r="S7" i="21"/>
  <c r="AA7" i="21"/>
  <c r="R48" i="21" s="1"/>
  <c r="AA12" i="40"/>
  <c r="S12" i="40"/>
  <c r="AB12" i="40"/>
  <c r="U12" i="40"/>
  <c r="AC12" i="39"/>
  <c r="C39" i="46"/>
  <c r="C35" i="46"/>
  <c r="T10" i="46"/>
  <c r="V10" i="46" s="1"/>
  <c r="T14" i="46"/>
  <c r="V14" i="46" s="1"/>
  <c r="T9" i="46"/>
  <c r="V9" i="46" s="1"/>
  <c r="T13" i="46"/>
  <c r="V13" i="46" s="1"/>
  <c r="C38" i="46"/>
  <c r="C34" i="46"/>
  <c r="T3" i="46"/>
  <c r="V3" i="46" s="1"/>
  <c r="T2" i="46"/>
  <c r="V2" i="46" s="1"/>
  <c r="T5" i="46"/>
  <c r="V5" i="46" s="1"/>
  <c r="T6" i="46"/>
  <c r="V6" i="46" s="1"/>
  <c r="T7" i="46"/>
  <c r="V7" i="46" s="1"/>
  <c r="T4" i="46"/>
  <c r="V4" i="46" s="1"/>
  <c r="C37" i="46"/>
  <c r="C36" i="46"/>
  <c r="T12" i="46"/>
  <c r="V12" i="46" s="1"/>
  <c r="T11" i="46"/>
  <c r="V11" i="46" s="1"/>
  <c r="C29" i="46"/>
  <c r="C33" i="46"/>
  <c r="T8" i="46"/>
  <c r="V8" i="46" s="1"/>
  <c r="T16" i="46"/>
  <c r="V16" i="46" s="1"/>
  <c r="T15" i="46"/>
  <c r="V15" i="46" s="1"/>
  <c r="G47" i="37"/>
  <c r="H47" i="37" s="1"/>
  <c r="G46" i="37"/>
  <c r="H46" i="37" s="1"/>
  <c r="C34" i="44"/>
  <c r="F24" i="15"/>
  <c r="C24" i="15" s="1"/>
  <c r="F26" i="44"/>
  <c r="C26" i="44" s="1"/>
  <c r="F21" i="43"/>
  <c r="F26" i="12"/>
  <c r="C27" i="12" s="1"/>
  <c r="D26" i="12" s="1"/>
  <c r="C32" i="12" s="1"/>
  <c r="D30" i="12" s="1"/>
  <c r="C20" i="11"/>
  <c r="C21" i="11" s="1"/>
  <c r="C22" i="11" s="1"/>
  <c r="C23" i="11" s="1"/>
  <c r="B2" i="11" s="1"/>
  <c r="F41" i="15"/>
  <c r="F6" i="15"/>
  <c r="L52" i="44"/>
  <c r="F31" i="15"/>
  <c r="J24" i="15" l="1"/>
  <c r="J18" i="15"/>
  <c r="C65" i="15"/>
  <c r="C60" i="15"/>
  <c r="J7" i="44"/>
  <c r="J28" i="44" s="1"/>
  <c r="J31" i="44" s="1"/>
  <c r="Q49" i="44" s="1"/>
  <c r="Q55" i="44" s="1"/>
  <c r="J26" i="15"/>
  <c r="J29" i="15" s="1"/>
  <c r="C6" i="15"/>
  <c r="C10" i="15" s="1"/>
  <c r="C5" i="15" s="1"/>
  <c r="C33" i="15" s="1"/>
  <c r="F67" i="40"/>
  <c r="G65" i="40"/>
  <c r="E68" i="39"/>
  <c r="AY6" i="3"/>
  <c r="E3" i="6"/>
  <c r="G70" i="39"/>
  <c r="F72" i="39"/>
  <c r="AC6" i="3"/>
  <c r="C115" i="46"/>
  <c r="D113" i="46" s="1"/>
  <c r="J26" i="44"/>
  <c r="S6" i="1"/>
  <c r="S16" i="1" s="1"/>
  <c r="M19" i="6"/>
  <c r="K27" i="6"/>
  <c r="J20" i="44"/>
  <c r="M14" i="1"/>
  <c r="K16" i="1"/>
  <c r="M20" i="6"/>
  <c r="I20" i="6" s="1"/>
  <c r="S20" i="6" s="1"/>
  <c r="S7" i="1"/>
  <c r="H6" i="3"/>
  <c r="P7" i="1"/>
  <c r="AC7" i="34"/>
  <c r="V49" i="34" s="1"/>
  <c r="I49" i="34" s="1"/>
  <c r="W7" i="34"/>
  <c r="E46" i="37"/>
  <c r="F46" i="37" s="1"/>
  <c r="E47" i="37"/>
  <c r="F47" i="37" s="1"/>
  <c r="E29" i="46"/>
  <c r="C30" i="46"/>
  <c r="E30" i="46" s="1"/>
  <c r="E37" i="46"/>
  <c r="G37" i="46"/>
  <c r="I37" i="46" s="1"/>
  <c r="G38" i="46"/>
  <c r="I38" i="46" s="1"/>
  <c r="E38" i="46"/>
  <c r="E39" i="46"/>
  <c r="G39" i="46"/>
  <c r="I39" i="46" s="1"/>
  <c r="C42" i="37"/>
  <c r="C43" i="37"/>
  <c r="B3" i="37" s="1"/>
  <c r="B2" i="37" s="1"/>
  <c r="E38" i="35"/>
  <c r="R39" i="35"/>
  <c r="I52" i="21"/>
  <c r="J52" i="21" s="1"/>
  <c r="I46" i="37"/>
  <c r="J46" i="37" s="1"/>
  <c r="I47" i="37"/>
  <c r="J47" i="37" s="1"/>
  <c r="AB7" i="36"/>
  <c r="T36" i="36" s="1"/>
  <c r="G36" i="36" s="1"/>
  <c r="U7" i="36"/>
  <c r="C49" i="33"/>
  <c r="B3" i="33" s="1"/>
  <c r="B2" i="33" s="1"/>
  <c r="C48" i="33"/>
  <c r="G33" i="46"/>
  <c r="I33" i="46" s="1"/>
  <c r="E33" i="46"/>
  <c r="G36" i="46"/>
  <c r="I36" i="46" s="1"/>
  <c r="E36" i="46"/>
  <c r="G34" i="46"/>
  <c r="I34" i="46" s="1"/>
  <c r="E34" i="46"/>
  <c r="G35" i="46"/>
  <c r="I35" i="46" s="1"/>
  <c r="E35" i="46"/>
  <c r="E48" i="21"/>
  <c r="R49" i="21"/>
  <c r="AC7" i="36"/>
  <c r="V36" i="36" s="1"/>
  <c r="I36" i="36" s="1"/>
  <c r="W7" i="36"/>
  <c r="G53" i="21"/>
  <c r="H53" i="21" s="1"/>
  <c r="G52" i="21"/>
  <c r="H52" i="21" s="1"/>
  <c r="R50" i="34"/>
  <c r="E49" i="34"/>
  <c r="AA7" i="36"/>
  <c r="R36" i="36" s="1"/>
  <c r="S7" i="36"/>
  <c r="G53" i="34"/>
  <c r="H53" i="34" s="1"/>
  <c r="G54" i="34"/>
  <c r="H54" i="34" s="1"/>
  <c r="E53" i="33"/>
  <c r="F53" i="33" s="1"/>
  <c r="E52" i="33"/>
  <c r="F52" i="33" s="1"/>
  <c r="F68" i="15"/>
  <c r="Q69" i="44"/>
  <c r="L58" i="44"/>
  <c r="L61" i="44" s="1"/>
  <c r="B3" i="11"/>
  <c r="C23" i="43"/>
  <c r="D21" i="43" s="1"/>
  <c r="F7" i="67"/>
  <c r="C17" i="15"/>
  <c r="Q58" i="44" l="1"/>
  <c r="Q67" i="44"/>
  <c r="T11" i="1"/>
  <c r="T13" i="1"/>
  <c r="T9" i="1"/>
  <c r="O14" i="1"/>
  <c r="O16" i="1" s="1"/>
  <c r="T8" i="1"/>
  <c r="T7" i="1"/>
  <c r="T10" i="1"/>
  <c r="T6" i="1"/>
  <c r="T16" i="1" s="1"/>
  <c r="T12" i="1"/>
  <c r="M16" i="1"/>
  <c r="C38" i="15"/>
  <c r="H65" i="40"/>
  <c r="G67" i="40"/>
  <c r="E6" i="3"/>
  <c r="D3" i="6"/>
  <c r="AY135" i="3"/>
  <c r="AY119" i="3"/>
  <c r="AY536" i="3"/>
  <c r="AY464" i="3"/>
  <c r="AY89" i="3"/>
  <c r="BJ6" i="3"/>
  <c r="AY535" i="3"/>
  <c r="AY473" i="3"/>
  <c r="AY253" i="3"/>
  <c r="AY507" i="3"/>
  <c r="AY354" i="3"/>
  <c r="AY165" i="3"/>
  <c r="AY306" i="3"/>
  <c r="AY48" i="3"/>
  <c r="AY81" i="3"/>
  <c r="AY499" i="3"/>
  <c r="AY514" i="3"/>
  <c r="AY298" i="3"/>
  <c r="AY502" i="3"/>
  <c r="AY327" i="3"/>
  <c r="AY338" i="3"/>
  <c r="BB6" i="3"/>
  <c r="AY330" i="3"/>
  <c r="AY450" i="3"/>
  <c r="AY70" i="3"/>
  <c r="AY202" i="3"/>
  <c r="AY168" i="3"/>
  <c r="AY230" i="3"/>
  <c r="AY420" i="3"/>
  <c r="AY157" i="3"/>
  <c r="AY516" i="3"/>
  <c r="AY538" i="3"/>
  <c r="AY557" i="3"/>
  <c r="AY418" i="3"/>
  <c r="AY289" i="3"/>
  <c r="AY130" i="3"/>
  <c r="AY285" i="3"/>
  <c r="BR6" i="3"/>
  <c r="AY355" i="3"/>
  <c r="AY492" i="3"/>
  <c r="AY163" i="3"/>
  <c r="AY417" i="3"/>
  <c r="AY546" i="3"/>
  <c r="AY152" i="3"/>
  <c r="AY107" i="3"/>
  <c r="AY239" i="3"/>
  <c r="AY24" i="3"/>
  <c r="AY493" i="3"/>
  <c r="AY292" i="3"/>
  <c r="AY125" i="3"/>
  <c r="AY16" i="3"/>
  <c r="AY532" i="3"/>
  <c r="AY496" i="3"/>
  <c r="AY426" i="3"/>
  <c r="AY173" i="3"/>
  <c r="AY352" i="3"/>
  <c r="AY364" i="3"/>
  <c r="AY260" i="3"/>
  <c r="AY252" i="3"/>
  <c r="AY362" i="3"/>
  <c r="AY195" i="3"/>
  <c r="AY444" i="3"/>
  <c r="AY451" i="3"/>
  <c r="AY273" i="3"/>
  <c r="AY457" i="3"/>
  <c r="AY269" i="3"/>
  <c r="AY515" i="3"/>
  <c r="AY366" i="3"/>
  <c r="AY400" i="3"/>
  <c r="AY272" i="3"/>
  <c r="AY442" i="3"/>
  <c r="AY99" i="3"/>
  <c r="AY40" i="3"/>
  <c r="AY322" i="3"/>
  <c r="AY189" i="3"/>
  <c r="BO6" i="3"/>
  <c r="AY210" i="3"/>
  <c r="AY240" i="3"/>
  <c r="AY506" i="3"/>
  <c r="AY559" i="3"/>
  <c r="AY375" i="3"/>
  <c r="AY153" i="3"/>
  <c r="AY78" i="3"/>
  <c r="AY20" i="3"/>
  <c r="AY247" i="3"/>
  <c r="AY112" i="3"/>
  <c r="AY35" i="3"/>
  <c r="AY94" i="3"/>
  <c r="AY278" i="3"/>
  <c r="AY51" i="3"/>
  <c r="AY523" i="3"/>
  <c r="AY102" i="3"/>
  <c r="AY479" i="3"/>
  <c r="BE6" i="3"/>
  <c r="AY196" i="3"/>
  <c r="AY237" i="3"/>
  <c r="AY279" i="3"/>
  <c r="AY263" i="3"/>
  <c r="AY403" i="3"/>
  <c r="AY377" i="3"/>
  <c r="AY419" i="3"/>
  <c r="AY296" i="3"/>
  <c r="AY449" i="3"/>
  <c r="AY155" i="3"/>
  <c r="AY64" i="3"/>
  <c r="AY315" i="3"/>
  <c r="AY542" i="3"/>
  <c r="AY188" i="3"/>
  <c r="AY236" i="3"/>
  <c r="AY436" i="3"/>
  <c r="AY478" i="3"/>
  <c r="AY56" i="3"/>
  <c r="AY133" i="3"/>
  <c r="AY497" i="3"/>
  <c r="AY505" i="3"/>
  <c r="AY390" i="3"/>
  <c r="AY287" i="3"/>
  <c r="AY66" i="3"/>
  <c r="AY527" i="3"/>
  <c r="AY500" i="3"/>
  <c r="AY268" i="3"/>
  <c r="AY193" i="3"/>
  <c r="AY167" i="3"/>
  <c r="AY525" i="3"/>
  <c r="AY228" i="3"/>
  <c r="AY301" i="3"/>
  <c r="AY522" i="3"/>
  <c r="AY438" i="3"/>
  <c r="AY423" i="3"/>
  <c r="AY571" i="3"/>
  <c r="AY331" i="3"/>
  <c r="AY235" i="3"/>
  <c r="AY54" i="3"/>
  <c r="AY91" i="3"/>
  <c r="AY302" i="3"/>
  <c r="BL6" i="3"/>
  <c r="AY548" i="3"/>
  <c r="AY340" i="3"/>
  <c r="AY429" i="3"/>
  <c r="AY481" i="3"/>
  <c r="AY281" i="3"/>
  <c r="AY363" i="3"/>
  <c r="AY433" i="3"/>
  <c r="AY60" i="3"/>
  <c r="AY71" i="3"/>
  <c r="AY344" i="3"/>
  <c r="AY447" i="3"/>
  <c r="AY174" i="3"/>
  <c r="AY553" i="3"/>
  <c r="AY415" i="3"/>
  <c r="AY485" i="3"/>
  <c r="AY388" i="3"/>
  <c r="AY370" i="3"/>
  <c r="AY323" i="3"/>
  <c r="BT6" i="3"/>
  <c r="AY319" i="3"/>
  <c r="AY413" i="3"/>
  <c r="AY166" i="3"/>
  <c r="AY367" i="3"/>
  <c r="BK6" i="3"/>
  <c r="AY65" i="3"/>
  <c r="AY384" i="3"/>
  <c r="AY378" i="3"/>
  <c r="AY156" i="3"/>
  <c r="AY424" i="3"/>
  <c r="AY265" i="3"/>
  <c r="AY530" i="3"/>
  <c r="AY97" i="3"/>
  <c r="AY198" i="3"/>
  <c r="AY77" i="3"/>
  <c r="AY158" i="3"/>
  <c r="AY290" i="3"/>
  <c r="AY100" i="3"/>
  <c r="AY126" i="3"/>
  <c r="AY291" i="3"/>
  <c r="AY411" i="3"/>
  <c r="AY187" i="3"/>
  <c r="AY271" i="3"/>
  <c r="AY445" i="3"/>
  <c r="AY200" i="3"/>
  <c r="AY335" i="3"/>
  <c r="AY111" i="3"/>
  <c r="AY463" i="3"/>
  <c r="AY149" i="3"/>
  <c r="AY209" i="3"/>
  <c r="AY21" i="3"/>
  <c r="AY437" i="3"/>
  <c r="AY359" i="3"/>
  <c r="AY254" i="3"/>
  <c r="AY250" i="3"/>
  <c r="AY486" i="3"/>
  <c r="AY67" i="3"/>
  <c r="AY159" i="3"/>
  <c r="AY105" i="3"/>
  <c r="AY293" i="3"/>
  <c r="AY386" i="3"/>
  <c r="AY53" i="3"/>
  <c r="AY98" i="3"/>
  <c r="AY232" i="3"/>
  <c r="AY409" i="3"/>
  <c r="AY171" i="3"/>
  <c r="AY365" i="3"/>
  <c r="AY471" i="3"/>
  <c r="AY138" i="3"/>
  <c r="AY316" i="3"/>
  <c r="AY29" i="3"/>
  <c r="AY476" i="3"/>
  <c r="AY170" i="3"/>
  <c r="AY234" i="3"/>
  <c r="AY103" i="3"/>
  <c r="AY513" i="3"/>
  <c r="AY517" i="3"/>
  <c r="AY526" i="3"/>
  <c r="AY511" i="3"/>
  <c r="AY477" i="3"/>
  <c r="AY470" i="3"/>
  <c r="AY300" i="3"/>
  <c r="AY521" i="3"/>
  <c r="AY61" i="3"/>
  <c r="AY372" i="3"/>
  <c r="AY454" i="3"/>
  <c r="AY164" i="3"/>
  <c r="AY468" i="3"/>
  <c r="AY79" i="3"/>
  <c r="AY251" i="3"/>
  <c r="AY201" i="3"/>
  <c r="AY376" i="3"/>
  <c r="AY264" i="3"/>
  <c r="AY241" i="3"/>
  <c r="AY132" i="3"/>
  <c r="BD6" i="3"/>
  <c r="AY534" i="3"/>
  <c r="AY387" i="3"/>
  <c r="AY512" i="3"/>
  <c r="AY404" i="3"/>
  <c r="AY563" i="3"/>
  <c r="AY484" i="3"/>
  <c r="AY385" i="3"/>
  <c r="AY186" i="3"/>
  <c r="AY519" i="3"/>
  <c r="AY458" i="3"/>
  <c r="AY407" i="3"/>
  <c r="AY27" i="3"/>
  <c r="BH6" i="3"/>
  <c r="AY62" i="3"/>
  <c r="AY482" i="3"/>
  <c r="AY373" i="3"/>
  <c r="AY23" i="3"/>
  <c r="AY342" i="3"/>
  <c r="AY554" i="3"/>
  <c r="AY487" i="3"/>
  <c r="AY421" i="3"/>
  <c r="AY134" i="3"/>
  <c r="AY568" i="3"/>
  <c r="AY543" i="3"/>
  <c r="AY389" i="3"/>
  <c r="AY425" i="3"/>
  <c r="AY226" i="3"/>
  <c r="AY101" i="3"/>
  <c r="AY207" i="3"/>
  <c r="AY495" i="3"/>
  <c r="AY545" i="3"/>
  <c r="AY490" i="3"/>
  <c r="AY440" i="3"/>
  <c r="AY223" i="3"/>
  <c r="AY185" i="3"/>
  <c r="AY351" i="3"/>
  <c r="AY480" i="3"/>
  <c r="AY503" i="3"/>
  <c r="AY244" i="3"/>
  <c r="AY456" i="3"/>
  <c r="AY32" i="3"/>
  <c r="AY245" i="3"/>
  <c r="AY221" i="3"/>
  <c r="AY396" i="3"/>
  <c r="AY211" i="3"/>
  <c r="AY446" i="3"/>
  <c r="AY283" i="3"/>
  <c r="AY348" i="3"/>
  <c r="AY343" i="3"/>
  <c r="AY75" i="3"/>
  <c r="AY430" i="3"/>
  <c r="AY369" i="3"/>
  <c r="AY224" i="3"/>
  <c r="AY560" i="3"/>
  <c r="AY549" i="3"/>
  <c r="AY88" i="3"/>
  <c r="AY129" i="3"/>
  <c r="AY104" i="3"/>
  <c r="AY259" i="3"/>
  <c r="AY368" i="3"/>
  <c r="AY83" i="3"/>
  <c r="AY45" i="3"/>
  <c r="AY383" i="3"/>
  <c r="AY408" i="3"/>
  <c r="AY117" i="3"/>
  <c r="AY123" i="3"/>
  <c r="AY183" i="3"/>
  <c r="AY337" i="3"/>
  <c r="AY25" i="3"/>
  <c r="AY326" i="3"/>
  <c r="AY49" i="3"/>
  <c r="AY118" i="3"/>
  <c r="AY13" i="3"/>
  <c r="AY321" i="3"/>
  <c r="AY197" i="3"/>
  <c r="AY459" i="3"/>
  <c r="AY416" i="3"/>
  <c r="AY82" i="3"/>
  <c r="AY41" i="3"/>
  <c r="AY128" i="3"/>
  <c r="AY36" i="3"/>
  <c r="AY246" i="3"/>
  <c r="AY333" i="3"/>
  <c r="AY73" i="3"/>
  <c r="AY57" i="3"/>
  <c r="AY349" i="3"/>
  <c r="AY392" i="3"/>
  <c r="AY176" i="3"/>
  <c r="AY44" i="3"/>
  <c r="AY288" i="3"/>
  <c r="AY318" i="3"/>
  <c r="AY147" i="3"/>
  <c r="AY324" i="3"/>
  <c r="AY422" i="3"/>
  <c r="AY31" i="3"/>
  <c r="AY42" i="3"/>
  <c r="AY297" i="3"/>
  <c r="AY121" i="3"/>
  <c r="AY345" i="3"/>
  <c r="AY441" i="3"/>
  <c r="AY439" i="3"/>
  <c r="AY19" i="3"/>
  <c r="AY231" i="3"/>
  <c r="AY255" i="3"/>
  <c r="AY33" i="3"/>
  <c r="AY124" i="3"/>
  <c r="AY175" i="3"/>
  <c r="AY177" i="3"/>
  <c r="BI6" i="3"/>
  <c r="AY213" i="3"/>
  <c r="AY284" i="3"/>
  <c r="AY212" i="3"/>
  <c r="AY412" i="3"/>
  <c r="AY550" i="3"/>
  <c r="AY398" i="3"/>
  <c r="AY435" i="3"/>
  <c r="AY382" i="3"/>
  <c r="AY308" i="3"/>
  <c r="AY567" i="3"/>
  <c r="AY113" i="3"/>
  <c r="AY410" i="3"/>
  <c r="AY93" i="3"/>
  <c r="AY357" i="3"/>
  <c r="AY17" i="3"/>
  <c r="AY15" i="3"/>
  <c r="AY222" i="3"/>
  <c r="AY325" i="3"/>
  <c r="AY489" i="3"/>
  <c r="AY140" i="3"/>
  <c r="BN6" i="3"/>
  <c r="AY86" i="3"/>
  <c r="AY452" i="3"/>
  <c r="AY533" i="3"/>
  <c r="AY564" i="3"/>
  <c r="AY474" i="3"/>
  <c r="AY243" i="3"/>
  <c r="AY215" i="3"/>
  <c r="AY256" i="3"/>
  <c r="AY509" i="3"/>
  <c r="AY205" i="3"/>
  <c r="AY334" i="3"/>
  <c r="AY312" i="3"/>
  <c r="AY488" i="3"/>
  <c r="BC6" i="3"/>
  <c r="AY294" i="3"/>
  <c r="AY286" i="3"/>
  <c r="AY346" i="3"/>
  <c r="AY305" i="3"/>
  <c r="AY572" i="3"/>
  <c r="AY267" i="3"/>
  <c r="AY393" i="3"/>
  <c r="AY547" i="3"/>
  <c r="AY190" i="3"/>
  <c r="AY483" i="3"/>
  <c r="AY328" i="3"/>
  <c r="AY90" i="3"/>
  <c r="AY208" i="3"/>
  <c r="AY399" i="3"/>
  <c r="AY565" i="3"/>
  <c r="AY137" i="3"/>
  <c r="AY531" i="3"/>
  <c r="AY360" i="3"/>
  <c r="AY151" i="3"/>
  <c r="BQ6" i="3"/>
  <c r="AY184" i="3"/>
  <c r="AY225" i="3"/>
  <c r="AY453" i="3"/>
  <c r="AY115" i="3"/>
  <c r="AY238" i="3"/>
  <c r="AY181" i="3"/>
  <c r="AY14" i="3"/>
  <c r="AY266" i="3"/>
  <c r="AY50" i="3"/>
  <c r="AY55" i="3"/>
  <c r="AY87" i="3"/>
  <c r="AY109" i="3"/>
  <c r="AY142" i="3"/>
  <c r="AY34" i="3"/>
  <c r="AY218" i="3"/>
  <c r="AY47" i="3"/>
  <c r="AY106" i="3"/>
  <c r="AY361" i="3"/>
  <c r="AY414" i="3"/>
  <c r="AY304" i="3"/>
  <c r="AY38" i="3"/>
  <c r="AY558" i="3"/>
  <c r="AY120" i="3"/>
  <c r="AY397" i="3"/>
  <c r="AY92" i="3"/>
  <c r="AY282" i="3"/>
  <c r="AY394" i="3"/>
  <c r="AY160" i="3"/>
  <c r="AY58" i="3"/>
  <c r="AY179" i="3"/>
  <c r="AY275" i="3"/>
  <c r="AY556" i="3"/>
  <c r="AY136" i="3"/>
  <c r="AY472" i="3"/>
  <c r="AY233" i="3"/>
  <c r="AY131" i="3"/>
  <c r="AY520" i="3"/>
  <c r="AY214" i="3"/>
  <c r="AY204" i="3"/>
  <c r="AY462" i="3"/>
  <c r="AY332" i="3"/>
  <c r="AY541" i="3"/>
  <c r="AY570" i="3"/>
  <c r="AY336" i="3"/>
  <c r="AY469" i="3"/>
  <c r="AY84" i="3"/>
  <c r="AY494" i="3"/>
  <c r="AY467" i="3"/>
  <c r="AY30" i="3"/>
  <c r="AY528" i="3"/>
  <c r="AY192" i="3"/>
  <c r="AY68" i="3"/>
  <c r="AY540" i="3"/>
  <c r="AY242" i="3"/>
  <c r="AY552" i="3"/>
  <c r="AY320" i="3"/>
  <c r="AY347" i="3"/>
  <c r="BG6" i="3"/>
  <c r="AY143" i="3"/>
  <c r="AY551" i="3"/>
  <c r="AY43" i="3"/>
  <c r="AY380" i="3"/>
  <c r="AY374" i="3"/>
  <c r="AY356" i="3"/>
  <c r="AY510" i="3"/>
  <c r="AY154" i="3"/>
  <c r="AY309" i="3"/>
  <c r="AY114" i="3"/>
  <c r="AY227" i="3"/>
  <c r="AY379" i="3"/>
  <c r="AY544" i="3"/>
  <c r="AY310" i="3"/>
  <c r="AY80" i="3"/>
  <c r="AY274" i="3"/>
  <c r="AY74" i="3"/>
  <c r="AY96" i="3"/>
  <c r="AY329" i="3"/>
  <c r="AY206" i="3"/>
  <c r="AY249" i="3"/>
  <c r="AY427" i="3"/>
  <c r="AY194" i="3"/>
  <c r="AY508" i="3"/>
  <c r="AY491" i="3"/>
  <c r="AY295" i="3"/>
  <c r="AY391" i="3"/>
  <c r="AY59" i="3"/>
  <c r="AY524" i="3"/>
  <c r="AY110" i="3"/>
  <c r="AY353" i="3"/>
  <c r="AY307" i="3"/>
  <c r="AY258" i="3"/>
  <c r="AY555" i="3"/>
  <c r="AY276" i="3"/>
  <c r="AY434" i="3"/>
  <c r="AY313" i="3"/>
  <c r="AY220" i="3"/>
  <c r="BF6" i="3"/>
  <c r="AY461" i="3"/>
  <c r="AY431" i="3"/>
  <c r="AY180" i="3"/>
  <c r="AY18" i="3"/>
  <c r="AY428" i="3"/>
  <c r="AY475" i="3"/>
  <c r="AY139" i="3"/>
  <c r="AY501" i="3"/>
  <c r="AY455" i="3"/>
  <c r="AY299" i="3"/>
  <c r="AY498" i="3"/>
  <c r="AY562" i="3"/>
  <c r="AY72" i="3"/>
  <c r="AY229" i="3"/>
  <c r="AY69" i="3"/>
  <c r="AY248" i="3"/>
  <c r="AY432" i="3"/>
  <c r="AY172" i="3"/>
  <c r="AY381" i="3"/>
  <c r="AY76" i="3"/>
  <c r="AY37" i="3"/>
  <c r="AY216" i="3"/>
  <c r="AY443" i="3"/>
  <c r="AY148" i="3"/>
  <c r="AY146" i="3"/>
  <c r="AY539" i="3"/>
  <c r="AY460" i="3"/>
  <c r="AY116" i="3"/>
  <c r="AY108" i="3"/>
  <c r="AY199" i="3"/>
  <c r="AY127" i="3"/>
  <c r="AY22" i="3"/>
  <c r="AY169" i="3"/>
  <c r="AY85" i="3"/>
  <c r="AY26" i="3"/>
  <c r="AY504" i="3"/>
  <c r="AY28" i="3"/>
  <c r="AY257" i="3"/>
  <c r="AY448" i="3"/>
  <c r="AY341" i="3"/>
  <c r="AY203" i="3"/>
  <c r="AY537" i="3"/>
  <c r="AY46" i="3"/>
  <c r="AY371" i="3"/>
  <c r="AY317" i="3"/>
  <c r="BM6" i="3"/>
  <c r="AY395" i="3"/>
  <c r="BP6" i="3"/>
  <c r="AY303" i="3"/>
  <c r="AY402" i="3"/>
  <c r="AY529" i="3"/>
  <c r="AY280" i="3"/>
  <c r="AY191" i="3"/>
  <c r="AY95" i="3"/>
  <c r="AY219" i="3"/>
  <c r="AY52" i="3"/>
  <c r="AY261" i="3"/>
  <c r="AY270" i="3"/>
  <c r="AY122" i="3"/>
  <c r="AY405" i="3"/>
  <c r="AY339" i="3"/>
  <c r="AY358" i="3"/>
  <c r="AY518" i="3"/>
  <c r="AY406" i="3"/>
  <c r="AY561" i="3"/>
  <c r="AY277" i="3"/>
  <c r="AY145" i="3"/>
  <c r="AY217" i="3"/>
  <c r="AY311" i="3"/>
  <c r="AY465" i="3"/>
  <c r="AY262" i="3"/>
  <c r="AY39" i="3"/>
  <c r="AY401" i="3"/>
  <c r="AY466" i="3"/>
  <c r="AY566" i="3"/>
  <c r="AY161" i="3"/>
  <c r="AY63" i="3"/>
  <c r="AY162" i="3"/>
  <c r="AY350" i="3"/>
  <c r="AY182" i="3"/>
  <c r="BS6" i="3"/>
  <c r="AY141" i="3"/>
  <c r="AY144" i="3"/>
  <c r="BA6" i="3"/>
  <c r="AY314" i="3"/>
  <c r="AY178" i="3"/>
  <c r="AY150" i="3"/>
  <c r="AY569" i="3"/>
  <c r="H70" i="39"/>
  <c r="G72" i="39"/>
  <c r="D10" i="11"/>
  <c r="C21" i="4"/>
  <c r="O5" i="54" s="1"/>
  <c r="B45" i="63" s="1"/>
  <c r="E6" i="6"/>
  <c r="D16" i="43"/>
  <c r="C16" i="43" s="1"/>
  <c r="D45" i="9"/>
  <c r="D16" i="12"/>
  <c r="L38" i="9"/>
  <c r="B14" i="66" s="1"/>
  <c r="B1" i="66" s="1"/>
  <c r="D46" i="9"/>
  <c r="D44" i="9"/>
  <c r="C32" i="15"/>
  <c r="I19" i="6"/>
  <c r="M27" i="6"/>
  <c r="E4" i="67"/>
  <c r="E36" i="36"/>
  <c r="R37" i="36"/>
  <c r="E53" i="34"/>
  <c r="F53" i="34" s="1"/>
  <c r="E54" i="34"/>
  <c r="F54" i="34" s="1"/>
  <c r="C48" i="21"/>
  <c r="C49" i="21"/>
  <c r="B3" i="21" s="1"/>
  <c r="B2" i="21" s="1"/>
  <c r="C49" i="34"/>
  <c r="C50" i="34"/>
  <c r="B3" i="34" s="1"/>
  <c r="B2" i="34" s="1"/>
  <c r="I40" i="36"/>
  <c r="J40" i="36" s="1"/>
  <c r="I41" i="36"/>
  <c r="J41" i="36" s="1"/>
  <c r="E52" i="21"/>
  <c r="F52" i="21" s="1"/>
  <c r="E53" i="21"/>
  <c r="F53" i="21" s="1"/>
  <c r="G40" i="36"/>
  <c r="H40" i="36" s="1"/>
  <c r="G41" i="36"/>
  <c r="H41" i="36" s="1"/>
  <c r="I53" i="21"/>
  <c r="J53" i="21" s="1"/>
  <c r="C39" i="35"/>
  <c r="B3" i="35" s="1"/>
  <c r="B2" i="35" s="1"/>
  <c r="C38" i="35"/>
  <c r="C27" i="46"/>
  <c r="I53" i="34"/>
  <c r="J53" i="34" s="1"/>
  <c r="I54" i="34"/>
  <c r="J54" i="34" s="1"/>
  <c r="E43" i="35"/>
  <c r="F43" i="35" s="1"/>
  <c r="E42" i="35"/>
  <c r="F42" i="35" s="1"/>
  <c r="I43" i="35"/>
  <c r="J43" i="35" s="1"/>
  <c r="C26" i="46"/>
  <c r="Q68" i="44"/>
  <c r="Q77" i="44" s="1"/>
  <c r="Q59" i="44"/>
  <c r="C16" i="44"/>
  <c r="E7" i="67"/>
  <c r="C14" i="15"/>
  <c r="Q64" i="44" l="1"/>
  <c r="C18" i="15"/>
  <c r="C15" i="15"/>
  <c r="C17" i="44"/>
  <c r="C20" i="44"/>
  <c r="I27" i="6"/>
  <c r="S19" i="6"/>
  <c r="S27" i="6" s="1"/>
  <c r="D22" i="12"/>
  <c r="C22" i="12" s="1"/>
  <c r="C20" i="12" s="1"/>
  <c r="D13" i="11"/>
  <c r="C13" i="11" s="1"/>
  <c r="C16" i="12"/>
  <c r="D19" i="12"/>
  <c r="C19" i="12" s="1"/>
  <c r="D19" i="6"/>
  <c r="D21" i="6"/>
  <c r="D23" i="6"/>
  <c r="R23" i="6" s="1"/>
  <c r="D25" i="6"/>
  <c r="D28" i="6"/>
  <c r="D30" i="6" s="1"/>
  <c r="D29" i="6"/>
  <c r="D26" i="6"/>
  <c r="R26" i="6" s="1"/>
  <c r="D24" i="6"/>
  <c r="R24" i="6" s="1"/>
  <c r="D22" i="6"/>
  <c r="D20" i="6"/>
  <c r="H22" i="6"/>
  <c r="E46" i="9"/>
  <c r="H23" i="6"/>
  <c r="C22" i="4"/>
  <c r="D14" i="6"/>
  <c r="D12" i="6"/>
  <c r="D8" i="6"/>
  <c r="E63" i="40"/>
  <c r="D10" i="6"/>
  <c r="D15" i="6"/>
  <c r="D13" i="6"/>
  <c r="H20" i="6"/>
  <c r="H21" i="6"/>
  <c r="H26" i="6"/>
  <c r="D11" i="6"/>
  <c r="F45" i="9"/>
  <c r="H25" i="6"/>
  <c r="E45" i="9"/>
  <c r="K38" i="9"/>
  <c r="C14" i="66" s="1"/>
  <c r="B2" i="66" s="1"/>
  <c r="F46" i="9"/>
  <c r="H19" i="6"/>
  <c r="H27" i="6" s="1"/>
  <c r="D5" i="6"/>
  <c r="D9" i="6"/>
  <c r="C40" i="39"/>
  <c r="E44" i="9"/>
  <c r="F44" i="9"/>
  <c r="H24" i="6"/>
  <c r="D6" i="6"/>
  <c r="B4" i="11"/>
  <c r="B5" i="11"/>
  <c r="P14" i="1"/>
  <c r="P16" i="1" s="1"/>
  <c r="C13" i="12" s="1"/>
  <c r="C7" i="66"/>
  <c r="C8" i="66"/>
  <c r="C6" i="66"/>
  <c r="L16" i="1"/>
  <c r="C13" i="43"/>
  <c r="N16" i="1"/>
  <c r="C29" i="43" s="1"/>
  <c r="I70" i="39"/>
  <c r="H72" i="39"/>
  <c r="I65" i="40"/>
  <c r="H67" i="40"/>
  <c r="E3" i="67"/>
  <c r="B2" i="46"/>
  <c r="E41" i="36"/>
  <c r="F41" i="36" s="1"/>
  <c r="E40" i="36"/>
  <c r="F40" i="36" s="1"/>
  <c r="C36" i="36"/>
  <c r="C37" i="36"/>
  <c r="B3" i="36" s="1"/>
  <c r="B2" i="36" s="1"/>
  <c r="B7" i="67"/>
  <c r="C21" i="44" l="1"/>
  <c r="C22" i="44" s="1"/>
  <c r="C28" i="44" s="1"/>
  <c r="C19" i="15"/>
  <c r="C20" i="15" s="1"/>
  <c r="C26" i="15" s="1"/>
  <c r="J65" i="40"/>
  <c r="I67" i="40"/>
  <c r="C14" i="12"/>
  <c r="C18" i="12" s="1"/>
  <c r="C23" i="12" s="1"/>
  <c r="C17" i="12"/>
  <c r="D7" i="66"/>
  <c r="D8" i="66"/>
  <c r="D6" i="66"/>
  <c r="D16" i="6"/>
  <c r="A20" i="51"/>
  <c r="B15" i="63" s="1"/>
  <c r="A20" i="64"/>
  <c r="A6" i="51"/>
  <c r="B7" i="63" s="1"/>
  <c r="A6" i="64"/>
  <c r="N5" i="54"/>
  <c r="B43" i="63" s="1"/>
  <c r="R20" i="6"/>
  <c r="R7" i="1" s="1"/>
  <c r="R21" i="6"/>
  <c r="R25" i="6"/>
  <c r="C14" i="43"/>
  <c r="C17" i="43"/>
  <c r="J40" i="39"/>
  <c r="F40" i="39"/>
  <c r="H40" i="39"/>
  <c r="J70" i="39"/>
  <c r="I72" i="39"/>
  <c r="R22" i="6"/>
  <c r="D27" i="6"/>
  <c r="D31" i="6" s="1"/>
  <c r="R19" i="6"/>
  <c r="B2" i="67"/>
  <c r="D4" i="46"/>
  <c r="B4" i="46"/>
  <c r="B3" i="46"/>
  <c r="F35" i="15"/>
  <c r="M21" i="15"/>
  <c r="C23" i="15" l="1"/>
  <c r="C29" i="15" s="1"/>
  <c r="J19" i="15" s="1"/>
  <c r="C18" i="43"/>
  <c r="C19" i="43" s="1"/>
  <c r="C25" i="43" s="1"/>
  <c r="C24" i="43" s="1"/>
  <c r="J20" i="15"/>
  <c r="F62" i="15"/>
  <c r="C61" i="15" s="1"/>
  <c r="C58" i="15" s="1"/>
  <c r="C34" i="15"/>
  <c r="C31" i="15" s="1"/>
  <c r="K65" i="40"/>
  <c r="J67" i="40"/>
  <c r="W40" i="39"/>
  <c r="AC40" i="39"/>
  <c r="AA40" i="39"/>
  <c r="S40" i="39"/>
  <c r="R6" i="1"/>
  <c r="R16" i="1" s="1"/>
  <c r="R27" i="6"/>
  <c r="J72" i="39"/>
  <c r="K70" i="39"/>
  <c r="I5" i="6"/>
  <c r="I6" i="6"/>
  <c r="C13" i="39" s="1"/>
  <c r="AB40" i="39"/>
  <c r="U40" i="39"/>
  <c r="C25" i="44"/>
  <c r="C31" i="44" s="1"/>
  <c r="B3" i="67"/>
  <c r="B4" i="67"/>
  <c r="C56" i="15" l="1"/>
  <c r="C63" i="15" s="1"/>
  <c r="Q50" i="15"/>
  <c r="J14" i="15"/>
  <c r="C36" i="15"/>
  <c r="C13" i="15"/>
  <c r="C37" i="15" s="1"/>
  <c r="C30" i="15" s="1"/>
  <c r="C39" i="15" s="1"/>
  <c r="J13" i="39"/>
  <c r="H13" i="39"/>
  <c r="F13" i="39"/>
  <c r="C35" i="44"/>
  <c r="C33" i="44" s="1"/>
  <c r="Q51" i="44"/>
  <c r="J16" i="44"/>
  <c r="J21" i="44"/>
  <c r="J19" i="44" s="1"/>
  <c r="C38" i="44"/>
  <c r="C15" i="44"/>
  <c r="J17" i="15"/>
  <c r="K67" i="40"/>
  <c r="L65" i="40"/>
  <c r="L70" i="39"/>
  <c r="K72" i="39"/>
  <c r="J13" i="15"/>
  <c r="J23" i="15" s="1"/>
  <c r="J22" i="15"/>
  <c r="C22" i="43"/>
  <c r="C21" i="43" s="1"/>
  <c r="C28" i="43" s="1"/>
  <c r="C30" i="43" s="1"/>
  <c r="C32" i="43" s="1"/>
  <c r="B2" i="43" s="1"/>
  <c r="C55" i="15" l="1"/>
  <c r="C64" i="15" s="1"/>
  <c r="C57" i="15" s="1"/>
  <c r="C66" i="15" s="1"/>
  <c r="C67" i="15" s="1"/>
  <c r="C70" i="15" s="1"/>
  <c r="J35" i="15"/>
  <c r="J39" i="15" s="1"/>
  <c r="J40" i="15" s="1"/>
  <c r="Q71" i="15"/>
  <c r="B5" i="43"/>
  <c r="B4" i="43"/>
  <c r="B3" i="43"/>
  <c r="AA13" i="39"/>
  <c r="S13" i="39"/>
  <c r="L72" i="39"/>
  <c r="M70" i="39"/>
  <c r="C43" i="44"/>
  <c r="Q72" i="44"/>
  <c r="C39" i="44"/>
  <c r="C32" i="44" s="1"/>
  <c r="C42" i="44" s="1"/>
  <c r="AC13" i="39"/>
  <c r="W13" i="39"/>
  <c r="L67" i="40"/>
  <c r="M65" i="40"/>
  <c r="C40" i="15"/>
  <c r="Q70" i="15"/>
  <c r="Q69" i="15" s="1"/>
  <c r="J16" i="15"/>
  <c r="J25" i="15" s="1"/>
  <c r="J24" i="44"/>
  <c r="J15" i="44"/>
  <c r="J25" i="44" s="1"/>
  <c r="AB13" i="39"/>
  <c r="U13" i="39"/>
  <c r="L51" i="15"/>
  <c r="J18" i="44" l="1"/>
  <c r="J27" i="44" s="1"/>
  <c r="Q68" i="15"/>
  <c r="M67" i="40"/>
  <c r="N65" i="40"/>
  <c r="N67" i="40" s="1"/>
  <c r="H9" i="40" s="1"/>
  <c r="C44" i="44"/>
  <c r="C45" i="44" s="1"/>
  <c r="B2" i="44" s="1"/>
  <c r="Q71" i="44"/>
  <c r="Q70" i="44" s="1"/>
  <c r="H9" i="39"/>
  <c r="C46" i="15"/>
  <c r="Q57" i="15"/>
  <c r="Q63" i="15" s="1"/>
  <c r="Q66" i="15"/>
  <c r="Q76" i="15" s="1"/>
  <c r="C43" i="15"/>
  <c r="J42" i="15"/>
  <c r="J43" i="15" s="1"/>
  <c r="B2" i="15"/>
  <c r="Q48" i="15"/>
  <c r="Q54" i="15" s="1"/>
  <c r="M72" i="39"/>
  <c r="J9" i="39" s="1"/>
  <c r="N70" i="39"/>
  <c r="N72" i="39" s="1"/>
  <c r="AC9" i="39" l="1"/>
  <c r="V49" i="39" s="1"/>
  <c r="I49" i="39" s="1"/>
  <c r="W9" i="39"/>
  <c r="D10" i="12"/>
  <c r="C6" i="12" s="1"/>
  <c r="B3" i="15"/>
  <c r="D8" i="12" s="1"/>
  <c r="F9" i="39"/>
  <c r="B4" i="44"/>
  <c r="B3" i="44"/>
  <c r="B5" i="44"/>
  <c r="U9" i="39"/>
  <c r="AB9" i="39"/>
  <c r="T49" i="39" s="1"/>
  <c r="G49" i="39" s="1"/>
  <c r="U9" i="40"/>
  <c r="AB9" i="40"/>
  <c r="T44" i="40" s="1"/>
  <c r="G44" i="40" s="1"/>
  <c r="F9" i="40"/>
  <c r="J9" i="40"/>
  <c r="S9" i="39" l="1"/>
  <c r="AA9" i="39"/>
  <c r="R49" i="39" s="1"/>
  <c r="G48" i="40"/>
  <c r="H48" i="40" s="1"/>
  <c r="AA9" i="40"/>
  <c r="R44" i="40" s="1"/>
  <c r="S9" i="40"/>
  <c r="I53" i="39"/>
  <c r="J53" i="39" s="1"/>
  <c r="C29" i="12"/>
  <c r="C24" i="12"/>
  <c r="W9" i="40"/>
  <c r="AC9" i="40"/>
  <c r="V44" i="40" s="1"/>
  <c r="I44" i="40" s="1"/>
  <c r="G54" i="39"/>
  <c r="H54" i="39" s="1"/>
  <c r="G53" i="39"/>
  <c r="H53" i="39" s="1"/>
  <c r="I49" i="40" l="1"/>
  <c r="J49" i="40" s="1"/>
  <c r="I48" i="40"/>
  <c r="J48" i="40" s="1"/>
  <c r="R45" i="40"/>
  <c r="E44" i="40"/>
  <c r="G49" i="40"/>
  <c r="H49" i="40" s="1"/>
  <c r="C35" i="12"/>
  <c r="C33" i="12" s="1"/>
  <c r="C28" i="12"/>
  <c r="C26" i="12" s="1"/>
  <c r="C31" i="12" s="1"/>
  <c r="C30" i="12" s="1"/>
  <c r="C36" i="12" s="1"/>
  <c r="B2" i="12" s="1"/>
  <c r="R50" i="39"/>
  <c r="E49" i="39"/>
  <c r="C19" i="9"/>
  <c r="L43" i="9" l="1"/>
  <c r="B4" i="12"/>
  <c r="B5" i="12"/>
  <c r="B3" i="12"/>
  <c r="C44" i="40"/>
  <c r="C45" i="40"/>
  <c r="E53" i="39"/>
  <c r="F53" i="39" s="1"/>
  <c r="E54" i="39"/>
  <c r="F54" i="39" s="1"/>
  <c r="I54" i="39"/>
  <c r="J54" i="39" s="1"/>
  <c r="C49" i="39"/>
  <c r="C50" i="39"/>
  <c r="E48" i="40"/>
  <c r="F48" i="40" s="1"/>
  <c r="E49" i="40"/>
  <c r="F49" i="40" s="1"/>
  <c r="C20" i="9"/>
  <c r="C21" i="9"/>
  <c r="B57" i="40" l="1"/>
  <c r="F57" i="40" s="1"/>
  <c r="F63" i="40"/>
  <c r="B2" i="40" s="1"/>
  <c r="B56" i="40"/>
  <c r="F56" i="40" s="1"/>
  <c r="B60" i="40"/>
  <c r="F60" i="40" s="1"/>
  <c r="B61" i="40"/>
  <c r="F61" i="40" s="1"/>
  <c r="B58" i="40"/>
  <c r="F58" i="40" s="1"/>
  <c r="B59" i="40"/>
  <c r="F59" i="40" s="1"/>
  <c r="B55" i="40"/>
  <c r="F55" i="40" s="1"/>
  <c r="B62" i="40"/>
  <c r="F62" i="40" s="1"/>
  <c r="B53" i="40"/>
  <c r="F53" i="40" s="1"/>
  <c r="B54" i="40"/>
  <c r="F54" i="40" s="1"/>
  <c r="B67" i="39"/>
  <c r="F67" i="39" s="1"/>
  <c r="B62" i="39"/>
  <c r="F62" i="39" s="1"/>
  <c r="B64" i="39"/>
  <c r="F64" i="39" s="1"/>
  <c r="B63" i="39"/>
  <c r="F63" i="39" s="1"/>
  <c r="B59" i="39"/>
  <c r="F59" i="39" s="1"/>
  <c r="B58" i="39"/>
  <c r="F58" i="39" s="1"/>
  <c r="B65" i="39"/>
  <c r="F65" i="39" s="1"/>
  <c r="B60" i="39"/>
  <c r="F60" i="39" s="1"/>
  <c r="B61" i="39"/>
  <c r="F61" i="39" s="1"/>
  <c r="B66" i="39"/>
  <c r="F66" i="39" s="1"/>
  <c r="B5" i="40" l="1"/>
  <c r="B4" i="40"/>
  <c r="B3" i="40"/>
  <c r="F68" i="39"/>
  <c r="B2" i="39" s="1"/>
  <c r="D19" i="9"/>
  <c r="L44" i="9" l="1"/>
  <c r="G19" i="9"/>
  <c r="D22" i="9"/>
  <c r="B3" i="39"/>
  <c r="B5" i="39"/>
  <c r="B4" i="39"/>
  <c r="D21" i="9"/>
  <c r="D20" i="9"/>
  <c r="G20" i="9" l="1"/>
  <c r="G21" i="9"/>
  <c r="N43" i="9"/>
  <c r="G22" i="9"/>
  <c r="C32" i="9"/>
  <c r="D27" i="9"/>
  <c r="O43" i="9" l="1"/>
  <c r="C35" i="9"/>
  <c r="F42" i="9" s="1"/>
  <c r="C33" i="9"/>
  <c r="O38" i="9"/>
  <c r="C34" i="9"/>
  <c r="C42" i="9"/>
  <c r="K25" i="9" l="1"/>
  <c r="K26" i="9"/>
  <c r="E42" i="9"/>
  <c r="P5" i="54" s="1"/>
  <c r="B46" i="63" s="1"/>
  <c r="M38" i="9"/>
  <c r="K27" i="9" s="1"/>
  <c r="N38" i="9"/>
  <c r="K28" i="9" s="1"/>
  <c r="D42" i="9"/>
  <c r="Q5" i="54" s="1"/>
  <c r="B47" i="63" s="1"/>
  <c r="R5" i="54"/>
  <c r="B48" i="63" s="1"/>
  <c r="N68" i="9"/>
  <c r="D63" i="9"/>
  <c r="D14" i="66"/>
  <c r="E14" i="66" l="1"/>
  <c r="B5" i="66"/>
  <c r="F14" i="66"/>
  <c r="C90" i="9"/>
  <c r="D77" i="9"/>
  <c r="N75" i="9" s="1"/>
  <c r="C96" i="9"/>
  <c r="C91" i="9" s="1"/>
  <c r="C103" i="9"/>
  <c r="D71" i="9"/>
  <c r="D66" i="9" s="1"/>
  <c r="N72" i="9" s="1"/>
  <c r="C111" i="9"/>
  <c r="C104" i="9" s="1"/>
  <c r="D70" i="9"/>
  <c r="C82" i="9"/>
  <c r="C81" i="9" s="1"/>
  <c r="C85" i="9" s="1"/>
  <c r="C86" i="9" s="1"/>
  <c r="D72" i="9" s="1"/>
  <c r="C113" i="9" l="1"/>
  <c r="C114" i="9" s="1"/>
  <c r="E114" i="9" s="1"/>
  <c r="E115" i="9" s="1"/>
  <c r="C97" i="9"/>
  <c r="C98" i="9" s="1"/>
  <c r="E98" i="9" s="1"/>
  <c r="E99" i="9" s="1"/>
  <c r="C5" i="66"/>
  <c r="D5" i="66"/>
  <c r="C115" i="9" l="1"/>
  <c r="D76" i="9" s="1"/>
  <c r="D74" i="9" s="1"/>
  <c r="N74" i="9" s="1"/>
  <c r="O77" i="9" s="1"/>
  <c r="C99" i="9"/>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<sst xmlns="http://schemas.openxmlformats.org/spreadsheetml/2006/main" count="7197" uniqueCount="3153">
  <si>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</si>
  <si>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</si>
  <si>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</si>
  <si>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</si>
  <si>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</si>
  <si>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</si>
  <si>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</si>
  <si>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</si>
  <si>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</si>
  <si>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</si>
  <si>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</si>
  <si>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</si>
  <si>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</si>
  <si>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</si>
  <si>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</si>
  <si>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</si>
  <si>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</si>
  <si>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</si>
  <si>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</si>
  <si>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</si>
  <si>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</si>
  <si>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</si>
  <si>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</si>
  <si>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</si>
  <si>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</si>
  <si>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</si>
  <si>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</si>
  <si>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</si>
  <si>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</si>
  <si>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</si>
  <si>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</si>
  <si>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</si>
  <si>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</si>
  <si>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</si>
  <si>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</si>
  <si>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</si>
  <si>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</si>
  <si>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</si>
  <si>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</si>
  <si>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</si>
  <si>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</si>
  <si>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</si>
  <si>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</si>
  <si>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</si>
  <si>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</si>
  <si>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</si>
  <si>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</si>
  <si>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</si>
  <si>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</si>
  <si>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</si>
  <si>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</si>
  <si>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</si>
  <si>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</si>
  <si>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</si>
  <si>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</si>
  <si>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</si>
  <si>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</si>
  <si>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</si>
  <si>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</si>
  <si>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</si>
  <si>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</si>
  <si>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</si>
  <si>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</si>
  <si>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</si>
  <si>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</si>
  <si>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</si>
  <si>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</si>
  <si>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</si>
  <si>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</si>
  <si>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</si>
  <si>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</si>
  <si>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</si>
  <si>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</si>
  <si>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</si>
  <si>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</si>
  <si>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</si>
  <si>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</si>
  <si>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</si>
  <si>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</si>
  <si>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</si>
  <si>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</si>
  <si>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</si>
  <si>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</si>
  <si>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</si>
  <si>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</si>
  <si>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</si>
  <si>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</si>
  <si>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</si>
  <si>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</si>
  <si>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</si>
  <si>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</si>
  <si>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</si>
  <si>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</si>
  <si>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</si>
  <si>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</si>
  <si>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</si>
  <si>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</si>
  <si>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</si>
  <si>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</si>
  <si>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</si>
  <si>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</si>
  <si>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</si>
  <si>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</si>
  <si>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</si>
  <si>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</si>
  <si>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</si>
  <si>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</si>
  <si>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</si>
  <si>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</si>
  <si>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</si>
  <si>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</si>
  <si>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</si>
  <si>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</si>
  <si>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</si>
  <si>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</si>
  <si>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</si>
  <si>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</si>
  <si>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</si>
  <si>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</si>
  <si>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</si>
  <si>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</si>
  <si>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</si>
  <si>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</si>
  <si>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</si>
  <si>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</si>
  <si>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</si>
  <si>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</si>
  <si>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</si>
  <si>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</si>
  <si>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</si>
  <si>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</si>
  <si>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</si>
  <si>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</si>
  <si>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</si>
  <si>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</si>
  <si>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</si>
  <si>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</si>
  <si>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</si>
  <si>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</si>
  <si>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</si>
  <si>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</si>
  <si>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</si>
  <si>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</si>
  <si>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</si>
  <si>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</si>
  <si>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</si>
  <si>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</si>
  <si>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</si>
  <si>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</si>
  <si>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</si>
  <si>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</si>
  <si>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</si>
  <si>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</si>
  <si>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</si>
  <si>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</si>
  <si>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</si>
  <si>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</si>
  <si>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</si>
  <si>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</si>
  <si>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</si>
  <si>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</si>
  <si>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</si>
  <si>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</si>
  <si>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</si>
  <si>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</si>
  <si>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</si>
  <si>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</si>
  <si>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</si>
  <si>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</si>
  <si>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</si>
  <si>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</si>
  <si>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</si>
  <si>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</si>
  <si>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</si>
  <si>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</si>
  <si>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</si>
  <si>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</si>
  <si>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</si>
  <si>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</si>
  <si>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</si>
  <si>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</si>
  <si>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</si>
  <si>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</si>
  <si>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</si>
  <si>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</si>
  <si>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</si>
  <si>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</si>
  <si>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</si>
  <si>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</si>
  <si>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</si>
  <si>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</si>
  <si>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</si>
  <si>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</si>
  <si>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</si>
  <si>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</si>
  <si>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</si>
  <si>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</si>
  <si>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</si>
  <si>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</si>
  <si>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</si>
  <si>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</si>
  <si>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</si>
  <si>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</si>
  <si>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</si>
  <si>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</si>
  <si>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</si>
  <si>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</si>
  <si>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</si>
  <si>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</si>
  <si>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</si>
  <si>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</si>
  <si>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</si>
  <si>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</si>
  <si>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</si>
  <si>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</si>
  <si>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</si>
  <si>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</si>
  <si>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</si>
  <si>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</si>
  <si>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</si>
  <si>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</si>
  <si>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</si>
  <si>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</si>
  <si>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</si>
  <si>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</si>
  <si>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</si>
  <si>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</si>
  <si>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</si>
  <si>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</si>
  <si>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</si>
  <si>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</si>
  <si>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</si>
  <si>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</si>
  <si>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</si>
  <si>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</si>
  <si>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</si>
  <si>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</si>
  <si>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</si>
  <si>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</si>
  <si>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</si>
  <si>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</si>
  <si>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</si>
  <si>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</si>
  <si>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</si>
  <si>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</si>
  <si>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</si>
  <si>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</si>
  <si>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</si>
  <si>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</si>
  <si>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</si>
  <si>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</si>
  <si>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</si>
  <si>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</si>
  <si>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</si>
  <si>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</si>
  <si>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</si>
  <si>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</si>
  <si>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</si>
  <si>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</si>
  <si>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</si>
  <si>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</si>
  <si>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</si>
  <si>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</si>
  <si>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</si>
  <si>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</si>
  <si>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</si>
  <si>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</si>
  <si>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</si>
  <si>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</si>
  <si>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</si>
  <si>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</si>
  <si>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</si>
  <si>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</si>
  <si>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</si>
  <si>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</si>
  <si>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</si>
  <si>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</si>
  <si>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</si>
  <si>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</si>
  <si>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</si>
  <si>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</si>
  <si>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</si>
  <si>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</si>
  <si>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</si>
  <si>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</si>
  <si>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</si>
  <si>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</si>
  <si>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</si>
  <si>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</si>
  <si>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</si>
  <si>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</si>
  <si>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</si>
  <si>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</si>
  <si>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</si>
  <si>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</si>
  <si>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</si>
  <si>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</si>
  <si>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</si>
  <si>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</si>
  <si>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</si>
  <si>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</si>
  <si>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</si>
  <si>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</si>
  <si>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</si>
  <si>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</si>
  <si>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</si>
  <si>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</si>
  <si>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</si>
  <si>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</si>
  <si>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</si>
  <si>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</si>
  <si>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</si>
  <si>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</si>
  <si>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</si>
  <si>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</si>
  <si>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</si>
  <si>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</si>
  <si>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</si>
  <si>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</si>
  <si>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</si>
  <si>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</si>
  <si>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</si>
  <si>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</si>
  <si>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</si>
  <si>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</si>
  <si>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</si>
  <si>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</si>
  <si>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</si>
  <si>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</si>
  <si>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</si>
  <si>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</si>
  <si>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</si>
  <si>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</si>
  <si>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</si>
  <si>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</si>
  <si>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</si>
  <si>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</si>
  <si>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</si>
  <si>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</si>
  <si>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</si>
  <si>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</si>
  <si>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</si>
  <si>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</si>
  <si>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</si>
  <si>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</si>
  <si>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</si>
  <si>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</si>
  <si>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</si>
  <si>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</si>
  <si>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</si>
  <si>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</si>
  <si>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</si>
  <si>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</si>
  <si>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</si>
  <si>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</si>
  <si>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</si>
  <si>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</si>
  <si>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</si>
  <si>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</si>
  <si>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</si>
  <si>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</si>
  <si>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</si>
  <si>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</si>
  <si>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</si>
  <si>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</si>
  <si>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</si>
  <si>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</si>
  <si>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</si>
  <si>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</si>
  <si>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</si>
  <si>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</si>
  <si>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</si>
  <si>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</si>
  <si>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</si>
  <si>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</si>
  <si>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</si>
  <si>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</si>
  <si>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</si>
  <si>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</si>
  <si>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</si>
  <si>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</si>
  <si>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</si>
  <si>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</si>
  <si>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</si>
  <si>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</si>
  <si>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</si>
  <si>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</si>
  <si>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</si>
  <si>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</si>
  <si>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</si>
  <si>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</si>
  <si>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</si>
  <si>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</si>
  <si>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</si>
  <si>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</si>
  <si>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</si>
  <si>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</si>
  <si>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</si>
  <si>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</si>
  <si>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</si>
  <si>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</si>
  <si>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</si>
  <si>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</si>
  <si>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</si>
  <si>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</si>
  <si>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</si>
  <si>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</si>
  <si>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</si>
  <si>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</si>
  <si>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</si>
  <si>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</si>
  <si>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</si>
  <si>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</si>
  <si>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</si>
  <si>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</si>
  <si>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</si>
  <si>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</si>
  <si>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</si>
  <si>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</si>
  <si>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</si>
  <si>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</si>
  <si>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</si>
  <si>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</si>
  <si>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</si>
  <si>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</si>
  <si>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</si>
  <si>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</si>
  <si>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</si>
  <si>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</si>
  <si>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</si>
  <si>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</si>
  <si>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</si>
  <si>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</si>
  <si>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</si>
  <si>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</si>
  <si>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</si>
  <si>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</si>
  <si>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</si>
  <si>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</si>
  <si>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</si>
  <si>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</si>
  <si>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</si>
  <si>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</si>
  <si>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</si>
  <si>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</si>
  <si>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</si>
  <si>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</si>
  <si>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</si>
  <si>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</si>
  <si>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</si>
  <si>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</si>
  <si>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</si>
  <si>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</si>
  <si>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</si>
  <si>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</si>
  <si>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</si>
  <si>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</si>
  <si>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</si>
  <si>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</si>
  <si>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</si>
  <si>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</si>
  <si>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</si>
  <si>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</si>
  <si>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</si>
  <si>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</si>
  <si>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</si>
  <si>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</si>
  <si>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</si>
  <si>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</si>
  <si>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</si>
  <si>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</si>
  <si>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</si>
  <si>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</si>
  <si>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</si>
  <si>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</si>
  <si>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</si>
  <si>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</si>
  <si>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</si>
  <si>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</si>
  <si>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</si>
  <si>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</si>
  <si>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</si>
  <si>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</si>
  <si>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</si>
  <si>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</si>
  <si>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</si>
  <si>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</si>
  <si>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</si>
  <si>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</si>
  <si>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</si>
  <si>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</si>
  <si>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</si>
  <si>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</si>
  <si>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</si>
  <si>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</si>
  <si>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</si>
  <si>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</si>
  <si>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</si>
  <si>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</si>
  <si>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</si>
  <si>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</si>
  <si>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</si>
  <si>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</si>
  <si>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</si>
  <si>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</si>
  <si>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</si>
  <si>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</si>
  <si>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</si>
  <si>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</si>
  <si>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</si>
  <si>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</si>
  <si>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</si>
  <si>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</si>
  <si>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</si>
  <si>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</si>
  <si>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</si>
  <si>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</si>
  <si>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</si>
  <si>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</si>
  <si>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</si>
  <si>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</si>
  <si>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</si>
  <si>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</si>
  <si>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</si>
  <si>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</si>
  <si>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</si>
  <si>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</si>
  <si>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</si>
  <si>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</si>
  <si>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</si>
  <si>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</si>
  <si>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</si>
  <si>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</si>
  <si>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</si>
  <si>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</si>
  <si>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</si>
  <si>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</si>
  <si>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</si>
  <si>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</si>
  <si>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</si>
  <si>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</si>
  <si>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</si>
  <si>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</si>
  <si>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</si>
  <si>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</si>
  <si>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</si>
  <si>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</si>
  <si>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</si>
  <si>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</si>
  <si>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</si>
  <si>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</si>
  <si>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</si>
  <si>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</si>
  <si>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</si>
  <si>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</si>
  <si>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</si>
  <si>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</si>
  <si>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</si>
  <si>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</si>
  <si>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</si>
  <si>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</si>
  <si>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</si>
  <si>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</si>
  <si>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</si>
  <si>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</si>
  <si>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</si>
  <si>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</si>
  <si>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</si>
  <si>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</si>
  <si>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</si>
  <si>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</si>
  <si>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</si>
  <si>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</si>
  <si>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</si>
  <si>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</si>
  <si>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</si>
  <si>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</si>
  <si>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</si>
  <si>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</si>
  <si>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</si>
  <si>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</si>
  <si>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</si>
  <si>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</si>
  <si>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</si>
  <si>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</si>
  <si>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</si>
  <si>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</si>
  <si>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</si>
  <si>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</si>
  <si>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</si>
  <si>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</si>
  <si>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</si>
  <si>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</si>
  <si>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</si>
  <si>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</si>
  <si>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</si>
  <si>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</si>
  <si>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</si>
  <si>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</si>
  <si>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</si>
  <si>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</si>
  <si>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</si>
  <si>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</si>
  <si>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</si>
  <si>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</si>
  <si>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</si>
  <si>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</si>
  <si>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</si>
  <si>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</si>
  <si>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</si>
  <si>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</si>
  <si>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</si>
  <si>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</si>
  <si>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</si>
  <si>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</si>
  <si>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</si>
  <si>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</si>
  <si>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</si>
  <si>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</si>
  <si>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</si>
  <si>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</si>
  <si>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</si>
  <si>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</si>
  <si>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</si>
  <si>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</si>
  <si>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</si>
  <si>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</si>
  <si>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</si>
  <si>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</si>
  <si>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</si>
  <si>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</si>
  <si>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</si>
  <si>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</si>
  <si>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</si>
  <si>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</si>
  <si>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</si>
  <si>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</si>
  <si>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</si>
  <si>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</si>
  <si>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</si>
  <si>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</si>
  <si>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</si>
  <si>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</si>
  <si>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</si>
  <si>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</si>
  <si>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</si>
  <si>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</si>
  <si>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</si>
  <si>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</si>
  <si>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</si>
  <si>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</si>
  <si>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</si>
  <si>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</si>
  <si>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</si>
  <si>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</si>
  <si>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</si>
  <si>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</si>
  <si>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</si>
  <si>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</si>
  <si>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</si>
  <si>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</si>
  <si>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</si>
  <si>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</si>
  <si>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</si>
  <si>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</si>
  <si>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</si>
  <si>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</si>
  <si>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</si>
  <si>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</si>
  <si>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</si>
  <si>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</si>
  <si>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</si>
  <si>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</si>
  <si>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</si>
  <si>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</si>
  <si>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</si>
  <si>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</si>
  <si>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</si>
  <si>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</si>
  <si>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</si>
  <si>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</si>
  <si>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</si>
  <si>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</si>
  <si>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</si>
  <si>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</si>
  <si>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</si>
  <si>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</si>
  <si>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</si>
  <si>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</si>
  <si>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</si>
  <si>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</si>
  <si>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</si>
  <si>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</si>
  <si>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</si>
  <si>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</si>
  <si>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</si>
  <si>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</si>
  <si>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</si>
  <si>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</si>
  <si>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</si>
  <si>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</si>
  <si>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</si>
  <si>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</si>
  <si>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</si>
  <si>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</si>
  <si>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</si>
  <si>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</si>
  <si>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</si>
  <si>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</si>
  <si>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</si>
  <si>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</si>
  <si>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</si>
  <si>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</si>
  <si>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</si>
  <si>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</si>
  <si>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</si>
  <si>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</si>
  <si>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</si>
  <si>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</si>
  <si>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</si>
  <si>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</si>
  <si>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</si>
  <si>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</si>
  <si>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</si>
  <si>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</si>
  <si>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</si>
  <si>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</si>
  <si>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</si>
  <si>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</si>
  <si>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</si>
  <si>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</si>
  <si>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</si>
  <si>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</si>
  <si>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</si>
  <si>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</si>
  <si>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</si>
  <si>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</si>
  <si>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</si>
  <si>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</si>
  <si>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</si>
  <si>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</si>
  <si>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</si>
  <si>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</si>
  <si>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</si>
  <si>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</si>
  <si>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</si>
  <si>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</si>
  <si>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</si>
  <si>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</si>
  <si>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</si>
  <si>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</si>
  <si>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</si>
  <si>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</si>
  <si>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</si>
  <si>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</si>
  <si>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</si>
  <si>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</si>
  <si>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</si>
  <si>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</si>
  <si>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</si>
  <si>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</si>
  <si>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</si>
  <si>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</si>
  <si>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</si>
  <si>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</si>
  <si>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</si>
  <si>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</si>
  <si>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</si>
  <si>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</si>
  <si>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</si>
  <si>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</si>
  <si>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</si>
  <si>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</si>
  <si>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</si>
  <si>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</si>
  <si>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</si>
  <si>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</si>
  <si>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</si>
  <si>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</si>
  <si>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</si>
  <si>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</si>
  <si>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</si>
  <si>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</si>
  <si>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</si>
  <si>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</si>
  <si>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</si>
  <si>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</si>
  <si>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</si>
  <si>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</si>
  <si>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</si>
  <si>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</si>
  <si>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</si>
  <si>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</si>
  <si>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</si>
  <si>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</si>
  <si>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</si>
  <si>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</si>
  <si>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</si>
  <si>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</si>
  <si>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</si>
  <si>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</si>
  <si>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</si>
  <si>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</si>
  <si>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</si>
  <si>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</si>
  <si>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</si>
  <si>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</si>
  <si>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</si>
  <si>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</si>
  <si>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</si>
  <si>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</si>
  <si>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</si>
  <si>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</si>
  <si>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</si>
  <si>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</si>
  <si>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</si>
  <si>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</si>
  <si>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</si>
  <si>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</si>
  <si>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</si>
  <si>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</si>
  <si>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</si>
  <si>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</si>
  <si>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</si>
  <si>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</si>
  <si>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</si>
  <si>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</si>
  <si>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</si>
  <si>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</si>
  <si>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</si>
  <si>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</si>
  <si>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</si>
  <si>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</si>
  <si>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</si>
  <si>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</si>
  <si>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</si>
  <si>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</si>
  <si>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</si>
  <si>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</si>
  <si>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</si>
  <si>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</si>
  <si>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</si>
  <si>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</si>
  <si>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</si>
  <si>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</si>
  <si>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</si>
  <si>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</si>
  <si>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</si>
  <si>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</si>
  <si>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</si>
  <si>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</si>
  <si>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</si>
  <si>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</si>
  <si>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</si>
  <si>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</si>
  <si>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</si>
  <si>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</si>
  <si>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</si>
  <si>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</si>
  <si>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</si>
  <si>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</si>
  <si>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</si>
  <si>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</si>
  <si>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</si>
  <si>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</si>
  <si>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</si>
  <si>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</si>
  <si>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</si>
  <si>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</si>
  <si>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</si>
  <si>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</si>
  <si>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</si>
  <si>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</si>
  <si>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</si>
  <si>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</si>
  <si>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</si>
  <si>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</si>
  <si>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</si>
  <si>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</si>
  <si>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</si>
  <si>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</si>
  <si>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</si>
  <si>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</si>
  <si>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</si>
  <si>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</si>
  <si>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</si>
  <si>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</si>
  <si>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</si>
  <si>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</si>
  <si>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</si>
  <si>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</si>
  <si>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</si>
  <si>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</si>
  <si>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</si>
  <si>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</si>
  <si>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</si>
  <si>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</si>
  <si>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</si>
  <si>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</si>
  <si>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</si>
  <si>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</si>
  <si>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</si>
  <si>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</si>
  <si>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</si>
  <si>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</si>
  <si>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</si>
  <si>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</si>
  <si>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</si>
  <si>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</si>
  <si>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</si>
  <si>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</si>
  <si>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</si>
  <si>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</si>
  <si>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</si>
  <si>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</si>
  <si>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</si>
  <si>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</si>
  <si>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</si>
  <si>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</si>
  <si>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</si>
  <si>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</si>
  <si>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</si>
  <si>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</si>
  <si>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</si>
  <si>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</si>
  <si>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</si>
  <si>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</si>
  <si>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</si>
  <si>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</si>
  <si>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</si>
  <si>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</si>
  <si>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</si>
  <si>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</si>
  <si>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</si>
  <si>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</si>
  <si>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</si>
  <si>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</si>
  <si>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</si>
  <si>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</si>
  <si>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</si>
  <si>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</si>
  <si>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</si>
  <si>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</si>
  <si>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</si>
  <si>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</si>
  <si>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</si>
  <si>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</si>
  <si>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</si>
  <si>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</si>
  <si>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</si>
  <si>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</si>
  <si>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</si>
  <si>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</si>
  <si>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</si>
  <si>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</si>
  <si>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</si>
  <si>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</si>
  <si>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</si>
  <si>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</si>
  <si>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</si>
  <si>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</si>
  <si>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</si>
  <si>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</si>
  <si>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</si>
  <si>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</si>
  <si>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</si>
  <si>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</si>
  <si>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</si>
  <si>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</si>
  <si>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</si>
  <si>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</si>
  <si>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</si>
  <si>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</si>
  <si>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</si>
  <si>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</si>
  <si>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</si>
  <si>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</si>
  <si>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</si>
  <si>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</si>
  <si>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</si>
  <si>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</si>
  <si>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</si>
  <si>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</si>
  <si>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</si>
  <si>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</si>
  <si>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</si>
  <si>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</si>
  <si>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</si>
  <si>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</si>
  <si>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</si>
  <si>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</si>
  <si>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</si>
  <si>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</si>
  <si>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</si>
  <si>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</si>
  <si>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</si>
  <si>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</si>
  <si>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</si>
  <si>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</si>
  <si>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</si>
  <si>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</si>
  <si>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</si>
  <si>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</si>
  <si>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</si>
  <si>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</si>
  <si>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</si>
  <si>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</si>
  <si>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</si>
  <si>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</si>
  <si>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</si>
  <si>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</si>
  <si>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</si>
  <si>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</si>
  <si>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</si>
  <si>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</si>
  <si>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</si>
  <si>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</si>
  <si>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</si>
  <si>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</si>
  <si>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</si>
  <si>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</si>
  <si>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</si>
  <si>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</si>
  <si>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</si>
  <si>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</si>
  <si>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</si>
  <si>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</si>
  <si>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</si>
  <si>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</si>
  <si>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</si>
  <si>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</si>
  <si>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</si>
  <si>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</si>
  <si>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</si>
  <si>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</si>
  <si>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</si>
  <si>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</si>
  <si>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</si>
  <si>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</si>
  <si>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</si>
  <si>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</si>
  <si>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</si>
  <si>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</si>
  <si>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</si>
  <si>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</si>
  <si>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</si>
  <si>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</si>
  <si>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</si>
  <si>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</si>
  <si>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</si>
  <si>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</si>
  <si>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</si>
  <si>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</si>
  <si>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</si>
  <si>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</si>
  <si>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</si>
  <si>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</si>
  <si>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</si>
  <si>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</si>
  <si>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</si>
  <si>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</si>
  <si>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</si>
  <si>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</si>
  <si>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</si>
  <si>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</si>
  <si>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</si>
  <si>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</si>
  <si>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</si>
  <si>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</si>
  <si>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</si>
  <si>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</si>
  <si>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</si>
  <si>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</si>
  <si>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</si>
  <si>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</si>
  <si>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</si>
  <si>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</si>
  <si>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</si>
  <si>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</si>
  <si>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</si>
  <si>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</si>
  <si>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</si>
  <si>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</si>
  <si>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</si>
  <si>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</si>
  <si>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</si>
  <si>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</si>
  <si>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</si>
  <si>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</si>
  <si>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</si>
  <si>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</si>
  <si>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</si>
  <si>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</si>
  <si>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</si>
  <si>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</si>
  <si>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</si>
  <si>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</si>
  <si>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</si>
  <si>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</si>
  <si>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</si>
  <si>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</si>
  <si>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</si>
  <si>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</si>
  <si>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</si>
  <si>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</si>
  <si>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</si>
  <si>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</si>
  <si>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</si>
  <si>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</si>
  <si>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</si>
  <si>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</si>
  <si>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</si>
  <si>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</si>
  <si>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</si>
  <si>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</si>
  <si>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</si>
  <si>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</si>
  <si>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</si>
  <si>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</si>
  <si>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</si>
  <si>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</si>
  <si>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</si>
  <si>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</si>
  <si>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</si>
  <si>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</si>
  <si>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</si>
  <si>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</si>
  <si>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</si>
  <si>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</si>
  <si>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</si>
  <si>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</si>
  <si>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</si>
  <si>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</si>
  <si>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</si>
  <si>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</si>
  <si>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</si>
  <si>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</si>
  <si>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</si>
  <si>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</si>
  <si>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</si>
  <si>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</si>
  <si>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</si>
  <si>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</si>
  <si>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</si>
  <si>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</si>
  <si>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</si>
  <si>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</si>
  <si>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</si>
  <si>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</si>
  <si>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</si>
  <si>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</si>
  <si>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</si>
  <si>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</si>
  <si>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</si>
  <si>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</si>
  <si>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</si>
  <si>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</si>
  <si>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</si>
  <si>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</si>
  <si>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</si>
  <si>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</si>
  <si>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</si>
  <si>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</si>
  <si>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</si>
  <si>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</si>
  <si>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</si>
  <si>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</si>
  <si>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</si>
  <si>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</si>
  <si>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</si>
  <si>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</si>
  <si>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</si>
  <si>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</si>
  <si>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</si>
  <si>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</si>
  <si>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</si>
  <si>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</si>
  <si>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</si>
  <si>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</si>
  <si>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</si>
  <si>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</si>
  <si>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</si>
  <si>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</si>
  <si>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</si>
  <si>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</si>
  <si>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</si>
  <si>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</si>
  <si>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</si>
  <si>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</si>
  <si>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</si>
  <si>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</si>
  <si>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</si>
  <si>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</si>
  <si>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</si>
  <si>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</si>
  <si>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</si>
  <si>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</si>
  <si>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</si>
  <si>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</si>
  <si>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</si>
  <si>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</si>
  <si>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</si>
  <si>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</si>
  <si>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</si>
  <si>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</si>
  <si>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</si>
  <si>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</si>
  <si>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</si>
  <si>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</si>
  <si>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</si>
  <si>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</si>
  <si>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</si>
  <si>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</si>
  <si>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</si>
  <si>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</si>
  <si>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</si>
  <si>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</si>
  <si>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</si>
  <si>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</si>
  <si>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</si>
  <si>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</si>
  <si>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</si>
  <si>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</si>
  <si>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</si>
  <si>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</si>
  <si>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</si>
  <si>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</si>
  <si>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</si>
  <si>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</si>
  <si>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</si>
  <si>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</si>
  <si>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</si>
  <si>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</si>
  <si>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</si>
  <si>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</si>
  <si>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</si>
  <si>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</si>
  <si>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</si>
  <si>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</si>
  <si>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</si>
  <si>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</si>
  <si>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</si>
  <si>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</si>
  <si>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</si>
  <si>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</si>
  <si>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</si>
  <si>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</si>
  <si>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</si>
  <si>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</si>
  <si>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</si>
  <si>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</si>
  <si>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</si>
  <si>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</si>
  <si>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</si>
  <si>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</si>
  <si>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</si>
  <si>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</si>
  <si>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</si>
  <si>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</si>
  <si>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</si>
  <si>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</si>
  <si>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</si>
  <si>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</si>
  <si>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</si>
  <si>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</si>
  <si>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</si>
  <si>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</si>
  <si>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</si>
  <si>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</si>
  <si>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</si>
  <si>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</si>
  <si>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</si>
  <si>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</si>
  <si>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</si>
  <si>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</si>
  <si>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</si>
  <si>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</si>
  <si>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</si>
  <si>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</si>
  <si>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</si>
  <si>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</si>
  <si>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</si>
  <si>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</si>
  <si>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</si>
  <si>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</si>
  <si>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</si>
  <si>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</si>
  <si>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</si>
  <si>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</si>
  <si>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</si>
  <si>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</si>
  <si>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</si>
  <si>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</si>
  <si>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</si>
  <si>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</si>
  <si>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</si>
  <si>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</si>
  <si>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</si>
  <si>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</si>
  <si>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</si>
  <si>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</si>
  <si>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</si>
  <si>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</si>
  <si>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</si>
  <si>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</si>
  <si>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</si>
  <si>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</si>
  <si>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</si>
  <si>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</si>
  <si>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</si>
  <si>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</si>
  <si>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</si>
  <si>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</si>
  <si>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</si>
  <si>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</si>
  <si>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</si>
  <si>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</si>
  <si>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</si>
  <si>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</si>
  <si>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</si>
  <si>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</si>
  <si>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</si>
  <si>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</si>
  <si>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</si>
  <si>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</si>
  <si>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</si>
  <si>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</si>
  <si>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</si>
  <si>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</si>
  <si>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</si>
  <si>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</si>
  <si>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</si>
  <si>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</si>
  <si>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</si>
  <si>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</si>
  <si>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</si>
  <si>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</si>
  <si>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</si>
  <si>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</si>
  <si>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</si>
  <si>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</si>
  <si>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</si>
  <si>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</si>
  <si>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</si>
  <si>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</si>
  <si>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</si>
  <si>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</si>
  <si>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</si>
  <si>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</si>
  <si>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</si>
  <si>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</si>
  <si>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</si>
  <si>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</si>
  <si>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</si>
  <si>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</si>
  <si>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</si>
  <si>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</si>
  <si>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</si>
  <si>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</si>
  <si>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</si>
  <si>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</si>
  <si>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</si>
  <si>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</si>
  <si>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</si>
  <si>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</si>
  <si>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</si>
  <si>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</si>
  <si>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</si>
  <si>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</si>
  <si>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</si>
  <si>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</si>
  <si>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</si>
  <si>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</si>
  <si>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</si>
  <si>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</si>
  <si>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</si>
  <si>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</si>
  <si>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</si>
  <si>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</si>
  <si>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</si>
  <si>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</si>
  <si>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</si>
  <si>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</si>
  <si>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</si>
  <si>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</si>
  <si>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</si>
  <si>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</si>
  <si>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</si>
  <si>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</si>
  <si>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</si>
  <si>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</si>
  <si>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</si>
  <si>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</si>
  <si>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</si>
  <si>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</si>
  <si>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</si>
  <si>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</si>
  <si>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</si>
  <si>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</si>
  <si>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</si>
  <si>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</si>
  <si>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</si>
  <si>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</si>
  <si>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</si>
  <si>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</si>
  <si>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</si>
  <si>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</si>
  <si>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</si>
  <si>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</si>
  <si>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</si>
  <si>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</si>
  <si>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</si>
  <si>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</si>
  <si>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</si>
  <si>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</si>
  <si>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</si>
  <si>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</si>
  <si>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</si>
  <si>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</si>
  <si>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</si>
  <si>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</si>
  <si>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</si>
  <si>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</si>
  <si>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</si>
  <si>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</si>
  <si>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</si>
  <si>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</si>
  <si>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</si>
  <si>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</si>
  <si>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</si>
  <si>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</si>
  <si>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</si>
  <si>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</si>
  <si>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</si>
  <si>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</si>
  <si>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</si>
  <si>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</si>
  <si>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</si>
  <si>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</si>
  <si>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</si>
  <si>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</si>
  <si>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</si>
  <si>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</si>
  <si>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</si>
  <si>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</si>
  <si>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</si>
  <si>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</si>
  <si>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</si>
  <si>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</si>
  <si>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</si>
  <si>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</si>
  <si>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</si>
  <si>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</si>
  <si>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</si>
  <si>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</si>
  <si>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</si>
  <si>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</si>
  <si>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</si>
  <si>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</si>
  <si>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</si>
  <si>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</si>
  <si>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</si>
  <si>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</si>
  <si>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</si>
  <si>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</si>
  <si>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</si>
  <si>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</si>
  <si>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</si>
  <si>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</si>
  <si>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</si>
  <si>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</si>
  <si>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</si>
  <si>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</si>
  <si>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</si>
  <si>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</si>
  <si>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</si>
  <si>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</si>
  <si>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</si>
  <si>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</si>
  <si>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</si>
  <si>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</si>
  <si>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</si>
  <si>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</si>
  <si>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</si>
  <si>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</si>
  <si>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</si>
  <si>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</si>
  <si>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</si>
  <si>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</si>
  <si>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</si>
  <si>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</si>
  <si>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</si>
  <si>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</si>
  <si>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</si>
  <si>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</si>
  <si>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</si>
  <si>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</si>
  <si>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</si>
  <si>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</si>
  <si>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</si>
  <si>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</si>
  <si>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</si>
  <si>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</si>
  <si>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</si>
  <si>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</si>
  <si>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</si>
  <si>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</si>
  <si>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</si>
  <si>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</si>
  <si>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</si>
  <si>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</si>
  <si>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</si>
  <si>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</si>
  <si>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</si>
  <si>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</si>
  <si>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</si>
  <si>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</si>
  <si>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</si>
  <si>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</si>
  <si>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</si>
  <si>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</si>
  <si>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</si>
  <si>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</si>
  <si>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</si>
  <si>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</si>
  <si>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</si>
  <si>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</si>
  <si>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</si>
  <si>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</si>
  <si>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</si>
  <si>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</si>
  <si>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</si>
  <si>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</si>
  <si>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</si>
  <si>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</si>
  <si>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</si>
  <si>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</si>
  <si>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</si>
  <si>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</si>
  <si>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</si>
  <si>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</si>
  <si>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</si>
  <si>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</si>
  <si>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</si>
  <si>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</si>
  <si>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</si>
  <si>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</si>
  <si>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</si>
  <si>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</si>
  <si>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</si>
  <si>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</si>
  <si>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</si>
  <si>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</si>
  <si>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</si>
  <si>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</si>
  <si>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</si>
  <si>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</si>
  <si>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</si>
  <si>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</si>
  <si>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</si>
  <si>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</si>
  <si>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</si>
  <si>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</si>
  <si>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</si>
  <si>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</si>
  <si>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</si>
  <si>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</si>
  <si>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</si>
  <si>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</si>
  <si>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</si>
  <si>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</si>
  <si>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</si>
  <si>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</si>
  <si>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</si>
  <si>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</si>
  <si>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</si>
  <si>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</si>
  <si>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</si>
  <si>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</si>
  <si>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</si>
  <si>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</si>
  <si>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</si>
  <si>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</si>
  <si>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</si>
  <si>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</si>
  <si>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</si>
  <si>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</si>
  <si>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</si>
  <si>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</si>
  <si>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</si>
  <si>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</si>
  <si>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</si>
  <si>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</si>
  <si>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</si>
  <si>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</si>
  <si>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</si>
  <si>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</si>
  <si>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</si>
  <si>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</si>
  <si>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</si>
  <si>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</si>
  <si>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</si>
  <si>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</si>
  <si>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</si>
  <si>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</si>
  <si>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</si>
  <si>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</si>
  <si>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</si>
  <si>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</si>
  <si>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</si>
  <si>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</si>
  <si>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</si>
  <si>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</si>
  <si>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</si>
  <si>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</si>
  <si>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</si>
  <si>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</si>
  <si>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</si>
  <si>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</si>
  <si>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</si>
  <si>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</si>
  <si>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</si>
  <si>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</si>
  <si>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</si>
  <si>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</si>
  <si>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</si>
  <si>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</si>
  <si>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</si>
  <si>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</si>
  <si>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</si>
  <si>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</si>
  <si>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</si>
  <si>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</si>
  <si>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</si>
  <si>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</si>
  <si>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</si>
  <si>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</si>
  <si>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</si>
  <si>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</si>
  <si>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</si>
  <si>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</si>
  <si>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</si>
  <si>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</si>
  <si>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</si>
  <si>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</si>
  <si>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</si>
  <si>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</si>
  <si>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</si>
  <si>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</si>
  <si>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</si>
  <si>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</si>
  <si>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</si>
  <si>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</si>
  <si>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</si>
  <si>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</si>
  <si>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</si>
  <si>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</si>
  <si>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</si>
  <si>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</si>
  <si>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</si>
  <si>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</si>
  <si>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</si>
  <si>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</si>
  <si>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</si>
  <si>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</si>
  <si>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</si>
  <si>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</si>
  <si>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</si>
  <si>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</si>
  <si>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</si>
  <si>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</si>
  <si>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</si>
  <si>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</si>
  <si>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</si>
  <si>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</si>
  <si>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</si>
  <si>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</si>
  <si>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</si>
  <si>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</si>
  <si>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</si>
  <si>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</si>
  <si>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</si>
  <si>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</si>
  <si>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</si>
  <si>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</si>
  <si>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</si>
  <si>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</si>
  <si>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</si>
  <si>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</si>
  <si>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</si>
  <si>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</si>
  <si>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</si>
  <si>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</si>
  <si>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</si>
  <si>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</si>
  <si>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</si>
  <si>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</si>
  <si>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</si>
  <si>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</si>
  <si>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</si>
  <si>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</si>
  <si>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</si>
  <si>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</si>
  <si>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</si>
  <si>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</si>
  <si>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</si>
  <si>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</si>
  <si>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</si>
  <si>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</si>
  <si>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</si>
  <si>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</si>
  <si>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</si>
  <si>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</si>
  <si>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</si>
  <si>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</si>
  <si>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</si>
  <si>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</si>
  <si>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</si>
  <si>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</si>
  <si>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</si>
  <si>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</si>
  <si>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</si>
  <si>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</si>
  <si>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</si>
  <si>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</si>
  <si>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</si>
  <si>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</si>
  <si>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</si>
  <si>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</si>
  <si>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</si>
  <si>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</si>
  <si>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</si>
  <si>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</si>
  <si>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</si>
  <si>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</si>
  <si>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</si>
  <si>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</si>
  <si>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</si>
  <si>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</si>
  <si>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</si>
  <si>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</si>
  <si>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</si>
  <si>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</si>
  <si>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</si>
  <si>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</si>
  <si>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</si>
  <si>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</si>
  <si>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</si>
  <si>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</si>
  <si>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</si>
  <si>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</si>
  <si>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</si>
  <si>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</si>
  <si>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</si>
  <si>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</si>
  <si>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</si>
  <si>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</si>
  <si>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</si>
  <si>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</si>
  <si>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</si>
  <si>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</si>
  <si>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</si>
  <si>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</si>
  <si>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</si>
  <si>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</si>
  <si>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</si>
  <si>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</si>
  <si>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</si>
  <si>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</si>
  <si>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</si>
  <si>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</si>
  <si>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</si>
  <si>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</si>
  <si>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</si>
  <si>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</si>
  <si>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</si>
  <si>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</si>
  <si>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</si>
  <si>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</si>
  <si>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</si>
  <si>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</si>
  <si>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</si>
  <si>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</si>
  <si>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</si>
  <si>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</si>
  <si>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</si>
  <si>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</si>
  <si>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</si>
  <si>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</si>
  <si>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</si>
  <si>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</si>
  <si>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</si>
  <si>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</si>
  <si>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</si>
  <si>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</si>
  <si>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</si>
  <si>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</si>
  <si>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</si>
  <si>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</si>
  <si>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</si>
  <si>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</si>
  <si>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</si>
  <si>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</si>
  <si>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</si>
  <si>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</si>
  <si>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</si>
  <si>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</si>
  <si>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</si>
  <si>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</si>
  <si>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</si>
  <si>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</si>
  <si>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</si>
  <si>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</si>
  <si>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</si>
  <si>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</si>
  <si>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</si>
  <si>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</si>
  <si>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</si>
  <si>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</si>
  <si>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</si>
  <si>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</si>
  <si>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</si>
  <si>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</si>
  <si>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</si>
  <si>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</si>
  <si>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</si>
  <si>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</si>
  <si>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</si>
  <si>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</si>
  <si>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</si>
  <si>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</si>
  <si>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</si>
  <si>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</si>
  <si>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</si>
  <si>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</si>
  <si>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</si>
  <si>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</si>
  <si>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</si>
  <si>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</si>
  <si>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</si>
  <si>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</si>
  <si>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</si>
  <si>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</si>
  <si>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</si>
  <si>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</si>
  <si>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</si>
  <si>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</si>
  <si>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</si>
  <si>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</si>
  <si>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</si>
  <si>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</si>
  <si>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</si>
  <si>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</si>
  <si>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</si>
  <si>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</si>
  <si>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</si>
  <si>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</si>
  <si>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</si>
  <si>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</si>
  <si>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</si>
  <si>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</si>
  <si>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</si>
  <si>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</si>
  <si>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</si>
  <si>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</si>
  <si>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</si>
  <si>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</si>
  <si>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</si>
  <si>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</si>
  <si>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</si>
  <si>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</si>
  <si>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</si>
  <si>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</si>
  <si>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</si>
  <si>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</si>
  <si>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</si>
  <si>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</si>
  <si>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</si>
  <si>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</si>
  <si>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</si>
  <si>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</si>
  <si>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</si>
  <si>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</si>
  <si>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</si>
  <si>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</si>
  <si>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</si>
  <si>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</si>
  <si>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</si>
  <si>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</si>
  <si>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</si>
  <si>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</si>
  <si>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</si>
  <si>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</si>
  <si>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</si>
  <si>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</si>
  <si>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</si>
  <si>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</si>
  <si>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</si>
  <si>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</si>
  <si>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</si>
  <si>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</si>
  <si>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</si>
  <si>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</si>
  <si>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</si>
  <si>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</si>
  <si>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</si>
  <si>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</si>
  <si>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</si>
  <si>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</si>
  <si>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</si>
  <si>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</si>
  <si>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</si>
  <si>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</si>
  <si>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</si>
  <si>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</si>
  <si>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</si>
  <si>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</si>
  <si>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</si>
  <si>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</si>
  <si>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</si>
  <si>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</si>
  <si>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</si>
  <si>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</si>
  <si>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</si>
  <si>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</si>
  <si>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</si>
  <si>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</si>
  <si>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</si>
  <si>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</si>
  <si>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</si>
  <si>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</si>
  <si>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</si>
  <si>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</si>
  <si>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</si>
  <si>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</si>
  <si>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</si>
  <si>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</si>
  <si>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</si>
  <si>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</si>
  <si>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</si>
  <si>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</si>
  <si>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</si>
  <si>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</si>
  <si>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</si>
  <si>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</si>
  <si>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</si>
  <si>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</si>
  <si>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</si>
  <si>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</si>
  <si>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</si>
  <si>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</si>
  <si>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</si>
  <si>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</si>
  <si>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</si>
  <si>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</si>
  <si>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</si>
  <si>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</si>
  <si>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</si>
  <si>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</si>
  <si>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</si>
  <si>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</si>
  <si>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</si>
  <si>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</si>
  <si>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</si>
  <si>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</si>
  <si>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</si>
  <si>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</si>
  <si>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</si>
  <si>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</si>
  <si>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</si>
  <si>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</si>
  <si>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</si>
  <si>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</si>
  <si>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</si>
  <si>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</si>
  <si>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</si>
  <si>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</si>
  <si>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</si>
  <si>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</si>
  <si>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</si>
  <si>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</si>
  <si>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</si>
  <si>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</si>
  <si>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</si>
  <si>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</si>
  <si>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</si>
  <si>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</si>
  <si>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</si>
  <si>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</si>
  <si>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</si>
  <si>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</si>
  <si>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</si>
  <si>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</si>
  <si>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</si>
  <si>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</si>
  <si>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</si>
  <si>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</si>
  <si>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</si>
  <si>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</si>
  <si>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</si>
  <si>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</si>
  <si>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</si>
  <si>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</si>
  <si>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</si>
  <si>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</si>
  <si>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</si>
  <si>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</si>
  <si>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</si>
  <si>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</si>
  <si>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</si>
  <si>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</si>
  <si>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</si>
  <si>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</si>
  <si>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</si>
  <si>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</si>
  <si>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</si>
  <si>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</si>
  <si>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</si>
  <si>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</si>
  <si>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</si>
  <si>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</si>
  <si>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</si>
  <si>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</si>
  <si>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</si>
  <si>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</si>
  <si>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</si>
  <si>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</si>
  <si>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</si>
  <si>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</si>
  <si>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</si>
  <si>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</si>
  <si>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</si>
  <si>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</si>
  <si>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</si>
  <si>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</si>
  <si>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</si>
  <si>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</si>
  <si>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</si>
  <si>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</si>
  <si>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</si>
  <si>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</si>
  <si>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</si>
  <si>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</si>
  <si>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</si>
  <si>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</si>
  <si>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</si>
  <si>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</si>
  <si>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</si>
  <si>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</si>
  <si>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</si>
  <si>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</si>
  <si>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</si>
  <si>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</si>
  <si>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</si>
  <si>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</si>
  <si>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</si>
  <si>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</si>
  <si>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</si>
  <si>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</si>
  <si>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</si>
  <si>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</si>
  <si>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</si>
  <si>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</si>
  <si>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</si>
  <si>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</si>
  <si>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</si>
  <si>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</si>
  <si>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</si>
  <si>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</si>
  <si>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</si>
  <si>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</si>
  <si>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</si>
  <si>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</si>
  <si>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</si>
  <si>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</si>
  <si>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</si>
  <si>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</si>
  <si>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</si>
  <si>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</si>
  <si>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</si>
  <si>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</si>
  <si>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</si>
  <si>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</si>
  <si>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</si>
  <si>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</si>
  <si>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</si>
  <si>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</si>
  <si>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</si>
  <si>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</si>
  <si>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</si>
  <si>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</si>
  <si>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</si>
  <si>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</si>
  <si>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</si>
  <si>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</si>
  <si>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</si>
  <si>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</si>
  <si>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</si>
  <si>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</si>
  <si>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</si>
  <si>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</si>
  <si>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</si>
  <si>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</si>
  <si>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</si>
  <si>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</si>
  <si>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</si>
  <si>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</si>
  <si>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</si>
  <si>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</si>
  <si>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</si>
  <si>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</si>
  <si>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</si>
  <si>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</si>
  <si>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</si>
  <si>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</si>
  <si>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</si>
  <si>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</si>
  <si>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</si>
  <si>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</si>
  <si>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</si>
  <si>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</si>
  <si>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</si>
  <si>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</si>
  <si>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</si>
  <si>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</si>
  <si>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</si>
  <si>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</si>
  <si>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</si>
  <si>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</si>
  <si>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</si>
  <si>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</si>
  <si>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</si>
  <si>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</si>
  <si>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</si>
  <si>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</si>
  <si>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</si>
  <si>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</si>
  <si>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</si>
  <si>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</si>
  <si>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</si>
  <si>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</si>
  <si>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</si>
  <si>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</si>
  <si>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</si>
  <si>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</si>
  <si>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</si>
  <si>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</si>
  <si>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</si>
  <si>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</si>
  <si>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</si>
  <si>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</si>
  <si>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</si>
  <si>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</si>
  <si>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</si>
  <si>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</si>
  <si>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</si>
  <si>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</si>
  <si>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</si>
  <si>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</si>
  <si>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</si>
  <si>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</si>
  <si>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</si>
  <si>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</si>
  <si>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</si>
  <si>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</si>
  <si>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</si>
  <si>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</si>
  <si>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</si>
  <si>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</si>
  <si>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</si>
  <si>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</si>
  <si>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</si>
  <si>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</si>
  <si>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</si>
  <si>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</si>
  <si>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</si>
  <si>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</si>
  <si>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</si>
  <si>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</si>
  <si>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</si>
  <si>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</si>
  <si>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</si>
  <si>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</si>
  <si>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</si>
  <si>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</si>
  <si>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</si>
  <si>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</si>
  <si>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</si>
  <si>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</si>
  <si>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</si>
  <si>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</si>
  <si>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</si>
  <si>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</si>
  <si>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</si>
  <si>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</si>
  <si>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</si>
  <si>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</si>
  <si>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</si>
  <si>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</si>
  <si>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</si>
  <si>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</si>
  <si>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</si>
  <si>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</si>
  <si>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</si>
  <si>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</si>
  <si>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</si>
  <si>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</si>
  <si>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</si>
  <si>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</si>
  <si>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</si>
  <si>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</si>
  <si>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</si>
  <si>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</si>
  <si>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</si>
  <si>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</si>
  <si>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</si>
  <si>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</si>
  <si>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</si>
  <si>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</si>
  <si>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</si>
  <si>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</si>
  <si>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</si>
  <si>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</si>
  <si>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</si>
  <si>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</si>
  <si>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</si>
  <si>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</si>
  <si>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</si>
  <si>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</si>
  <si>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</si>
  <si>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</si>
  <si>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</si>
  <si>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</si>
  <si>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</si>
  <si>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</si>
  <si>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</si>
  <si>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</si>
  <si>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</si>
  <si>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</si>
  <si>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</si>
  <si>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</si>
  <si>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</si>
  <si>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</si>
  <si>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</si>
  <si>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</si>
  <si>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</si>
  <si>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</si>
  <si>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</si>
  <si>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</si>
  <si>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</si>
  <si>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</si>
  <si>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</si>
  <si>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</si>
  <si>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</si>
  <si>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</si>
  <si>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</si>
  <si>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</si>
  <si>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</si>
  <si>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</si>
  <si>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</si>
  <si>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</si>
  <si>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</si>
  <si>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</si>
  <si>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</si>
  <si>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</si>
  <si>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</si>
  <si>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</si>
  <si>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</si>
  <si>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</si>
  <si>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</si>
  <si>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</si>
  <si>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</si>
  <si>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</si>
  <si>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</si>
  <si>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</si>
  <si>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</si>
  <si>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</si>
  <si>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</si>
  <si>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</si>
  <si>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</si>
  <si>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</si>
  <si>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</si>
  <si>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</si>
  <si>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</si>
  <si>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</si>
  <si>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</si>
  <si>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</si>
  <si>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</si>
  <si>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</si>
  <si>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</si>
  <si>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</si>
  <si>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</si>
  <si>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</si>
  <si>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</si>
  <si>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</si>
  <si>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</si>
  <si>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</si>
  <si>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</si>
  <si>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</si>
  <si>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</si>
  <si>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</si>
  <si>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</si>
  <si>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</si>
  <si>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</si>
  <si>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</si>
  <si>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</si>
  <si>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</si>
  <si>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</si>
  <si>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</si>
  <si>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</si>
  <si>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</si>
  <si>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</si>
  <si>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</si>
  <si>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</si>
  <si>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</si>
  <si>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</si>
  <si>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</si>
  <si>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</si>
  <si>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</si>
  <si>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</si>
  <si>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</si>
  <si>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</si>
  <si>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</si>
  <si>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</si>
  <si>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</si>
  <si>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</si>
  <si>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</si>
  <si>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</si>
  <si>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</si>
  <si>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</si>
  <si>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</si>
  <si>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</si>
  <si>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</si>
  <si>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</si>
  <si>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</si>
  <si>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</si>
  <si>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</si>
  <si>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</si>
  <si>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</si>
  <si>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</si>
  <si>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</si>
  <si>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</si>
  <si>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</si>
  <si>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</si>
  <si>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</si>
  <si>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</si>
  <si>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</si>
  <si>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</si>
  <si>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</si>
  <si>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</si>
  <si>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</si>
  <si>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</si>
  <si>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</si>
  <si>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</si>
  <si>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</si>
  <si>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</si>
  <si>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</si>
  <si>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</si>
  <si>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</si>
  <si>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</si>
  <si>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</si>
  <si>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</si>
  <si>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</si>
  <si>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</si>
  <si>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</si>
  <si>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</si>
  <si>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</si>
  <si>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</si>
  <si>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</si>
  <si>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</si>
  <si>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</si>
  <si>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</si>
  <si>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</si>
  <si>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</si>
  <si>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</si>
  <si>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</si>
  <si>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</si>
  <si>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</si>
  <si>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</si>
  <si>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</si>
  <si>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</si>
  <si>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</si>
  <si>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</si>
  <si>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</si>
  <si>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</si>
  <si>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</si>
  <si>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</si>
  <si>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</si>
  <si>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</si>
  <si>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</si>
  <si>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</si>
  <si>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</si>
  <si>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</si>
  <si>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</si>
  <si>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</si>
  <si>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</si>
  <si>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</si>
  <si>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</si>
  <si>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</si>
  <si>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</si>
  <si>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</si>
  <si>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</si>
  <si>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</si>
  <si>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</si>
  <si>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</si>
  <si>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</si>
  <si>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</si>
  <si>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</si>
  <si>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</si>
  <si>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</si>
  <si>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</si>
  <si>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</si>
  <si>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</si>
  <si>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</si>
  <si>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</si>
  <si>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</si>
  <si>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</si>
  <si>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</si>
  <si>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</si>
  <si>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</si>
  <si>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</si>
  <si>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</si>
  <si>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</si>
  <si>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</si>
  <si>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</si>
  <si>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</si>
  <si>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</si>
  <si>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</si>
  <si>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</si>
  <si>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</si>
  <si>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</si>
  <si>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</si>
  <si>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</si>
  <si>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</si>
  <si>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</si>
  <si>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</si>
  <si>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</si>
  <si>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</si>
  <si>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</si>
  <si>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</si>
  <si>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</si>
  <si>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</si>
  <si>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</si>
  <si>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</si>
  <si>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</si>
  <si>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</si>
  <si>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</si>
  <si>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</si>
  <si>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</si>
  <si>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</si>
  <si>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</si>
  <si>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</si>
  <si>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</si>
  <si>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</si>
  <si>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</si>
  <si>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</si>
  <si>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</si>
  <si>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</si>
  <si>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</si>
  <si>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</si>
  <si>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</si>
  <si>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</si>
  <si>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</si>
  <si>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</si>
  <si>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</si>
  <si>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</si>
  <si>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</si>
  <si>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</si>
  <si>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</si>
  <si>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</si>
  <si>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</si>
  <si>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</si>
  <si>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</si>
  <si>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</si>
  <si>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</si>
  <si>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</si>
  <si>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</si>
  <si>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</si>
  <si>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</si>
  <si>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</si>
  <si>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</si>
  <si>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</si>
  <si>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</si>
  <si>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</si>
  <si>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</si>
  <si>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</si>
  <si>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</si>
  <si>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</si>
  <si>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</si>
  <si>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</si>
  <si>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</si>
  <si>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</si>
  <si>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</si>
  <si>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</si>
  <si>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</si>
  <si>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</si>
  <si>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</si>
  <si>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</si>
  <si>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</si>
  <si>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</si>
  <si>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</si>
  <si>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</si>
  <si>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</si>
  <si>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</si>
  <si>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</si>
  <si>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</si>
  <si>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</si>
  <si>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</si>
  <si>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</si>
  <si>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</si>
  <si>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</si>
  <si>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</si>
  <si>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</si>
  <si>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</si>
  <si>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</si>
  <si>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</si>
  <si>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</si>
  <si>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</si>
  <si>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</si>
  <si>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</si>
  <si>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</si>
  <si>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</si>
  <si>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</si>
  <si>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</si>
  <si>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</si>
  <si>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</si>
  <si>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</si>
  <si>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</si>
  <si>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</si>
  <si>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</si>
  <si>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</si>
  <si>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</si>
  <si>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</si>
  <si>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</si>
  <si>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</si>
  <si>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</si>
  <si>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</si>
  <si>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</si>
  <si>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</si>
  <si>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</si>
  <si>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</si>
  <si>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</si>
  <si>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</si>
  <si>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</si>
  <si>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</si>
  <si>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</si>
  <si>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</si>
  <si>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</si>
  <si>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</si>
  <si>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</si>
  <si>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</si>
  <si>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</si>
  <si>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</si>
  <si>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</si>
  <si>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</si>
  <si>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</si>
  <si>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</si>
  <si>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</si>
  <si>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</si>
  <si>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</si>
  <si>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</si>
  <si>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</si>
  <si>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</si>
  <si>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</si>
  <si>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</si>
  <si>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</si>
  <si>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</si>
  <si>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</si>
  <si>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</si>
  <si>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</si>
  <si>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</si>
  <si>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</si>
  <si>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</si>
  <si>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</si>
  <si>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</si>
  <si>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</si>
  <si>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</si>
  <si>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</si>
  <si>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</si>
  <si>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</si>
  <si>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</si>
  <si>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</si>
  <si>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</si>
  <si>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</si>
  <si>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</si>
  <si>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</si>
  <si>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</si>
  <si>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</si>
  <si>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</si>
  <si>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</si>
  <si>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</si>
  <si>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</si>
  <si>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</si>
  <si>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</si>
  <si>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</si>
  <si>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</si>
  <si>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</si>
  <si>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</si>
  <si>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</si>
  <si>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</si>
  <si>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</si>
  <si>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</si>
  <si>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</si>
  <si>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</si>
  <si>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</si>
  <si>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</si>
  <si>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</si>
  <si>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</si>
  <si>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</si>
  <si>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</si>
  <si>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</si>
  <si>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</si>
  <si>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</si>
  <si>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</si>
  <si>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</si>
  <si>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</si>
  <si>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</si>
  <si>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</si>
  <si>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</si>
  <si>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</si>
  <si>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</si>
  <si>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</si>
  <si>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</si>
  <si>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</si>
  <si>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</si>
  <si>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</si>
  <si>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</si>
  <si>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</si>
  <si>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</si>
  <si>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</si>
  <si>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</si>
  <si>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</si>
  <si>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</si>
  <si>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</si>
  <si>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</si>
  <si>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</si>
  <si>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</si>
  <si>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</si>
  <si>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</si>
  <si>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</si>
  <si>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</si>
  <si>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</si>
  <si>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</si>
  <si>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</si>
  <si>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</si>
  <si>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</si>
  <si>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</si>
  <si>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</si>
  <si>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</si>
  <si>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</si>
  <si>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</si>
  <si>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</si>
  <si>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</si>
  <si>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</si>
  <si>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</si>
  <si>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</si>
  <si>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</si>
  <si>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</si>
  <si>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</si>
  <si>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</si>
  <si>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</si>
  <si>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</si>
  <si>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</si>
  <si>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</si>
  <si>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</si>
  <si>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</si>
  <si>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</si>
  <si>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</si>
  <si>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</si>
  <si>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</si>
  <si>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</si>
  <si>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</si>
  <si>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</si>
  <si>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</si>
  <si>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</si>
  <si>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</si>
  <si>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</si>
  <si>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</si>
  <si>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</si>
  <si>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</si>
  <si>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</si>
  <si>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</si>
  <si>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</si>
  <si>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</si>
  <si>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</si>
  <si>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</si>
  <si>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</si>
  <si>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</si>
  <si>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</si>
  <si>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</si>
  <si>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</si>
  <si>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</si>
  <si>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</si>
  <si>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</si>
  <si>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</si>
  <si>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</si>
  <si>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</si>
  <si>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</si>
  <si>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</si>
  <si>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</si>
  <si>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</si>
  <si>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</si>
  <si>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</si>
  <si>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</si>
  <si>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</si>
  <si>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</si>
  <si>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</si>
  <si>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</si>
  <si>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</si>
  <si>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</si>
  <si>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</si>
  <si>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</si>
  <si>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</si>
  <si>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</si>
  <si>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</si>
  <si>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</si>
  <si>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</si>
  <si>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</si>
  <si>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</si>
  <si>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</si>
  <si>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</si>
  <si>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</si>
  <si>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</si>
  <si>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</si>
  <si>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</si>
  <si>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</si>
  <si>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</si>
  <si>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</si>
  <si>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</si>
  <si>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</si>
  <si>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</si>
  <si>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</si>
  <si>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</si>
  <si>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</si>
  <si>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</si>
  <si>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</si>
  <si>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</si>
  <si>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</si>
  <si>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</si>
  <si>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</si>
  <si>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</si>
  <si>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</si>
  <si>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</si>
  <si>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</si>
  <si>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</si>
  <si>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</si>
  <si>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</si>
  <si>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</si>
  <si>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</si>
  <si>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</si>
  <si>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</si>
  <si>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</si>
  <si>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</si>
  <si>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</si>
  <si>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</si>
  <si>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</si>
  <si>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</si>
  <si>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</si>
  <si>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</si>
  <si>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</si>
  <si>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</si>
  <si>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</si>
  <si>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</si>
  <si>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</si>
  <si>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</si>
  <si>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</si>
  <si>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</si>
  <si>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</si>
  <si>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</si>
  <si>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</si>
  <si>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</si>
  <si>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</si>
  <si>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</si>
  <si>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</si>
  <si>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</si>
  <si>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</si>
  <si>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</si>
  <si>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</si>
  <si>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</si>
  <si>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</si>
  <si>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</si>
  <si>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</si>
  <si>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</si>
  <si>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</si>
  <si>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</si>
  <si>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</si>
  <si>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</si>
  <si>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</si>
  <si>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</si>
  <si>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</si>
  <si>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</si>
  <si>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</si>
  <si>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</si>
  <si>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</si>
  <si>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</si>
  <si>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</si>
  <si>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</si>
  <si>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</si>
  <si>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</si>
  <si>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</si>
  <si>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</si>
  <si>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</si>
  <si>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</si>
  <si>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</si>
  <si>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</si>
  <si>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</si>
  <si>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</si>
  <si>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</si>
  <si>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</si>
  <si>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</si>
  <si>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</si>
  <si>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</si>
  <si>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</si>
  <si>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</si>
  <si>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</si>
  <si>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</si>
  <si>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</si>
  <si>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</si>
  <si>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</si>
  <si>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</si>
  <si>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</si>
  <si>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</si>
  <si>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</si>
  <si>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</si>
  <si>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</si>
  <si>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</si>
  <si>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</si>
  <si>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</si>
  <si>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</si>
  <si>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</si>
  <si>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</si>
  <si>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</si>
  <si>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</si>
  <si>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</si>
  <si>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</si>
  <si>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</si>
  <si>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</si>
  <si>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</si>
  <si>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</si>
  <si>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</si>
  <si>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</si>
  <si>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</si>
  <si>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</si>
  <si>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</si>
  <si>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</si>
  <si>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</si>
  <si>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</si>
  <si>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</si>
  <si>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</si>
  <si>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</si>
  <si>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</si>
  <si>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</si>
  <si>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</si>
  <si>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</si>
  <si>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</si>
  <si>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</si>
  <si>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</si>
  <si>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</si>
  <si>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</si>
  <si>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</si>
  <si>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</si>
  <si>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</si>
  <si>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</si>
  <si>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</si>
  <si>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</si>
  <si>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</si>
  <si>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</si>
  <si>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</si>
  <si>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</si>
  <si>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</si>
  <si>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</si>
  <si>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</si>
  <si>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</si>
  <si>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</si>
  <si>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</si>
  <si>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</si>
  <si>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</si>
  <si>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</si>
  <si>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</si>
  <si>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</si>
  <si>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</si>
  <si>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</si>
  <si>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</si>
  <si>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</si>
  <si>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</si>
  <si>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</si>
  <si>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</si>
  <si>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</si>
  <si>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</si>
  <si>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</si>
  <si>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</si>
  <si>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</si>
  <si>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</si>
  <si>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</si>
  <si>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</si>
  <si>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</si>
  <si>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</si>
  <si>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</si>
  <si>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</si>
  <si>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</si>
  <si>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</si>
  <si>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</si>
  <si>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</si>
  <si>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</si>
  <si>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</si>
  <si>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</si>
  <si>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</si>
  <si>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</si>
  <si>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</si>
  <si>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</si>
  <si>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</si>
  <si>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</si>
  <si>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</si>
  <si>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</si>
  <si>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</si>
  <si>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</si>
  <si>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</si>
  <si>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</si>
  <si>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</si>
  <si>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</si>
  <si>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</si>
  <si>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</si>
  <si>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</si>
  <si>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</si>
  <si>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</si>
  <si>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</si>
  <si>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</si>
  <si>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</si>
  <si>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</si>
  <si>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</si>
  <si>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</si>
  <si>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</si>
  <si>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</si>
  <si>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</si>
  <si>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</si>
  <si>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</si>
  <si>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</si>
  <si>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</si>
  <si>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</si>
  <si>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</si>
  <si>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</si>
  <si>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</si>
  <si>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</si>
  <si>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</si>
  <si>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</si>
  <si>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</si>
  <si>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</si>
  <si>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</si>
  <si>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</si>
  <si>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</si>
  <si>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</si>
  <si>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</si>
  <si>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</si>
  <si>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</si>
  <si>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</si>
  <si>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</si>
  <si>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</si>
  <si>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</si>
  <si>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</si>
  <si>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</si>
  <si>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</si>
  <si>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</si>
  <si>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</si>
  <si>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</si>
  <si>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</si>
  <si>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</si>
  <si>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</si>
  <si>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</si>
  <si>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</si>
  <si>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</si>
  <si>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</si>
  <si>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</si>
  <si>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</si>
  <si>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</si>
  <si>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</si>
  <si>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</si>
  <si>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</si>
  <si>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</si>
  <si>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</si>
  <si>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</si>
  <si>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</si>
  <si>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</si>
  <si>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</si>
  <si>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</si>
  <si>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</si>
  <si>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</si>
  <si>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</si>
  <si>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</si>
  <si>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</si>
  <si>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</si>
  <si>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</si>
  <si>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</si>
  <si>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</si>
  <si>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</si>
  <si>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</si>
  <si>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</si>
  <si>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</si>
  <si>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</si>
  <si>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</si>
  <si>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</si>
  <si>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</si>
  <si>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</si>
  <si>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</si>
  <si>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</si>
  <si>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</si>
  <si>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</si>
  <si>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</si>
  <si>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</si>
  <si>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</si>
  <si>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</si>
  <si>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</si>
  <si>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</si>
  <si>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</si>
  <si>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</si>
  <si>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</si>
  <si>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</si>
  <si>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</si>
  <si>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</si>
  <si>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</si>
  <si>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</si>
  <si>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</si>
  <si>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</si>
  <si>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</si>
  <si>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</si>
  <si>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</si>
  <si>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</si>
  <si>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</si>
  <si>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</si>
  <si>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</si>
  <si>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</si>
  <si>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</si>
  <si>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</si>
  <si>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</si>
  <si>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</si>
  <si>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</si>
  <si>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</si>
  <si>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</si>
  <si>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</si>
  <si>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</si>
  <si>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</si>
  <si>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</si>
  <si>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</si>
  <si>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</si>
  <si>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</si>
  <si>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</si>
  <si>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</si>
  <si>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</si>
  <si>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</si>
  <si>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</si>
  <si>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phoneticPr fontId="26" type="noConversion"/>
  </si>
  <si>
    <t>住宅</t>
    <phoneticPr fontId="26" type="noConversion"/>
  </si>
  <si>
    <t>1层</t>
    <phoneticPr fontId="233" type="noConversion"/>
  </si>
  <si>
    <t>2层</t>
    <phoneticPr fontId="233" type="noConversion"/>
  </si>
  <si>
    <t>3层</t>
    <phoneticPr fontId="233" type="noConversion"/>
  </si>
  <si>
    <t>4层及以上</t>
    <phoneticPr fontId="233" type="noConversion"/>
  </si>
  <si>
    <t>系数</t>
    <phoneticPr fontId="233" type="noConversion"/>
  </si>
  <si>
    <t>共9层</t>
    <phoneticPr fontId="233" type="noConversion"/>
  </si>
  <si>
    <t>总建筑面积</t>
    <phoneticPr fontId="233" type="noConversion"/>
  </si>
  <si>
    <t>建筑面积</t>
    <phoneticPr fontId="233" type="noConversion"/>
  </si>
  <si>
    <t>平均售价</t>
    <phoneticPr fontId="233" type="noConversion"/>
  </si>
  <si>
    <t>商业</t>
    <phoneticPr fontId="26" type="noConversion"/>
  </si>
  <si>
    <t>补交地价款</t>
    <phoneticPr fontId="9" type="noConversion"/>
  </si>
  <si>
    <t>商业/办公用地</t>
  </si>
  <si>
    <t>≤1</t>
  </si>
  <si>
    <t>北大资源集团投资有限公司、五矿国际信托有限公司</t>
  </si>
  <si>
    <t>白云区麦架镇小桥村</t>
  </si>
  <si>
    <t>≤0.35</t>
  </si>
  <si>
    <t>2018-05-31</t>
  </si>
  <si>
    <t>中国石化销售有限公司贵州贵阳石油分公司</t>
  </si>
  <si>
    <t>白云区艳山红镇观云大道东侧</t>
  </si>
  <si>
    <t>≤50%</t>
  </si>
  <si>
    <t>2018-03-05</t>
  </si>
  <si>
    <t>中国石油天然气股份有限公司贵州销售分公司</t>
  </si>
  <si>
    <t>白云区艳山红镇观云大道西侧</t>
  </si>
  <si>
    <t>≤0.5</t>
  </si>
  <si>
    <t>2018-01-24</t>
  </si>
  <si>
    <t>贵州迈达盛集团有限公司</t>
  </si>
  <si>
    <t>≤2.5</t>
  </si>
  <si>
    <t>≤3</t>
  </si>
  <si>
    <t>≤3.5</t>
  </si>
  <si>
    <t>白云区麦架镇麦架村白修线西侧</t>
  </si>
  <si>
    <t>≤0.8</t>
  </si>
  <si>
    <t>2017-11-15</t>
  </si>
  <si>
    <t>白云区艳山红镇云环路西侧</t>
  </si>
  <si>
    <t>2017-03-08</t>
  </si>
  <si>
    <t>贵阳云中能源投资有限公司</t>
  </si>
  <si>
    <t>白云区龙井路南侧、金湖路北侧、诚信北路沿线西侧</t>
  </si>
  <si>
    <t>2017-02-27</t>
  </si>
  <si>
    <t>白云区龙井路南侧、金湖路北侧、云峰大道西侧</t>
  </si>
  <si>
    <t>贵阳市高新区沙文生态科技产业园区北部</t>
  </si>
  <si>
    <t>等于0.3</t>
  </si>
  <si>
    <t>2017-01-23</t>
  </si>
  <si>
    <t>贵阳高科控股集团有限公司</t>
  </si>
  <si>
    <t>白云区黑石头二号路</t>
  </si>
  <si>
    <t>≤0.4</t>
  </si>
  <si>
    <t>2017-01-10</t>
  </si>
  <si>
    <t>观山湖区观山西路北侧、诚信南路西侧</t>
  </si>
  <si>
    <t>≥1,≤1.5</t>
  </si>
  <si>
    <t>2018-08-31</t>
  </si>
  <si>
    <t>观投</t>
  </si>
  <si>
    <t>观山湖区宾阳大道与体育路交叉口西南、西北两侧</t>
  </si>
  <si>
    <t>2018-02-07</t>
  </si>
  <si>
    <t>贵阳宝和房地产开发有限公司</t>
  </si>
  <si>
    <t>≤2</t>
  </si>
  <si>
    <t>观山湖区金华镇何关村金清大道清镇往观山湖区方向右侧</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</si>
  <si>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</si>
  <si>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</si>
  <si>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</si>
  <si>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</si>
  <si>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</si>
  <si>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</si>
  <si>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</si>
  <si>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</si>
  <si>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</si>
  <si>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</si>
  <si>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</si>
  <si>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</si>
  <si>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</si>
  <si>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</si>
  <si>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较好</t>
  </si>
  <si>
    <t>好</t>
  </si>
  <si>
    <t>一般</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</si>
  <si>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</si>
  <si>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</si>
  <si>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</si>
  <si>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</si>
  <si>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</si>
  <si>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</si>
  <si>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</si>
  <si>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</si>
  <si>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</si>
  <si>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</si>
  <si>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</si>
  <si>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</si>
  <si>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</si>
  <si>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</si>
  <si>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</si>
  <si>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</si>
  <si>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</si>
  <si>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</si>
  <si>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</si>
  <si>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</si>
  <si>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</si>
  <si>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</si>
  <si>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</si>
  <si>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不动产收益法</t>
  </si>
  <si>
    <t>土地（套用方法）</t>
  </si>
  <si>
    <t>押一</t>
  </si>
  <si>
    <t>按租金收入计税</t>
  </si>
  <si>
    <t>钢混</t>
  </si>
  <si>
    <t>租金</t>
    <phoneticPr fontId="233" type="noConversion"/>
  </si>
  <si>
    <t>较差</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</si>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</sst>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52" fillId="0" borderId="38" xfId="0" applyFont="1" applyFill="1" applyBorder="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4" fontId="78" fillId="9" borderId="10" xfId="0" applyNumberFormat="1" applyFont="1" applyFill="1" applyBorder="1" applyAlignment="1" applyProtection="1">
      <alignment horizontal="lef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50661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出让国有建设用地使用权预评估</v>
      </c>
      <c r="AX2" s="2897"/>
      <c r="AZ2" s="2897"/>
      <c r="BA2" s="2898"/>
      <c r="BC2" s="2898"/>
    </row>
    <row r="3" spans="1:55" s="2899" customFormat="1">
      <c r="A3" s="2878" t="s">
        <v>2663</v>
      </c>
      <c r="B3" s="2881">
        <f>'预评函-封皮'!B40</f>
        <v>0</v>
      </c>
    </row>
    <row r="4" spans="1:55" s="2880" customFormat="1">
      <c r="A4" s="2878" t="s">
        <v>2664</v>
      </c>
      <c r="B4" s="2879" t="str">
        <f>'预评函-封皮'!B46</f>
        <v>王鹏、土地估价师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84475.6平方米。根据《建设工程规划许可证》[]、《出让合同》[]，估价对象规划建筑面积为295664.6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2019年6月11日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根据《国有土地使用证》[]，估价对象（分摊）出让国有建设用地使用权面积为84475.6平方米。根据《建设工程规划许可证》[]、《出让合同》[]，估价对象规划建筑面积为295664.6平方米。</v>
      </c>
    </row>
    <row r="16" spans="1:55" s="2877" customFormat="1">
      <c r="A16" s="2878" t="s">
        <v>2671</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2675</v>
      </c>
      <c r="B20" s="2879" t="str">
        <f>'预评函-1'!A27</f>
        <v>——</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估价期日：2019年6月11日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84475.6</v>
      </c>
    </row>
    <row r="44" spans="1:2">
      <c r="A44" s="2878" t="s">
        <v>2742</v>
      </c>
      <c r="B44" s="2879" t="str">
        <f>'预评函-2'!O3</f>
        <v>规划建筑面积/㎡</v>
      </c>
    </row>
    <row r="45" spans="1:2">
      <c r="A45" s="2878" t="s">
        <v>2724</v>
      </c>
      <c r="B45" s="2879">
        <f>'预评函-2'!O5</f>
        <v>295664.59999999998</v>
      </c>
    </row>
    <row r="46" spans="1:2">
      <c r="A46" s="2878" t="s">
        <v>2725</v>
      </c>
      <c r="B46" s="2879">
        <f ca="1">'预评函-2'!P5</f>
        <v>8291</v>
      </c>
    </row>
    <row r="47" spans="1:2">
      <c r="A47" s="2878" t="s">
        <v>2726</v>
      </c>
      <c r="B47" s="2879">
        <f ca="1">'预评函-2'!Q5</f>
        <v>2369</v>
      </c>
    </row>
    <row r="48" spans="1:2">
      <c r="A48" s="2878" t="s">
        <v>2727</v>
      </c>
      <c r="B48" s="2879">
        <f ca="1">'预评函-2'!R5</f>
        <v>70041</v>
      </c>
    </row>
    <row r="49" spans="1:2">
      <c r="A49" s="2878" t="s">
        <v>2743</v>
      </c>
      <c r="B49" s="2879" t="str">
        <f>'预评函-2'!A6</f>
        <v>抵押价格</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王鹏</v>
      </c>
    </row>
    <row r="70" spans="1:2">
      <c r="A70" s="2878" t="s">
        <v>2692</v>
      </c>
      <c r="B70" s="2885">
        <f ca="1">'预评函-3'!B20</f>
        <v>2002110030</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34" t="str">
        <f>IF(B10="北京市","北京市",C10)&amp;F10&amp;B16&amp;"国有建设用地使用权"&amp;B9&amp;"预评估"</f>
        <v>出让国有建设用地使用权预评估</v>
      </c>
      <c r="C1" s="3235"/>
      <c r="D1" s="3235"/>
      <c r="E1" s="3235"/>
      <c r="F1" s="3235"/>
      <c r="G1" s="3235"/>
      <c r="H1" s="3235"/>
      <c r="I1" s="3236"/>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c r="C3" s="1662" t="s">
        <v>1997</v>
      </c>
      <c r="D3" s="3190">
        <v>43627</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3152</v>
      </c>
      <c r="C4" s="1845">
        <f ca="1">SUMIF(土地估价师,B4,估价师及机构信息!E3:E24)</f>
        <v>2002110030</v>
      </c>
      <c r="D4" s="1842" t="s">
        <v>2891</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王鹏、土地估价师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c r="C8" s="1670"/>
      <c r="D8" s="3240"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c r="C9" s="1674"/>
      <c r="D9" s="3241"/>
      <c r="E9" s="1673"/>
      <c r="F9" s="1746"/>
      <c r="G9" s="1741"/>
      <c r="H9" s="1741"/>
      <c r="I9" s="1742"/>
      <c r="J9" s="1693"/>
      <c r="K9" s="1773"/>
      <c r="L9" s="1722"/>
      <c r="M9" s="1722"/>
      <c r="N9" s="1693"/>
      <c r="O9" s="1694"/>
      <c r="P9" s="1693"/>
      <c r="Q9" s="1693"/>
      <c r="R9" s="1693"/>
      <c r="S9" s="1693"/>
      <c r="T9" s="1693"/>
      <c r="U9" s="1693"/>
    </row>
    <row r="10" spans="1:21" ht="15" thickTop="1">
      <c r="A10" s="1743" t="s">
        <v>2001</v>
      </c>
      <c r="B10" s="1718"/>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37"/>
      <c r="C12" s="3238"/>
      <c r="D12" s="3239"/>
      <c r="E12" s="1698" t="s">
        <v>2063</v>
      </c>
      <c r="F12" s="3255" t="s">
        <v>2892</v>
      </c>
      <c r="G12" s="3256"/>
      <c r="H12" s="3256"/>
      <c r="I12" s="3257"/>
      <c r="J12" s="1693"/>
      <c r="K12" s="1773"/>
      <c r="L12" s="1722"/>
      <c r="M12" s="1722"/>
      <c r="N12" s="1693"/>
      <c r="O12" s="1694"/>
      <c r="P12" s="1693"/>
      <c r="Q12" s="1693"/>
      <c r="R12" s="1693"/>
      <c r="S12" s="1693"/>
      <c r="T12" s="1693"/>
      <c r="U12" s="1693"/>
    </row>
    <row r="13" spans="1:21">
      <c r="A13" s="1686" t="s">
        <v>2061</v>
      </c>
      <c r="B13" s="3237"/>
      <c r="C13" s="3238"/>
      <c r="D13" s="3239"/>
      <c r="E13" s="1698" t="s">
        <v>2063</v>
      </c>
      <c r="F13" s="3255" t="s">
        <v>2893</v>
      </c>
      <c r="G13" s="3256"/>
      <c r="H13" s="3256"/>
      <c r="I13" s="3257"/>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2988</v>
      </c>
      <c r="C16" s="1698" t="s">
        <v>1950</v>
      </c>
      <c r="D16" s="2646" t="s">
        <v>1951</v>
      </c>
      <c r="E16" s="1721" t="s">
        <v>2989</v>
      </c>
      <c r="F16" s="1721"/>
      <c r="G16" s="1721"/>
      <c r="H16" s="1721"/>
      <c r="I16" s="1685" t="s">
        <v>1956</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1957</v>
      </c>
      <c r="D17" s="1699">
        <v>68661</v>
      </c>
      <c r="E17" s="1699">
        <v>57704</v>
      </c>
      <c r="F17" s="1699"/>
      <c r="G17" s="1699"/>
      <c r="H17" s="1699"/>
      <c r="I17" s="1699"/>
      <c r="J17" s="1693"/>
      <c r="K17" s="2455" t="str">
        <f>CONCATENATE(K16,L16,M16,N16,O16,P16,Q16,R16,S16,T16,,U16)</f>
        <v>住宅2087年12月25日、商业2057年12月25日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68.58</v>
      </c>
      <c r="E19" s="1684">
        <f>IF(B16="出让",IF(E17="","",ROUNDDOWN(MIN((E17-$D$3)/365,E18),2)),E18)</f>
        <v>38.56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2"/>
      <c r="E20" s="3253"/>
      <c r="F20" s="3253"/>
      <c r="G20" s="3253"/>
      <c r="H20" s="3253"/>
      <c r="I20" s="3254"/>
      <c r="J20" s="1693"/>
      <c r="K20" s="1773"/>
      <c r="L20" s="1722"/>
      <c r="M20" s="1722"/>
      <c r="N20" s="1693"/>
      <c r="O20" s="1694"/>
      <c r="P20" s="1693"/>
      <c r="Q20" s="1693"/>
      <c r="R20" s="1693"/>
      <c r="S20" s="1693"/>
      <c r="T20" s="1693"/>
      <c r="U20" s="1693"/>
    </row>
    <row r="21" spans="1:21">
      <c r="A21" s="1762" t="s">
        <v>1960</v>
      </c>
      <c r="B21" s="1763" t="s">
        <v>1961</v>
      </c>
      <c r="C21" s="1758">
        <f>'数据-汇总表'!E3</f>
        <v>295664.59999999998</v>
      </c>
      <c r="D21" s="1759" t="s">
        <v>1962</v>
      </c>
      <c r="E21" s="3242" t="s">
        <v>2000</v>
      </c>
      <c r="F21" s="3243"/>
      <c r="G21" s="3243"/>
      <c r="H21" s="3243"/>
      <c r="I21" s="3244"/>
      <c r="J21" s="1693"/>
      <c r="K21" s="1773"/>
      <c r="L21" s="1722"/>
      <c r="M21" s="1722"/>
      <c r="N21" s="1693"/>
      <c r="O21" s="1694"/>
      <c r="P21" s="1693"/>
      <c r="Q21" s="1693"/>
      <c r="R21" s="1693"/>
      <c r="S21" s="1693"/>
      <c r="T21" s="1693"/>
      <c r="U21" s="1693"/>
    </row>
    <row r="22" spans="1:21">
      <c r="A22" s="3149" t="s">
        <v>951</v>
      </c>
      <c r="B22" s="1660" t="s">
        <v>1963</v>
      </c>
      <c r="C22" s="1685">
        <f>'数据-汇总表'!D3</f>
        <v>84475.6</v>
      </c>
      <c r="D22" s="1686" t="s">
        <v>1962</v>
      </c>
      <c r="E22" s="3242" t="s">
        <v>2894</v>
      </c>
      <c r="F22" s="3243"/>
      <c r="G22" s="3243"/>
      <c r="H22" s="3243"/>
      <c r="I22" s="3244"/>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45" t="s">
        <v>1968</v>
      </c>
      <c r="C24" s="3246"/>
      <c r="D24" s="3247" t="s">
        <v>1969</v>
      </c>
      <c r="E24" s="3248"/>
      <c r="F24" s="1707" t="s">
        <v>1970</v>
      </c>
      <c r="G24" s="1693"/>
      <c r="H24" s="1693"/>
      <c r="I24" s="1706"/>
      <c r="J24" s="1693"/>
      <c r="K24" s="3233"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3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3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19" t="s">
        <v>2003</v>
      </c>
      <c r="B31" s="1763" t="s">
        <v>2004</v>
      </c>
      <c r="C31" s="3258"/>
      <c r="D31" s="3259"/>
      <c r="E31" s="1693"/>
      <c r="F31" s="1693"/>
      <c r="G31" s="1693"/>
      <c r="H31" s="1693"/>
      <c r="I31" s="1706"/>
      <c r="J31" s="1693"/>
      <c r="K31" s="2458"/>
      <c r="L31" s="1693"/>
      <c r="M31" s="1693"/>
      <c r="N31" s="1693"/>
      <c r="O31" s="1693"/>
      <c r="P31" s="1693"/>
      <c r="Q31" s="1693"/>
      <c r="R31" s="1693"/>
      <c r="S31" s="1693"/>
      <c r="T31" s="1693"/>
      <c r="U31" s="1693"/>
    </row>
    <row r="32" spans="1:21">
      <c r="A32" s="3219"/>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19"/>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20"/>
      <c r="B34" s="1660" t="s">
        <v>2007</v>
      </c>
      <c r="C34" s="3221"/>
      <c r="D34" s="3222"/>
      <c r="E34" s="1693"/>
      <c r="F34" s="1693"/>
      <c r="G34" s="1693"/>
      <c r="H34" s="1693"/>
      <c r="I34" s="1706"/>
      <c r="J34" s="1693"/>
      <c r="K34" s="2458"/>
      <c r="L34" s="1693"/>
      <c r="M34" s="1693"/>
      <c r="N34" s="1693"/>
      <c r="O34" s="1693"/>
      <c r="P34" s="1693"/>
      <c r="Q34" s="1693"/>
      <c r="R34" s="1693"/>
      <c r="S34" s="1693"/>
      <c r="T34" s="1693"/>
      <c r="U34" s="1693"/>
    </row>
    <row r="35" spans="1:21">
      <c r="A35" s="3223" t="s">
        <v>846</v>
      </c>
      <c r="B35" s="1721"/>
      <c r="C35" s="1775" t="str">
        <f>IF(B35="场地平整","——","具体情况：")</f>
        <v>具体情况：</v>
      </c>
      <c r="D35" s="3225"/>
      <c r="E35" s="3226"/>
      <c r="F35" s="3226"/>
      <c r="G35" s="3226"/>
      <c r="H35" s="3226"/>
      <c r="I35" s="3227"/>
      <c r="J35" s="1693"/>
      <c r="K35" s="1774"/>
      <c r="L35" s="1722"/>
      <c r="M35" s="1722"/>
      <c r="N35" s="1693"/>
      <c r="O35" s="1694"/>
      <c r="P35" s="1693"/>
      <c r="Q35" s="1693"/>
      <c r="R35" s="1693"/>
      <c r="S35" s="1693"/>
      <c r="T35" s="1693"/>
      <c r="U35" s="1693"/>
    </row>
    <row r="36" spans="1:21">
      <c r="A36" s="3219"/>
      <c r="B36" s="3228" t="s">
        <v>2056</v>
      </c>
      <c r="C36" s="3229"/>
      <c r="D36" s="1791"/>
      <c r="E36" s="3230"/>
      <c r="F36" s="3230"/>
      <c r="G36" s="1686" t="str">
        <f>IF(B35="场地未平整","估价结果处理","")</f>
        <v/>
      </c>
      <c r="H36" s="3231"/>
      <c r="I36" s="3231"/>
      <c r="J36" s="1693"/>
      <c r="K36" s="1774"/>
      <c r="L36" s="1722"/>
      <c r="M36" s="1722"/>
      <c r="N36" s="1693"/>
      <c r="O36" s="1694"/>
      <c r="P36" s="1693"/>
      <c r="Q36" s="1693"/>
      <c r="R36" s="1693"/>
      <c r="S36" s="1693"/>
      <c r="T36" s="1693"/>
      <c r="U36" s="1693"/>
    </row>
    <row r="37" spans="1:21" ht="28.5">
      <c r="A37" s="3219"/>
      <c r="B37" s="3249"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9"/>
      <c r="B38" s="3250"/>
      <c r="C38" s="1668" t="s">
        <v>849</v>
      </c>
      <c r="D38" s="1790">
        <f>ROUNDDOWN(MIN(('数据-取费表'!$B$2-D37)/365,D34),1)</f>
        <v>119.5</v>
      </c>
      <c r="E38" s="1726" t="s">
        <v>850</v>
      </c>
      <c r="F38" s="1693"/>
      <c r="G38" s="1693"/>
      <c r="H38" s="1693"/>
      <c r="I38" s="1706"/>
      <c r="J38" s="1693"/>
      <c r="K38" s="1774"/>
      <c r="L38" s="1693"/>
      <c r="M38" s="1693"/>
      <c r="N38" s="1693"/>
      <c r="O38" s="1693"/>
      <c r="P38" s="1693"/>
      <c r="Q38" s="1693"/>
      <c r="R38" s="1693"/>
      <c r="S38" s="1693"/>
      <c r="T38" s="1693"/>
      <c r="U38" s="1693"/>
    </row>
    <row r="39" spans="1:21">
      <c r="A39" s="3220"/>
      <c r="B39" s="325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32" t="s">
        <v>1987</v>
      </c>
      <c r="T40" s="1730" t="str">
        <f>NUMBERSTRING(7-K40,1)&amp;"通"</f>
        <v>七通</v>
      </c>
      <c r="U40" s="1693"/>
    </row>
    <row r="41" spans="1:21">
      <c r="A41" s="1662"/>
      <c r="B41" s="3224" t="s">
        <v>1721</v>
      </c>
      <c r="C41" s="3224"/>
      <c r="D41" s="3224"/>
      <c r="E41" s="322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2"/>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84475.6</v>
      </c>
      <c r="B3" s="22">
        <f>IF(C3="否",G5-AT5,G5)</f>
        <v>295664.59999999998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295664.59999999998</v>
      </c>
      <c r="H5" s="27">
        <f t="shared" ref="H5:AT5" si="0">SUM(H13:H641)</f>
        <v>295664.59999999998</v>
      </c>
      <c r="I5" s="27">
        <f t="shared" si="0"/>
        <v>295664.59999999998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295664.59999999998</v>
      </c>
      <c r="BA5" s="29">
        <f t="shared" si="1"/>
        <v>295664.59999999998</v>
      </c>
      <c r="BB5" s="29">
        <f t="shared" si="1"/>
        <v>295664.59999999998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84475.6</v>
      </c>
      <c r="F6" s="27" t="s">
        <v>1</v>
      </c>
      <c r="G6" s="27" t="s">
        <v>2</v>
      </c>
      <c r="H6" s="33">
        <f>SUMIF(I$12:AB$12,"总值",I6:AB6)</f>
        <v>84475.6</v>
      </c>
      <c r="I6" s="27">
        <f t="shared" ref="I6:AB6" si="2">ROUND($A$3*I5/$B$3,2)</f>
        <v>84475.6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84475.6</v>
      </c>
      <c r="AZ6" s="27" t="s">
        <v>3</v>
      </c>
      <c r="BA6" s="27">
        <f>ROUND($AY$6*BA5/$AZ$5,2)</f>
        <v>84475.6</v>
      </c>
      <c r="BB6" s="27">
        <f>ROUND($AY$6*BB5/$AZ$5,2)</f>
        <v>84475.6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2990</v>
      </c>
      <c r="J9" s="51"/>
      <c r="K9" s="3019" t="s">
        <v>2990</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2989</v>
      </c>
      <c r="J10" s="51"/>
      <c r="K10" s="3021" t="s">
        <v>922</v>
      </c>
      <c r="L10" s="51"/>
      <c r="M10" s="3021"/>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1678</v>
      </c>
      <c r="E16" s="27">
        <f t="shared" si="6"/>
        <v>84475.6</v>
      </c>
      <c r="F16" s="81"/>
      <c r="G16" s="82">
        <f t="shared" si="7"/>
        <v>295664.59999999998</v>
      </c>
      <c r="H16" s="33">
        <f t="shared" si="8"/>
        <v>295664.59999999998</v>
      </c>
      <c r="I16" s="3018">
        <v>295664.59999999998</v>
      </c>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84475.6</v>
      </c>
      <c r="AZ16" s="27">
        <f t="shared" si="12"/>
        <v>295664.59999999998</v>
      </c>
      <c r="BA16" s="27">
        <f t="shared" si="13"/>
        <v>295664.59999999998</v>
      </c>
      <c r="BB16" s="27">
        <f t="shared" si="14"/>
        <v>295664.59999999998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1" t="s">
        <v>203</v>
      </c>
      <c r="B2" s="3271"/>
      <c r="C2" s="3271"/>
      <c r="D2" s="1975" t="s">
        <v>204</v>
      </c>
      <c r="E2" s="106" t="s">
        <v>205</v>
      </c>
      <c r="F2" s="1984"/>
      <c r="G2" s="1197"/>
      <c r="H2" s="1198"/>
      <c r="I2" s="1199" t="s">
        <v>856</v>
      </c>
      <c r="J2" s="1984"/>
      <c r="K2" s="1984"/>
      <c r="L2" s="1984"/>
    </row>
    <row r="3" spans="1:16" ht="15.75" thickBot="1">
      <c r="A3" s="3272" t="s">
        <v>206</v>
      </c>
      <c r="B3" s="3272"/>
      <c r="C3" s="3272"/>
      <c r="D3" s="107">
        <f>'数据-基础表'!AY6</f>
        <v>84475.6</v>
      </c>
      <c r="E3" s="107">
        <f>'数据-基础表'!AZ5</f>
        <v>295664.59999999998</v>
      </c>
      <c r="F3" s="1984"/>
      <c r="G3" s="280" t="s">
        <v>857</v>
      </c>
      <c r="H3" s="275" t="s">
        <v>858</v>
      </c>
      <c r="I3" s="1976">
        <f>ROUND('数据-基础表'!B3/'数据-基础表'!A3,2)</f>
        <v>3.5</v>
      </c>
      <c r="J3" s="1984"/>
      <c r="K3" s="1984"/>
      <c r="L3" s="1984"/>
    </row>
    <row r="4" spans="1:16" ht="15">
      <c r="A4" s="3273"/>
      <c r="B4" s="3274"/>
      <c r="C4" s="3275"/>
      <c r="D4" s="108" t="s">
        <v>204</v>
      </c>
      <c r="E4" s="109" t="s">
        <v>205</v>
      </c>
      <c r="F4" s="1984"/>
      <c r="G4" s="1200"/>
      <c r="H4" s="275" t="s">
        <v>859</v>
      </c>
      <c r="I4" s="1976">
        <f>ROUND(SUMIF('数据-基础表'!I9:AS9,"地上",'数据-基础表'!I5:AS5)/'数据-基础表'!A3,2)</f>
        <v>3.5</v>
      </c>
      <c r="J4" s="1984"/>
      <c r="K4" s="1984"/>
      <c r="L4" s="1984"/>
    </row>
    <row r="5" spans="1:16">
      <c r="A5" s="110" t="s">
        <v>207</v>
      </c>
      <c r="B5" s="3276" t="s">
        <v>230</v>
      </c>
      <c r="C5" s="3276"/>
      <c r="D5" s="111">
        <f>ROUND($D$3*E5/$E$3,2)</f>
        <v>0</v>
      </c>
      <c r="E5" s="112">
        <f>SUMIF('数据-基础表'!$11:$11,"住宅",'数据-基础表'!$5:$5)</f>
        <v>0</v>
      </c>
      <c r="F5" s="1984"/>
      <c r="G5" s="280" t="s">
        <v>860</v>
      </c>
      <c r="H5" s="275" t="s">
        <v>858</v>
      </c>
      <c r="I5" s="1976">
        <f>ROUND(E31/D31,2)</f>
        <v>3.5</v>
      </c>
      <c r="J5" s="1984"/>
      <c r="K5" s="1984"/>
      <c r="L5" s="1984"/>
    </row>
    <row r="6" spans="1:16" ht="15" thickBot="1">
      <c r="A6" s="113"/>
      <c r="B6" s="3276" t="s">
        <v>208</v>
      </c>
      <c r="C6" s="3276"/>
      <c r="D6" s="111">
        <f>ROUND($D$3*E6/$E$3,2)</f>
        <v>84475.6</v>
      </c>
      <c r="E6" s="112">
        <f>E3-E5</f>
        <v>295664.59999999998</v>
      </c>
      <c r="F6" s="1984"/>
      <c r="G6" s="1200"/>
      <c r="H6" s="275" t="s">
        <v>859</v>
      </c>
      <c r="I6" s="1976">
        <f>ROUND(F31/D31,2)</f>
        <v>3.5</v>
      </c>
      <c r="J6" s="1984"/>
      <c r="K6" s="1984"/>
      <c r="L6" s="1984"/>
    </row>
    <row r="7" spans="1:16" ht="15">
      <c r="A7" s="3268"/>
      <c r="B7" s="3269"/>
      <c r="C7" s="3270"/>
      <c r="D7" s="108" t="s">
        <v>204</v>
      </c>
      <c r="E7" s="114" t="s">
        <v>231</v>
      </c>
      <c r="F7" s="1984"/>
      <c r="G7" s="1155" t="s">
        <v>1645</v>
      </c>
      <c r="H7" s="1156"/>
      <c r="I7" s="1846"/>
      <c r="J7" s="1984"/>
      <c r="K7" s="1984"/>
      <c r="L7" s="1984"/>
    </row>
    <row r="8" spans="1:16">
      <c r="A8" s="110" t="s">
        <v>209</v>
      </c>
      <c r="B8" s="115" t="s">
        <v>210</v>
      </c>
      <c r="C8" s="111" t="s">
        <v>211</v>
      </c>
      <c r="D8" s="111">
        <f t="shared" ref="D8:D15" si="0">ROUND($D$3*E8/$E$3,2)</f>
        <v>84475.6</v>
      </c>
      <c r="E8" s="116">
        <f>SUMIF('数据-基础表'!BB10:BK10,"地上",'数据-基础表'!BB5:BK5)</f>
        <v>295664.59999999998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84475.6</v>
      </c>
      <c r="E16" s="120">
        <f>SUM(E8:E15)</f>
        <v>295664.59999999998</v>
      </c>
      <c r="F16" s="1984"/>
      <c r="G16" s="1986"/>
      <c r="H16" s="968" t="s">
        <v>219</v>
      </c>
      <c r="I16" s="969"/>
      <c r="J16" s="1984"/>
      <c r="K16" s="3262" t="s">
        <v>2568</v>
      </c>
      <c r="L16" s="3263"/>
      <c r="M16" s="3263"/>
      <c r="N16" s="3263"/>
      <c r="O16" s="3263"/>
      <c r="P16" s="3264"/>
    </row>
    <row r="17" spans="1:19" ht="15">
      <c r="A17" s="121" t="s">
        <v>216</v>
      </c>
      <c r="B17" s="122" t="s">
        <v>217</v>
      </c>
      <c r="C17" s="2298" t="s">
        <v>2315</v>
      </c>
      <c r="D17" s="108" t="s">
        <v>204</v>
      </c>
      <c r="E17" s="124" t="s">
        <v>205</v>
      </c>
      <c r="F17" s="125"/>
      <c r="G17" s="1365"/>
      <c r="H17" s="970" t="s">
        <v>218</v>
      </c>
      <c r="I17" s="971" t="s">
        <v>2314</v>
      </c>
      <c r="J17" s="1984"/>
      <c r="K17" s="3265" t="s">
        <v>2569</v>
      </c>
      <c r="L17" s="3266"/>
      <c r="M17" s="3267"/>
      <c r="N17" s="3265" t="s">
        <v>2570</v>
      </c>
      <c r="O17" s="3266"/>
      <c r="P17" s="3267"/>
      <c r="R17" s="2299" t="s">
        <v>2313</v>
      </c>
      <c r="S17" s="144"/>
    </row>
    <row r="18" spans="1:19" ht="15">
      <c r="A18" s="117"/>
      <c r="B18" s="128"/>
      <c r="C18" s="129"/>
      <c r="D18" s="2642"/>
      <c r="E18" s="130" t="s">
        <v>220</v>
      </c>
      <c r="F18" s="131" t="s">
        <v>221</v>
      </c>
      <c r="G18" s="1366"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5" t="s">
        <v>2991</v>
      </c>
      <c r="D19" s="111">
        <f t="shared" ref="D19:D26" si="1">ROUND($D$3*E19/$E$3,2)</f>
        <v>0</v>
      </c>
      <c r="E19" s="134">
        <f t="shared" ref="E19:E26" si="2">SUM(F19:G19)</f>
        <v>0</v>
      </c>
      <c r="F19" s="135"/>
      <c r="G19" s="1367"/>
      <c r="H19" s="974" t="e">
        <f>ROUND($D$3*I19/$E$3,2)</f>
        <v>#DIV/0!</v>
      </c>
      <c r="I19" s="116" t="e">
        <f>IF($I$17="自定义",P19,M19)</f>
        <v>#DIV/0!</v>
      </c>
      <c r="J19" s="1984"/>
      <c r="K19" s="2608">
        <f t="shared" ref="K19:K26" si="3">ROUND(E$28*E19/E$27,2)</f>
        <v>0</v>
      </c>
      <c r="L19" s="275" t="e">
        <f t="shared" ref="L19:L26" si="4">ROUND(IF(COUNTIF(C19,"*住宅*")&gt;0,E$29*E19/E$32,0),2)</f>
        <v>#DIV/0!</v>
      </c>
      <c r="M19" s="2609" t="e">
        <f>K19+L19</f>
        <v>#DIV/0!</v>
      </c>
      <c r="N19" s="2610"/>
      <c r="O19" s="2611"/>
      <c r="P19" s="2612">
        <f>N19+O19</f>
        <v>0</v>
      </c>
      <c r="R19" s="275" t="e">
        <f t="shared" ref="R19:S26" si="5">D19+H19</f>
        <v>#DIV/0!</v>
      </c>
      <c r="S19" s="2301" t="e">
        <f t="shared" si="5"/>
        <v>#DIV/0!</v>
      </c>
    </row>
    <row r="20" spans="1:19">
      <c r="A20" s="138"/>
      <c r="B20" s="115" t="s">
        <v>226</v>
      </c>
      <c r="C20" s="3025" t="s">
        <v>2992</v>
      </c>
      <c r="D20" s="111">
        <f t="shared" si="1"/>
        <v>84475.6</v>
      </c>
      <c r="E20" s="134">
        <f t="shared" si="2"/>
        <v>295664.59999999998</v>
      </c>
      <c r="F20" s="135">
        <f>'数据-基础表'!I16</f>
        <v>295664.59999999998</v>
      </c>
      <c r="G20" s="1367"/>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84475.6</v>
      </c>
      <c r="S20" s="2301">
        <f t="shared" si="5"/>
        <v>295664.59999999998</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84475.6</v>
      </c>
      <c r="E27" s="143">
        <f>IF(SUM(E19:E26)='数据-基础表'!BA5,SUM(E19:E26),IF(F27="地上面积有误","面积有误","地下面积有误"))</f>
        <v>295664.59999999998</v>
      </c>
      <c r="F27" s="134">
        <f>IF(SUM(F19:F26)=E8,SUM(F19:F26),"地上面积有误")</f>
        <v>295664.59999999998</v>
      </c>
      <c r="G27" s="112">
        <f>SUM(G19:G26)</f>
        <v>0</v>
      </c>
      <c r="H27" s="975" t="e">
        <f>SUM(H19:H26)</f>
        <v>#DIV/0!</v>
      </c>
      <c r="I27" s="976" t="e">
        <f>SUM(I19:I26)</f>
        <v>#DIV/0!</v>
      </c>
      <c r="J27" s="1984"/>
      <c r="K27" s="2617">
        <f>SUM(K19:K26)</f>
        <v>0</v>
      </c>
      <c r="L27" s="2618" t="e">
        <f>SUM(L19:L26)</f>
        <v>#DIV/0!</v>
      </c>
      <c r="M27" s="2619" t="e">
        <f>SUM(M19:M26)</f>
        <v>#DIV/0!</v>
      </c>
      <c r="N27" s="2617">
        <f t="shared" ref="N27:O27" si="10">SUM(N19:N26)</f>
        <v>0</v>
      </c>
      <c r="O27" s="2618">
        <f t="shared" si="10"/>
        <v>0</v>
      </c>
      <c r="P27" s="2620">
        <f>SUM(P19:P26)</f>
        <v>0</v>
      </c>
      <c r="R27" s="2305"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2324</v>
      </c>
      <c r="D31" s="1371">
        <f>D27+D30</f>
        <v>84475.6</v>
      </c>
      <c r="E31" s="1371">
        <f>E27+E30</f>
        <v>295664.59999999998</v>
      </c>
      <c r="F31" s="1372">
        <f>F27+F30</f>
        <v>295664.59999999998</v>
      </c>
      <c r="G31" s="1373">
        <f>G27+G30</f>
        <v>0</v>
      </c>
      <c r="H31" s="1984"/>
      <c r="I31" s="1984"/>
      <c r="J31" s="1984"/>
      <c r="K31" s="1984"/>
      <c r="L31" s="1984"/>
    </row>
    <row r="32" spans="1:19">
      <c r="A32" s="1984"/>
      <c r="B32" s="2363" t="s">
        <v>2323</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43627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922</v>
      </c>
      <c r="D6" s="2308">
        <f>SUMIF(项目基本情况!D$15:I$15,C6,项目基本情况!D$18:I$18)</f>
        <v>70</v>
      </c>
      <c r="E6" s="2309">
        <f>IF(B6="","",SUMIF(项目基本情况!D$15:I$15,C6,项目基本情况!D$17:I$17))</f>
        <v>68661</v>
      </c>
      <c r="F6" s="174">
        <f>SUMIF(项目基本情况!D$15:I$15,C6,项目基本情况!D$19:I$19)</f>
        <v>68.58</v>
      </c>
      <c r="G6" s="175">
        <f>IF(ISERROR(ROUND(POWER(1+H6,D6-F6)*(POWER(1+H6,F6)-1)/(POWER(1+H6,D6)-1),3)),0,ROUND(POWER(1+H6,D6-F6)*(POWER(1+H6,F6)-1)/(POWER(1+H6,D6)-1),3))</f>
        <v>0</v>
      </c>
      <c r="H6" s="3026"/>
      <c r="I6" s="3026"/>
      <c r="J6" s="176"/>
      <c r="K6" s="179">
        <f>SUMIF('数据-汇总表'!C$19:C$33,'数据-取费表'!A6,'数据-汇总表'!E$19:E$33)</f>
        <v>0</v>
      </c>
      <c r="L6" s="3027"/>
      <c r="M6" s="177">
        <f t="shared" ref="M6:M14" si="0">ROUND(K6*L6/10000,0)</f>
        <v>0</v>
      </c>
      <c r="N6" s="3028"/>
      <c r="O6" s="177">
        <f>IF($N$5="成新度","——",ROUND(M6*N6,0))</f>
        <v>0</v>
      </c>
      <c r="P6" s="178">
        <f>IF($N$5="成新度","——",M6-O6)</f>
        <v>0</v>
      </c>
      <c r="Q6" s="3029"/>
      <c r="R6" s="179" t="e">
        <f>SUMIF('数据-汇总表'!C$19:C$33,A6,'数据-汇总表'!R$19:R$33)</f>
        <v>#DIV/0!</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2">
        <f>IF(AF6="",0,AE6-AF6)</f>
        <v>0</v>
      </c>
      <c r="AH6" s="141"/>
      <c r="AI6" s="187"/>
      <c r="AJ6" s="188"/>
      <c r="AK6" s="189"/>
      <c r="AL6" s="190"/>
      <c r="AM6" s="3040"/>
      <c r="AN6" s="2392"/>
      <c r="AO6" s="2000"/>
      <c r="AP6" s="1203">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2989</v>
      </c>
      <c r="D7" s="2308">
        <f>SUMIF(项目基本情况!D$15:I$15,C7,项目基本情况!D$18:I$18)</f>
        <v>40</v>
      </c>
      <c r="E7" s="2309">
        <f>IF(B7="","",SUMIF(项目基本情况!D$15:I$15,C7,项目基本情况!D$17:I$17))</f>
        <v>57704</v>
      </c>
      <c r="F7" s="174">
        <f>SUMIF(项目基本情况!D$15:I$15,C7,项目基本情况!D$19:I$19)</f>
        <v>38.56</v>
      </c>
      <c r="G7" s="175">
        <f t="shared" ref="G7:G11" si="2">IF(ISERROR(ROUND(POWER(1+H7,D7-F7)*(POWER(1+H7,F7)-1)/(POWER(1+H7,D7)-1),3)),0,ROUND(POWER(1+H7,D7-F7)*(POWER(1+H7,F7)-1)/(POWER(1+H7,D7)-1),3))</f>
        <v>0.98799999999999999</v>
      </c>
      <c r="H7" s="3026">
        <v>0.05</v>
      </c>
      <c r="I7" s="3026">
        <v>5.5E-2</v>
      </c>
      <c r="J7" s="176">
        <v>8.5000000000000006E-2</v>
      </c>
      <c r="K7" s="179">
        <f>SUMIF('数据-汇总表'!C$19:C$33,'数据-取费表'!A7,'数据-汇总表'!E$19:E$33)</f>
        <v>295664.59999999998</v>
      </c>
      <c r="L7" s="3027">
        <v>3250</v>
      </c>
      <c r="M7" s="177">
        <f t="shared" si="0"/>
        <v>96091</v>
      </c>
      <c r="N7" s="3028">
        <v>0</v>
      </c>
      <c r="O7" s="177">
        <f t="shared" ref="O7:O14" si="3">IF($N$5="成新度","——",ROUND(M7*N7,0))</f>
        <v>0</v>
      </c>
      <c r="P7" s="178">
        <f t="shared" ref="P7:P14" si="4">IF($N$5="成新度","——",M7-O7)</f>
        <v>96091</v>
      </c>
      <c r="Q7" s="3029">
        <v>0.15</v>
      </c>
      <c r="R7" s="179">
        <f>SUMIF('数据-汇总表'!C$19:C$33,A7,'数据-汇总表'!R$19:R$33)</f>
        <v>84475.6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f>Sheet2!E2</f>
        <v>1.64</v>
      </c>
      <c r="V7" s="181">
        <v>0.03</v>
      </c>
      <c r="W7" s="181">
        <v>0.1</v>
      </c>
      <c r="X7" s="2321"/>
      <c r="Y7" s="182">
        <v>1</v>
      </c>
      <c r="Z7" s="183"/>
      <c r="AA7" s="176"/>
      <c r="AB7" s="176"/>
      <c r="AC7" s="2324"/>
      <c r="AD7" s="184"/>
      <c r="AE7" s="972">
        <f t="shared" ref="AE7:AE13" ca="1" si="6">IF(AN7="",0,SUMIF(INDIRECT("'"&amp;AN7&amp;"'"&amp;"!E:E"),$AE$5,INDIRECT("'"&amp;AN7&amp;"'"&amp;"!F:F")))</f>
        <v>35.56</v>
      </c>
      <c r="AF7" s="141"/>
      <c r="AG7" s="1212">
        <f t="shared" ref="AG7:AG13" si="7">IF(AF7="",0,AE7-AF7)</f>
        <v>0</v>
      </c>
      <c r="AH7" s="141"/>
      <c r="AI7" s="187">
        <v>365</v>
      </c>
      <c r="AJ7" s="188"/>
      <c r="AK7" s="189">
        <v>1.4999999999999999E-2</v>
      </c>
      <c r="AL7" s="190">
        <v>1.5E-3</v>
      </c>
      <c r="AM7" s="2390">
        <v>0.01</v>
      </c>
      <c r="AN7" s="2392" t="s">
        <v>3145</v>
      </c>
      <c r="AO7" s="2000"/>
      <c r="AP7" s="1203">
        <f t="shared" ref="AP7:AP13" si="8">ROUND(1-1/(1+H7)^F7,3)</f>
        <v>0.84799999999999998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0.05</v>
      </c>
      <c r="I16" s="204"/>
      <c r="J16" s="204"/>
      <c r="K16" s="205">
        <f>SUM(K6:K15)</f>
        <v>295664.59999999998</v>
      </c>
      <c r="L16" s="206">
        <f>ROUND(M16*10000/SUM(K6:K14),0)</f>
        <v>3250</v>
      </c>
      <c r="M16" s="206">
        <f>SUM(M6:M14)</f>
        <v>96091</v>
      </c>
      <c r="N16" s="207">
        <f>ROUND(SUMPRODUCT(M6:M14,N6:N14)/M16,3)</f>
        <v>0</v>
      </c>
      <c r="O16" s="206">
        <f>SUM(O6:O14)</f>
        <v>0</v>
      </c>
      <c r="P16" s="206">
        <f>SUM(P6:P14)</f>
        <v>96091</v>
      </c>
      <c r="Q16" s="208">
        <f>ROUND(SUMPRODUCT(Q6:Q13,K6:K13)/SUMPRODUCT((Q6:Q13&gt;0)*(K6:K13)),2)</f>
        <v>0.15</v>
      </c>
      <c r="R16" s="2311"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0.84799999999999998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1096</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7" t="s">
        <v>1663</v>
      </c>
      <c r="B1" s="3278"/>
      <c r="C1" s="3278"/>
      <c r="D1" s="3278"/>
      <c r="E1" s="3278"/>
      <c r="F1" s="3278"/>
      <c r="G1" s="3278"/>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54">
      <c r="A3" s="1226" t="s">
        <v>1666</v>
      </c>
      <c r="B3" s="1227" t="s">
        <v>1653</v>
      </c>
      <c r="C3" s="3082" t="s">
        <v>2925</v>
      </c>
      <c r="D3" s="2009"/>
      <c r="E3" s="1228" t="s">
        <v>1666</v>
      </c>
      <c r="F3" s="1229" t="s">
        <v>1654</v>
      </c>
      <c r="G3" s="3086" t="s">
        <v>2924</v>
      </c>
      <c r="H3" s="2008"/>
      <c r="I3" s="2008"/>
      <c r="J3" s="2008"/>
      <c r="K3" s="2008"/>
      <c r="L3" s="2008"/>
      <c r="M3" s="2008"/>
      <c r="N3" s="2008"/>
      <c r="O3" s="2008"/>
      <c r="P3" s="2008"/>
      <c r="Q3" s="2008"/>
      <c r="R3" s="2008"/>
    </row>
    <row r="4" spans="1:18" ht="41.25">
      <c r="A4" s="1228"/>
      <c r="B4" s="1230" t="s">
        <v>1667</v>
      </c>
      <c r="C4" s="3083" t="s">
        <v>2926</v>
      </c>
      <c r="D4" s="2009"/>
      <c r="E4" s="1231"/>
      <c r="F4" s="1232" t="s">
        <v>1668</v>
      </c>
      <c r="G4" s="3084" t="s">
        <v>2921</v>
      </c>
      <c r="H4" s="2008"/>
      <c r="I4" s="2008"/>
      <c r="J4" s="2008"/>
      <c r="K4" s="2008"/>
      <c r="L4" s="2008"/>
      <c r="M4" s="2008"/>
      <c r="N4" s="2008"/>
      <c r="O4" s="2008"/>
      <c r="P4" s="2008"/>
      <c r="Q4" s="2008"/>
      <c r="R4" s="2008"/>
    </row>
    <row r="5" spans="1:18" ht="41.25">
      <c r="A5" s="1228"/>
      <c r="B5" s="1230" t="s">
        <v>1669</v>
      </c>
      <c r="C5" s="3083" t="s">
        <v>2927</v>
      </c>
      <c r="D5" s="2009"/>
      <c r="E5" s="1231"/>
      <c r="F5" s="1230" t="s">
        <v>2548</v>
      </c>
      <c r="G5" s="3084" t="s">
        <v>2922</v>
      </c>
      <c r="H5" s="2008"/>
      <c r="I5" s="2008"/>
      <c r="J5" s="2008"/>
      <c r="K5" s="2008"/>
      <c r="L5" s="2008"/>
      <c r="M5" s="2008"/>
      <c r="N5" s="2008"/>
      <c r="O5" s="2008"/>
      <c r="P5" s="2008"/>
      <c r="Q5" s="2008"/>
      <c r="R5" s="2008"/>
    </row>
    <row r="6" spans="1:18" ht="54">
      <c r="A6" s="1228"/>
      <c r="B6" s="1230" t="s">
        <v>1655</v>
      </c>
      <c r="C6" s="3084" t="s">
        <v>2921</v>
      </c>
      <c r="D6" s="2009"/>
      <c r="E6" s="1231"/>
      <c r="F6" s="1230" t="s">
        <v>2549</v>
      </c>
      <c r="G6" s="3084" t="s">
        <v>2919</v>
      </c>
      <c r="H6" s="2008"/>
      <c r="I6" s="2008"/>
      <c r="J6" s="2008"/>
      <c r="K6" s="2008"/>
      <c r="L6" s="2008"/>
      <c r="M6" s="2008"/>
      <c r="N6" s="2008"/>
      <c r="O6" s="2008"/>
      <c r="P6" s="2008"/>
      <c r="Q6" s="2008"/>
      <c r="R6" s="2008"/>
    </row>
    <row r="7" spans="1:18" ht="41.25" thickBot="1">
      <c r="A7" s="1228"/>
      <c r="B7" s="1230" t="s">
        <v>2548</v>
      </c>
      <c r="C7" s="3084" t="s">
        <v>2922</v>
      </c>
      <c r="D7" s="2010"/>
      <c r="E7" s="1233"/>
      <c r="F7" s="1234" t="s">
        <v>1670</v>
      </c>
      <c r="G7" s="3087" t="s">
        <v>2923</v>
      </c>
      <c r="H7" s="2008"/>
      <c r="I7" s="2008"/>
      <c r="J7" s="2008"/>
      <c r="K7" s="2008"/>
      <c r="L7" s="2008"/>
      <c r="M7" s="2008"/>
      <c r="N7" s="2008"/>
      <c r="O7" s="2008"/>
      <c r="P7" s="2008"/>
      <c r="Q7" s="2008"/>
      <c r="R7" s="2008"/>
    </row>
    <row r="8" spans="1:18" ht="27">
      <c r="A8" s="1228"/>
      <c r="B8" s="1230" t="s">
        <v>2549</v>
      </c>
      <c r="C8" s="3084" t="s">
        <v>2919</v>
      </c>
      <c r="D8" s="2010"/>
      <c r="E8" s="2010"/>
      <c r="F8" s="1553"/>
      <c r="G8" s="1553"/>
      <c r="H8" s="2008"/>
      <c r="I8" s="2008"/>
      <c r="J8" s="2008"/>
      <c r="K8" s="2008"/>
      <c r="L8" s="2008"/>
      <c r="M8" s="2008"/>
      <c r="N8" s="2008"/>
      <c r="O8" s="2008"/>
      <c r="P8" s="2008"/>
      <c r="Q8" s="2008"/>
      <c r="R8" s="2008"/>
    </row>
    <row r="9" spans="1:18" ht="40.5">
      <c r="A9" s="1228"/>
      <c r="B9" s="1230" t="s">
        <v>1656</v>
      </c>
      <c r="C9" s="3083" t="s">
        <v>2920</v>
      </c>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54">
      <c r="A15" s="2588" t="s">
        <v>1657</v>
      </c>
      <c r="B15" s="1241" t="s">
        <v>1653</v>
      </c>
      <c r="C15" s="1242" t="str">
        <f>C3</f>
        <v>估价对象周边居住用地比例、居住小区规模和社区发展完善程度，综合评价居住社区成熟度一般</v>
      </c>
      <c r="D15" s="2009"/>
      <c r="E15" s="2585" t="s">
        <v>1658</v>
      </c>
      <c r="F15" s="1241" t="s">
        <v>1673</v>
      </c>
      <c r="G15" s="1243" t="str">
        <f>G3</f>
        <v>估价对象位于XX开发区，园区建设成熟度XX，产业集聚程度XX</v>
      </c>
    </row>
    <row r="16" spans="1:18" ht="40.5">
      <c r="A16" s="2589"/>
      <c r="B16" s="1244" t="s">
        <v>1667</v>
      </c>
      <c r="C16" s="1245" t="str">
        <f>C4</f>
        <v>估价对象位于XX商圈，周边商业氛围成熟，人流量大，商业繁华度好</v>
      </c>
      <c r="D16" s="2009"/>
      <c r="E16" s="2586"/>
      <c r="F16" s="1246" t="s">
        <v>1668</v>
      </c>
      <c r="G16" s="1004" t="str">
        <f>G4</f>
        <v>估价对象周边道路状况、公共交通通达情况、停车便捷程度，综合评价交通便捷度较好</v>
      </c>
    </row>
    <row r="17" spans="1:7" ht="40.5">
      <c r="A17" s="2589"/>
      <c r="B17" s="1244" t="s">
        <v>1669</v>
      </c>
      <c r="C17" s="1245" t="str">
        <f>C5</f>
        <v>估价对象位于XX商圈，周边办公楼项目较多，入驻率高，办公集聚程度较好</v>
      </c>
      <c r="D17" s="2010"/>
      <c r="E17" s="2586"/>
      <c r="F17" s="1246" t="s">
        <v>1674</v>
      </c>
      <c r="G17" s="2794"/>
    </row>
    <row r="18" spans="1:7" ht="54">
      <c r="A18" s="2589"/>
      <c r="B18" s="1246" t="s">
        <v>1655</v>
      </c>
      <c r="C18" s="1004" t="str">
        <f>C6</f>
        <v>估价对象周边道路状况、公共交通通达情况、停车便捷程度，综合评价交通便捷度较好</v>
      </c>
      <c r="D18" s="2010"/>
      <c r="E18" s="2586"/>
      <c r="F18" s="1246" t="s">
        <v>1670</v>
      </c>
      <c r="G18" s="1004" t="str">
        <f>G7</f>
        <v>该园区内是否有污染型企业，绿化情况，卫生条件，整体环境状况判断</v>
      </c>
    </row>
    <row r="19" spans="1:7" ht="27">
      <c r="A19" s="2589"/>
      <c r="B19" s="1246" t="s">
        <v>1659</v>
      </c>
      <c r="C19" s="2794"/>
      <c r="D19" s="2009"/>
      <c r="E19" s="2586"/>
      <c r="F19" s="1230" t="s">
        <v>2548</v>
      </c>
      <c r="G19" s="1004" t="str">
        <f>G5</f>
        <v>估价对象所在区域公共配套设施齐备情况</v>
      </c>
    </row>
    <row r="20" spans="1:7" ht="40.5">
      <c r="A20" s="2589"/>
      <c r="B20" s="1246" t="s">
        <v>1660</v>
      </c>
      <c r="C20" s="1245" t="str">
        <f>C9</f>
        <v>区域自然环境：；人文环境；综合评价环境状况一般</v>
      </c>
      <c r="D20" s="2010"/>
      <c r="E20" s="2586"/>
      <c r="F20" s="1230" t="s">
        <v>2549</v>
      </c>
      <c r="G20" s="1004" t="str">
        <f>G6</f>
        <v>估价对象所在区域基础设施水平</v>
      </c>
    </row>
    <row r="21" spans="1:7" ht="27">
      <c r="A21" s="2589"/>
      <c r="B21" s="1230" t="s">
        <v>2548</v>
      </c>
      <c r="C21" s="1004" t="str">
        <f>C7</f>
        <v>估价对象所在区域公共配套设施齐备情况</v>
      </c>
      <c r="D21" s="2009"/>
      <c r="E21" s="2586"/>
      <c r="F21" s="1246" t="s">
        <v>1661</v>
      </c>
      <c r="G21" s="3088"/>
    </row>
    <row r="22" spans="1:7" ht="27">
      <c r="A22" s="2589"/>
      <c r="B22" s="1230" t="s">
        <v>2549</v>
      </c>
      <c r="C22" s="1004" t="str">
        <f>C8</f>
        <v>估价对象所在区域基础设施水平</v>
      </c>
      <c r="D22" s="2009"/>
      <c r="E22" s="2586"/>
      <c r="F22" s="1246" t="s">
        <v>1671</v>
      </c>
      <c r="G22" s="2794"/>
    </row>
    <row r="23" spans="1:7" ht="15" thickBot="1">
      <c r="A23" s="2589"/>
      <c r="B23" s="1246" t="s">
        <v>1661</v>
      </c>
      <c r="C23" s="3088"/>
      <c r="E23" s="2587"/>
      <c r="F23" s="1247" t="s">
        <v>1675</v>
      </c>
      <c r="G23" s="3089"/>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3046" t="s">
        <v>2846</v>
      </c>
      <c r="B1" s="3046">
        <f>SUM(B14:B23)</f>
        <v>295664.59999999998</v>
      </c>
      <c r="C1" s="3047"/>
      <c r="D1" s="3047"/>
      <c r="E1" s="3047"/>
      <c r="F1" s="3047"/>
    </row>
    <row r="2" spans="1:9" ht="16.5">
      <c r="A2" s="3046" t="s">
        <v>2847</v>
      </c>
      <c r="B2" s="3046">
        <f>SUM(C14:C23)</f>
        <v>84475.6</v>
      </c>
      <c r="C2" s="3047"/>
      <c r="D2" s="3047"/>
      <c r="E2" s="3047"/>
      <c r="F2" s="3047"/>
    </row>
    <row r="3" spans="1:9" ht="16.5">
      <c r="A3" s="3046" t="s">
        <v>2848</v>
      </c>
      <c r="B3" s="3048">
        <f>项目基本情况!D3</f>
        <v>43627</v>
      </c>
      <c r="C3" s="3047"/>
      <c r="D3" s="3047"/>
      <c r="E3" s="3047"/>
      <c r="F3" s="3047"/>
    </row>
    <row r="4" spans="1:9" ht="33">
      <c r="A4" s="3046" t="s">
        <v>2849</v>
      </c>
      <c r="B4" s="3046" t="s">
        <v>2850</v>
      </c>
      <c r="C4" s="3046" t="s">
        <v>2851</v>
      </c>
      <c r="D4" s="3046" t="s">
        <v>2852</v>
      </c>
      <c r="E4" s="3047"/>
      <c r="F4" s="3047"/>
    </row>
    <row r="5" spans="1:9" ht="16.5">
      <c r="A5" s="3046" t="s">
        <v>2853</v>
      </c>
      <c r="B5" s="3046">
        <f ca="1">SUM(D14:D23)</f>
        <v>70041</v>
      </c>
      <c r="C5" s="3046">
        <f ca="1">ROUND(B5*10000/$B$1,0)</f>
        <v>2369</v>
      </c>
      <c r="D5" s="3046">
        <f ca="1">ROUND(B5*10000/$B$2,0)</f>
        <v>8291</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295664.59999999998</v>
      </c>
      <c r="C14" s="3050">
        <f>结果表!K38</f>
        <v>84475.6</v>
      </c>
      <c r="D14" s="3050">
        <f ca="1">结果表!C42</f>
        <v>70041</v>
      </c>
      <c r="E14" s="3050">
        <f ca="1">ROUND(D14*10000/B14,0)</f>
        <v>2369</v>
      </c>
      <c r="F14" s="3050">
        <f ca="1">ROUND(D14*10000/C14,0)</f>
        <v>8291</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31" sqref="F3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315" t="str">
        <f>项目基本情况!K2</f>
        <v>出让国有建设用地使用权</v>
      </c>
      <c r="B2" s="3316"/>
      <c r="C2" s="3317"/>
      <c r="D2" s="3317"/>
      <c r="E2" s="3317"/>
      <c r="F2" s="3317"/>
      <c r="G2" s="3316"/>
      <c r="H2" s="3316"/>
      <c r="I2" s="3318"/>
      <c r="J2" s="2030"/>
      <c r="K2" s="2029"/>
      <c r="L2" s="2029"/>
      <c r="M2" s="2029"/>
      <c r="N2" s="2029"/>
      <c r="O2" s="2029"/>
      <c r="P2" s="2029"/>
      <c r="Q2" s="2029"/>
      <c r="R2" s="2029"/>
      <c r="S2" s="2029"/>
      <c r="T2" s="2029"/>
      <c r="U2" s="2029"/>
      <c r="V2" s="2029"/>
    </row>
    <row r="3" spans="1:22" ht="14.25">
      <c r="A3" s="3308" t="s">
        <v>298</v>
      </c>
      <c r="B3" s="3309"/>
      <c r="C3" s="3309"/>
      <c r="D3" s="3309"/>
      <c r="E3" s="3309"/>
      <c r="F3" s="3309"/>
      <c r="G3" s="3309"/>
      <c r="H3" s="3309"/>
      <c r="I3" s="3309"/>
      <c r="J3" s="2030"/>
      <c r="K3" s="2029"/>
      <c r="L3" s="2029"/>
      <c r="M3" s="2029"/>
      <c r="N3" s="2029"/>
      <c r="O3" s="2029"/>
      <c r="P3" s="2029"/>
      <c r="Q3" s="2029"/>
      <c r="R3" s="2029"/>
      <c r="S3" s="2029"/>
      <c r="T3" s="2029"/>
      <c r="U3" s="2029"/>
      <c r="V3" s="2029"/>
    </row>
    <row r="4" spans="1:22" ht="14.25">
      <c r="A4" s="258" t="s">
        <v>299</v>
      </c>
      <c r="B4" s="259" t="s">
        <v>300</v>
      </c>
      <c r="C4" s="260" t="s">
        <v>3047</v>
      </c>
      <c r="D4" s="260" t="s">
        <v>3048</v>
      </c>
      <c r="E4" s="3280" t="s">
        <v>301</v>
      </c>
      <c r="F4" s="3281"/>
      <c r="G4" s="3281"/>
      <c r="H4" s="3281"/>
      <c r="I4" s="331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79" t="s">
        <v>302</v>
      </c>
      <c r="B5" s="3305">
        <v>25</v>
      </c>
      <c r="C5" s="3303"/>
      <c r="D5" s="3307"/>
      <c r="E5" s="261" t="s">
        <v>303</v>
      </c>
      <c r="F5" s="262"/>
      <c r="G5" s="262"/>
      <c r="H5" s="262"/>
      <c r="I5" s="263"/>
      <c r="J5" s="2030"/>
      <c r="K5" s="2029"/>
      <c r="L5" s="2029"/>
      <c r="M5" s="2029"/>
      <c r="N5" s="2029"/>
      <c r="O5" s="2029"/>
      <c r="P5" s="2029"/>
      <c r="Q5" s="2029"/>
      <c r="R5" s="2029"/>
      <c r="S5" s="2029"/>
      <c r="T5" s="2029"/>
      <c r="U5" s="2029"/>
      <c r="V5" s="2029"/>
    </row>
    <row r="6" spans="1:22" ht="14.25">
      <c r="A6" s="3279"/>
      <c r="B6" s="3305"/>
      <c r="C6" s="3306"/>
      <c r="D6" s="3307"/>
      <c r="E6" s="261" t="s">
        <v>304</v>
      </c>
      <c r="F6" s="262"/>
      <c r="G6" s="262"/>
      <c r="H6" s="262"/>
      <c r="I6" s="263"/>
      <c r="J6" s="2030"/>
      <c r="K6" s="2029"/>
      <c r="L6" s="2029"/>
      <c r="M6" s="2029"/>
      <c r="N6" s="2029"/>
      <c r="O6" s="2029"/>
      <c r="P6" s="2029"/>
      <c r="Q6" s="2029"/>
      <c r="R6" s="2029"/>
      <c r="S6" s="2029"/>
      <c r="T6" s="2029"/>
      <c r="U6" s="2029"/>
      <c r="V6" s="2029"/>
    </row>
    <row r="7" spans="1:22" ht="14.25">
      <c r="A7" s="3279"/>
      <c r="B7" s="3305"/>
      <c r="C7" s="3304"/>
      <c r="D7" s="3307"/>
      <c r="E7" s="261" t="s">
        <v>305</v>
      </c>
      <c r="F7" s="262"/>
      <c r="G7" s="262"/>
      <c r="H7" s="262"/>
      <c r="I7" s="263"/>
      <c r="J7" s="2030"/>
      <c r="K7" s="2029"/>
      <c r="L7" s="2029"/>
      <c r="M7" s="2029"/>
      <c r="N7" s="2029"/>
      <c r="O7" s="2029"/>
      <c r="P7" s="2029"/>
      <c r="Q7" s="2029"/>
      <c r="R7" s="2029"/>
      <c r="S7" s="2029"/>
      <c r="T7" s="2029"/>
      <c r="U7" s="2029"/>
      <c r="V7" s="2029"/>
    </row>
    <row r="8" spans="1:22" ht="14.25">
      <c r="A8" s="3279" t="s">
        <v>306</v>
      </c>
      <c r="B8" s="3305">
        <v>15</v>
      </c>
      <c r="C8" s="3303"/>
      <c r="D8" s="3307"/>
      <c r="E8" s="261" t="s">
        <v>307</v>
      </c>
      <c r="F8" s="262"/>
      <c r="G8" s="262"/>
      <c r="H8" s="262"/>
      <c r="I8" s="263"/>
      <c r="J8" s="2030"/>
      <c r="K8" s="2029"/>
      <c r="L8" s="2029"/>
      <c r="M8" s="2029"/>
      <c r="N8" s="2029"/>
      <c r="O8" s="2029"/>
      <c r="P8" s="2029"/>
      <c r="Q8" s="2029"/>
      <c r="R8" s="2029"/>
      <c r="S8" s="2029"/>
      <c r="T8" s="2029"/>
      <c r="U8" s="2029"/>
      <c r="V8" s="2029"/>
    </row>
    <row r="9" spans="1:22" ht="14.25">
      <c r="A9" s="3279"/>
      <c r="B9" s="3305"/>
      <c r="C9" s="3304"/>
      <c r="D9" s="3307"/>
      <c r="E9" s="261" t="s">
        <v>308</v>
      </c>
      <c r="F9" s="262"/>
      <c r="G9" s="262"/>
      <c r="H9" s="262"/>
      <c r="I9" s="263"/>
      <c r="J9" s="2030"/>
      <c r="K9" s="2029"/>
      <c r="L9" s="2029"/>
      <c r="M9" s="2029"/>
      <c r="N9" s="2029"/>
      <c r="O9" s="2029"/>
      <c r="P9" s="2029"/>
      <c r="Q9" s="2029"/>
      <c r="R9" s="2029"/>
      <c r="S9" s="2029"/>
      <c r="T9" s="2029"/>
      <c r="U9" s="2029"/>
      <c r="V9" s="2029"/>
    </row>
    <row r="10" spans="1:22" ht="14.25">
      <c r="A10" s="3279" t="s">
        <v>309</v>
      </c>
      <c r="B10" s="3305">
        <v>15</v>
      </c>
      <c r="C10" s="3303"/>
      <c r="D10" s="330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9"/>
      <c r="B11" s="3305"/>
      <c r="C11" s="3304"/>
      <c r="D11" s="330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9" t="s">
        <v>312</v>
      </c>
      <c r="B12" s="3305">
        <v>15</v>
      </c>
      <c r="C12" s="3303"/>
      <c r="D12" s="330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9"/>
      <c r="B13" s="3305"/>
      <c r="C13" s="3304"/>
      <c r="D13" s="330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9" t="s">
        <v>315</v>
      </c>
      <c r="B14" s="3305">
        <v>30</v>
      </c>
      <c r="C14" s="3303">
        <v>5</v>
      </c>
      <c r="D14" s="330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9"/>
      <c r="B15" s="3305"/>
      <c r="C15" s="3306"/>
      <c r="D15" s="330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9"/>
      <c r="B16" s="3305"/>
      <c r="C16" s="3304"/>
      <c r="D16" s="330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64568</v>
      </c>
      <c r="D19" s="271">
        <f ca="1">SUMIF(INDIRECT("'"&amp;D4&amp;"'"&amp;"!A:A"),结果表!B19,INDIRECT("'"&amp;D4&amp;"'"&amp;"!B:B"))</f>
        <v>75513</v>
      </c>
      <c r="E19" s="268" t="s">
        <v>323</v>
      </c>
      <c r="F19" s="269" t="s">
        <v>322</v>
      </c>
      <c r="G19" s="272">
        <f ca="1">ROUND(C19*$C$18+D19*$D$18,0)</f>
        <v>70041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2184</v>
      </c>
      <c r="D20" s="277">
        <f ca="1">SUMIF(INDIRECT("'"&amp;D4&amp;"'"&amp;"!A:A"),结果表!B20,INDIRECT("'"&amp;D4&amp;"'"&amp;"!B:B"))</f>
        <v>2554</v>
      </c>
      <c r="E20" s="274"/>
      <c r="F20" s="275" t="s">
        <v>325</v>
      </c>
      <c r="G20" s="278">
        <f ca="1">ROUND(C20*$C$18+D20*$D$18,0)</f>
        <v>2369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7643</v>
      </c>
      <c r="D21" s="151">
        <f ca="1">SUMIF(INDIRECT("'"&amp;D4&amp;"'"&amp;"!A:A"),结果表!B21,INDIRECT("'"&amp;D4&amp;"'"&amp;"!B:B"))</f>
        <v>8939</v>
      </c>
      <c r="E21" s="274"/>
      <c r="F21" s="280" t="s">
        <v>327</v>
      </c>
      <c r="G21" s="282">
        <f ca="1">ROUND(C21*$C$18+D21*$D$18,0)</f>
        <v>8291</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0.16951121298476024</v>
      </c>
      <c r="E22" s="284"/>
      <c r="F22" s="285"/>
      <c r="G22" s="286">
        <f ca="1">ROUND(G19/('数据-汇总表'!D3/666.67),0)</f>
        <v>553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6"/>
      <c r="B25" s="1320" t="s">
        <v>331</v>
      </c>
      <c r="C25" s="290">
        <f>IF(B30=0,0,C30)</f>
        <v>0</v>
      </c>
      <c r="D25" s="291"/>
      <c r="E25" s="311"/>
      <c r="F25" s="311"/>
      <c r="G25" s="311"/>
      <c r="H25" s="311"/>
      <c r="I25" s="311"/>
      <c r="J25" s="2029"/>
      <c r="K25" s="1254" t="str">
        <f ca="1">项目基本情况!B16&amp;"国有建设用地使用权价格："&amp;O38&amp;"万元"</f>
        <v>出让国有建设用地使用权价格：70041万元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大写金额：人民币柒亿零肆拾壹万元整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G19+[1]结果表!$G$19</f>
        <v>120702</v>
      </c>
      <c r="E27" s="311"/>
      <c r="F27" s="311"/>
      <c r="G27" s="311"/>
      <c r="H27" s="311"/>
      <c r="I27" s="311"/>
      <c r="J27" s="2029"/>
      <c r="K27" s="1257" t="str">
        <f ca="1">"单位面积地价："&amp;M38&amp;"元/平方米"</f>
        <v>单位面积地价：8291元/平方米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楼面地价：2369元/平方米</v>
      </c>
      <c r="L28" s="1251"/>
      <c r="M28" s="1251"/>
      <c r="N28" s="1251"/>
      <c r="O28" s="1250"/>
      <c r="P28" s="2029"/>
      <c r="V28" s="2029"/>
    </row>
    <row r="29" spans="1:26" ht="18">
      <c r="A29" s="293"/>
      <c r="B29" s="294"/>
      <c r="C29" s="294"/>
      <c r="D29" s="295"/>
      <c r="E29" s="311"/>
      <c r="F29" s="311"/>
      <c r="G29" s="311"/>
      <c r="H29" s="311"/>
      <c r="I29" s="311"/>
      <c r="J29" s="2029"/>
      <c r="K29" s="1257" t="str">
        <f>IF(OR(项目基本情况!E8="抵押价格",项目基本情况!E8="已注销及未注销"),"抵押价格："&amp;O39&amp;"万元","——")</f>
        <v>——</v>
      </c>
      <c r="L29" s="1251"/>
      <c r="M29" s="1251"/>
      <c r="N29" s="1251"/>
      <c r="O29" s="1250"/>
      <c r="P29" s="2029"/>
      <c r="V29" s="2029"/>
    </row>
    <row r="30" spans="1:26" ht="18.75" thickBot="1">
      <c r="A30" s="3131" t="s">
        <v>336</v>
      </c>
      <c r="B30" s="309"/>
      <c r="C30" s="309"/>
      <c r="D30" s="310"/>
      <c r="E30" s="3132" t="s">
        <v>2974</v>
      </c>
      <c r="F30" s="311"/>
      <c r="G30" s="311"/>
      <c r="H30" s="311"/>
      <c r="I30" s="311"/>
      <c r="J30" s="2029"/>
      <c r="K30" s="1257" t="str">
        <f>IF(K29="——","——","大写金额：人民币"&amp;NUMBERSTRING(INT(O39*10000),2)&amp;"元整")</f>
        <v>——</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1688</v>
      </c>
      <c r="C32" s="1382">
        <f ca="1">G19-C24</f>
        <v>70041</v>
      </c>
      <c r="D32" s="1383" t="s">
        <v>1689</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1690</v>
      </c>
      <c r="C33" s="264">
        <f ca="1">ROUND(C32*10000/'数据-汇总表'!E3,0)</f>
        <v>2369</v>
      </c>
      <c r="D33" s="1385" t="s">
        <v>1691</v>
      </c>
      <c r="E33" s="3285" t="s">
        <v>338</v>
      </c>
      <c r="F33" s="296" t="s">
        <v>339</v>
      </c>
      <c r="G33" s="297"/>
      <c r="H33" s="980"/>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8291</v>
      </c>
      <c r="D34" s="1387" t="s">
        <v>1691</v>
      </c>
      <c r="E34" s="3326"/>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553</v>
      </c>
      <c r="D35" s="1390" t="s">
        <v>1693</v>
      </c>
      <c r="E35" s="3327"/>
      <c r="F35" s="301" t="s">
        <v>342</v>
      </c>
      <c r="G35" s="981"/>
      <c r="H35" s="3186" t="s">
        <v>3061</v>
      </c>
      <c r="I35" s="311"/>
      <c r="J35" s="2029"/>
      <c r="K35" s="3300" t="s">
        <v>349</v>
      </c>
      <c r="L35" s="3300" t="s">
        <v>350</v>
      </c>
      <c r="M35" s="1263" t="s">
        <v>351</v>
      </c>
      <c r="N35" s="3300" t="s">
        <v>352</v>
      </c>
      <c r="O35" s="3300" t="s">
        <v>353</v>
      </c>
      <c r="P35" s="2029"/>
      <c r="V35" s="2029"/>
    </row>
    <row r="36" spans="1:26" ht="16.5" customHeight="1">
      <c r="A36" s="303" t="s">
        <v>343</v>
      </c>
      <c r="B36" s="304" t="s">
        <v>333</v>
      </c>
      <c r="C36" s="305" t="s">
        <v>344</v>
      </c>
      <c r="D36" s="305" t="s">
        <v>345</v>
      </c>
      <c r="E36" s="306" t="s">
        <v>346</v>
      </c>
      <c r="F36" s="311"/>
      <c r="G36" s="311"/>
      <c r="H36" s="311"/>
      <c r="I36" s="311"/>
      <c r="J36" s="2031"/>
      <c r="K36" s="3301"/>
      <c r="L36" s="3301"/>
      <c r="M36" s="1265" t="s">
        <v>354</v>
      </c>
      <c r="N36" s="3301"/>
      <c r="O36" s="3301"/>
      <c r="P36" s="2029"/>
      <c r="V36" s="2029"/>
    </row>
    <row r="37" spans="1:26" ht="16.5" customHeight="1" thickBot="1">
      <c r="A37" s="1259" t="s">
        <v>347</v>
      </c>
      <c r="B37" s="307"/>
      <c r="C37" s="294"/>
      <c r="D37" s="294"/>
      <c r="E37" s="295"/>
      <c r="F37" s="311"/>
      <c r="G37" s="311"/>
      <c r="H37" s="311"/>
      <c r="I37" s="311"/>
      <c r="J37" s="2031"/>
      <c r="K37" s="3302"/>
      <c r="L37" s="3302"/>
      <c r="M37" s="1266"/>
      <c r="N37" s="3302"/>
      <c r="O37" s="3302"/>
      <c r="P37" s="2029"/>
      <c r="V37" s="2029"/>
    </row>
    <row r="38" spans="1:26" ht="16.5" customHeight="1" thickBot="1">
      <c r="A38" s="1259" t="s">
        <v>348</v>
      </c>
      <c r="B38" s="307"/>
      <c r="C38" s="294"/>
      <c r="D38" s="294"/>
      <c r="E38" s="295"/>
      <c r="F38" s="311"/>
      <c r="G38" s="311"/>
      <c r="H38" s="311"/>
      <c r="I38" s="311"/>
      <c r="J38" s="2031"/>
      <c r="K38" s="1267">
        <f>'数据-汇总表'!D3</f>
        <v>84475.6</v>
      </c>
      <c r="L38" s="1268">
        <f>'数据-汇总表'!E3</f>
        <v>295664.59999999998</v>
      </c>
      <c r="M38" s="1268">
        <f ca="1">C34</f>
        <v>8291</v>
      </c>
      <c r="N38" s="1268">
        <f ca="1">C33</f>
        <v>2369</v>
      </c>
      <c r="O38" s="1269">
        <f ca="1">C32</f>
        <v>70041</v>
      </c>
      <c r="P38" s="2029"/>
      <c r="V38" s="2029"/>
    </row>
    <row r="39" spans="1:26" ht="16.5" customHeight="1" thickBot="1">
      <c r="A39" s="1264"/>
      <c r="B39" s="308"/>
      <c r="C39" s="309"/>
      <c r="D39" s="309"/>
      <c r="E39" s="310"/>
      <c r="F39" s="311"/>
      <c r="G39" s="311"/>
      <c r="H39" s="311"/>
      <c r="I39" s="311"/>
      <c r="J39" s="2031"/>
      <c r="K39" s="3345" t="str">
        <f>MID(A44,3,LEN(A44)-2)</f>
        <v/>
      </c>
      <c r="L39" s="3346"/>
      <c r="M39" s="3346"/>
      <c r="N39" s="3347"/>
      <c r="O39" s="1392" t="str">
        <f>C44</f>
        <v>——</v>
      </c>
      <c r="P39" s="2029"/>
      <c r="V39" s="2029"/>
    </row>
    <row r="40" spans="1:26" ht="19.5" thickBot="1">
      <c r="A40" s="104" t="s">
        <v>872</v>
      </c>
      <c r="B40" s="311"/>
      <c r="C40" s="311"/>
      <c r="D40" s="311"/>
      <c r="E40" s="311"/>
      <c r="F40" s="311"/>
      <c r="G40" s="311"/>
      <c r="H40" s="311"/>
      <c r="I40" s="311"/>
      <c r="J40" s="2031"/>
      <c r="K40" s="3345" t="str">
        <f t="shared" ref="K40:K41" si="0">MID(A45,3,LEN(A45)-2)</f>
        <v/>
      </c>
      <c r="L40" s="3346"/>
      <c r="M40" s="3346"/>
      <c r="N40" s="3347"/>
      <c r="O40" s="1392" t="str">
        <f>C45</f>
        <v>——</v>
      </c>
      <c r="P40" s="2029"/>
      <c r="V40" s="2029"/>
    </row>
    <row r="41" spans="1:26" ht="16.5" thickBot="1">
      <c r="A41" s="312" t="s">
        <v>355</v>
      </c>
      <c r="B41" s="313"/>
      <c r="C41" s="314" t="s">
        <v>356</v>
      </c>
      <c r="D41" s="315" t="s">
        <v>357</v>
      </c>
      <c r="E41" s="315" t="s">
        <v>358</v>
      </c>
      <c r="F41" s="316" t="s">
        <v>359</v>
      </c>
      <c r="G41" s="311"/>
      <c r="H41" s="311"/>
      <c r="I41" s="311"/>
      <c r="J41" s="2031"/>
      <c r="K41" s="3345" t="str">
        <f t="shared" si="0"/>
        <v/>
      </c>
      <c r="L41" s="3346"/>
      <c r="M41" s="3346"/>
      <c r="N41" s="3347"/>
      <c r="O41" s="1392" t="str">
        <f>C46</f>
        <v>——</v>
      </c>
      <c r="P41" s="2029"/>
      <c r="V41" s="2029"/>
    </row>
    <row r="42" spans="1:26" ht="29.25">
      <c r="A42" s="3287" t="s">
        <v>2069</v>
      </c>
      <c r="B42" s="3288"/>
      <c r="C42" s="264">
        <f ca="1">C32</f>
        <v>70041</v>
      </c>
      <c r="D42" s="317">
        <f ca="1">C33</f>
        <v>2369</v>
      </c>
      <c r="E42" s="317">
        <f ca="1">C34</f>
        <v>8291</v>
      </c>
      <c r="F42" s="318">
        <f ca="1">C35</f>
        <v>553</v>
      </c>
      <c r="G42" s="311"/>
      <c r="H42" s="311"/>
      <c r="I42" s="319"/>
      <c r="J42" s="2031"/>
      <c r="K42" s="1270" t="s">
        <v>360</v>
      </c>
      <c r="L42" s="2048" t="s">
        <v>361</v>
      </c>
      <c r="M42" s="1271" t="s">
        <v>362</v>
      </c>
      <c r="N42" s="2049" t="s">
        <v>363</v>
      </c>
      <c r="O42" s="2050" t="s">
        <v>364</v>
      </c>
      <c r="P42" s="2029"/>
      <c r="V42" s="2029"/>
    </row>
    <row r="43" spans="1:26" ht="30">
      <c r="A43" s="3298" t="s">
        <v>2732</v>
      </c>
      <c r="B43" s="3299"/>
      <c r="C43" s="264">
        <f>IF(H33="正常操作",G33+G34+G35,G34+G35)</f>
        <v>0</v>
      </c>
      <c r="D43" s="317" t="s">
        <v>43</v>
      </c>
      <c r="E43" s="317" t="s">
        <v>44</v>
      </c>
      <c r="F43" s="318" t="s">
        <v>44</v>
      </c>
      <c r="G43" s="2867" t="s">
        <v>951</v>
      </c>
      <c r="H43" s="311"/>
      <c r="I43" s="319"/>
      <c r="J43" s="2031"/>
      <c r="K43" s="1272" t="str">
        <f>C4</f>
        <v>剩余法-待开发</v>
      </c>
      <c r="L43" s="1273">
        <f ca="1">IF(L42="估价结果/万元",C19,C20)</f>
        <v>64568</v>
      </c>
      <c r="M43" s="1274">
        <f>C18</f>
        <v>0.5</v>
      </c>
      <c r="N43" s="1275">
        <f ca="1">IF(N42="测算结果/万元",G19,G20)</f>
        <v>70041</v>
      </c>
      <c r="O43" s="1276">
        <f ca="1">IF(O42="最终结果/万元",C32,C33)</f>
        <v>70041</v>
      </c>
      <c r="P43" s="2029"/>
      <c r="V43" s="2029"/>
    </row>
    <row r="44" spans="1:26" ht="30.75" thickBot="1">
      <c r="A44" s="3287" t="str">
        <f>IF(OR(项目基本情况!E8="抵押价格",项目基本情况!E8="已注销及未注销"),"3.抵押价格","——")</f>
        <v>——</v>
      </c>
      <c r="B44" s="3288"/>
      <c r="C44" s="264" t="str">
        <f>IF(A44="——","——",C42-C43)</f>
        <v>——</v>
      </c>
      <c r="D44" s="317" t="e">
        <f>ROUND(C44*10000/'数据-汇总表'!E3,0)</f>
        <v>#VALUE!</v>
      </c>
      <c r="E44" s="317" t="e">
        <f>ROUND(C44*10000/'数据-汇总表'!D3,0)</f>
        <v>#VALUE!</v>
      </c>
      <c r="F44" s="318" t="e">
        <f>ROUND(C44/('数据-汇总表'!D3/666.67),0)</f>
        <v>#VALUE!</v>
      </c>
      <c r="G44" s="311"/>
      <c r="H44" s="311"/>
      <c r="I44" s="319"/>
      <c r="J44" s="2031"/>
      <c r="K44" s="1277" t="str">
        <f>D4</f>
        <v>比较法-住宅、综合</v>
      </c>
      <c r="L44" s="1278">
        <f ca="1">IF(L42="估价结果/万元",D19,D20)</f>
        <v>75513</v>
      </c>
      <c r="M44" s="1279">
        <f>D18</f>
        <v>0.5</v>
      </c>
      <c r="N44" s="1280"/>
      <c r="O44" s="1281"/>
      <c r="P44" s="2029"/>
      <c r="V44" s="2029"/>
    </row>
    <row r="45" spans="1:26" ht="15">
      <c r="A45" s="3293" t="str">
        <f>IF(项目基本情况!E8="已注销及未注销","4.抵押担保权已注销时的抵押价格",IF(项目基本情况!E8="已注销","3.抵押担保权已注销时的抵押价格","——"))</f>
        <v>——</v>
      </c>
      <c r="B45" s="329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2"/>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372</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4" t="s">
        <v>373</v>
      </c>
      <c r="B63" s="3335"/>
      <c r="C63" s="3336"/>
      <c r="D63" s="341">
        <f ca="1">ROUND(C42*F63,0)</f>
        <v>42025</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295" t="s">
        <v>377</v>
      </c>
      <c r="B64" s="3296"/>
      <c r="C64" s="3296"/>
      <c r="D64" s="3296"/>
      <c r="E64" s="3296"/>
      <c r="F64" s="3296"/>
      <c r="G64" s="3297"/>
      <c r="H64" s="1287"/>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7"/>
      <c r="I65" s="948"/>
      <c r="J65" s="1991"/>
      <c r="K65" s="1288"/>
      <c r="L65" s="1289"/>
      <c r="M65" s="1289"/>
      <c r="N65" s="1321" t="s">
        <v>378</v>
      </c>
      <c r="O65" s="1322"/>
      <c r="P65" s="1323"/>
      <c r="Q65" s="2029"/>
      <c r="R65" s="2029"/>
      <c r="S65" s="2029"/>
      <c r="T65" s="2029"/>
      <c r="U65" s="2029"/>
      <c r="V65" s="2029"/>
    </row>
    <row r="66" spans="1:22" ht="25.5">
      <c r="A66" s="3291" t="s">
        <v>385</v>
      </c>
      <c r="B66" s="3292"/>
      <c r="C66" s="3292"/>
      <c r="D66" s="261">
        <f ca="1">IF(H66="情况1",0,IF(H66="情况2",D70,IF(H66="情况3",D71,IF(H66="情况4",D72))))</f>
        <v>2241</v>
      </c>
      <c r="E66" s="992" t="str">
        <f>IF(H66="情况4","(销售额-原购置价)×税（费）率","销售额×税（费）率")</f>
        <v>销售额×税（费）率</v>
      </c>
      <c r="F66" s="350">
        <f>IF(H66="情况1","免征",'数据-取费表'!B41)</f>
        <v>5.6000000000000001E-2</v>
      </c>
      <c r="G66" s="351" t="s">
        <v>386</v>
      </c>
      <c r="H66" s="191" t="s">
        <v>387</v>
      </c>
      <c r="I66" s="1287"/>
      <c r="J66" s="2035"/>
      <c r="K66" s="1290">
        <v>1</v>
      </c>
      <c r="L66" s="3349" t="s">
        <v>384</v>
      </c>
      <c r="M66" s="3350"/>
      <c r="N66" s="2459"/>
      <c r="O66" s="2460"/>
      <c r="P66" s="2461"/>
      <c r="Q66" s="2029"/>
      <c r="R66" s="2029"/>
      <c r="S66" s="2029"/>
      <c r="T66" s="2029"/>
      <c r="U66" s="2029"/>
      <c r="V66" s="2029"/>
    </row>
    <row r="67" spans="1:22" ht="25.5" customHeight="1">
      <c r="A67" s="352" t="s">
        <v>389</v>
      </c>
      <c r="B67" s="3282" t="s">
        <v>390</v>
      </c>
      <c r="C67" s="3282"/>
      <c r="D67" s="353">
        <v>0</v>
      </c>
      <c r="E67" s="41" t="s">
        <v>391</v>
      </c>
      <c r="F67" s="62" t="s">
        <v>21</v>
      </c>
      <c r="G67" s="3337"/>
      <c r="H67" s="311"/>
      <c r="I67" s="1291"/>
      <c r="J67" s="2036"/>
      <c r="K67" s="1977">
        <v>2</v>
      </c>
      <c r="L67" s="3348" t="s">
        <v>388</v>
      </c>
      <c r="M67" s="3348"/>
      <c r="N67" s="1324">
        <f>'数据-取费表'!B2</f>
        <v>43627</v>
      </c>
      <c r="O67" s="1324"/>
      <c r="P67" s="1324"/>
      <c r="Q67" s="2029"/>
      <c r="R67" s="2029"/>
      <c r="S67" s="2029"/>
      <c r="T67" s="2029"/>
      <c r="U67" s="2029"/>
      <c r="V67" s="2029"/>
    </row>
    <row r="68" spans="1:22" ht="25.5" customHeight="1">
      <c r="A68" s="354"/>
      <c r="B68" s="3282" t="s">
        <v>393</v>
      </c>
      <c r="C68" s="3282"/>
      <c r="D68" s="355"/>
      <c r="E68" s="77"/>
      <c r="F68" s="356"/>
      <c r="G68" s="3338"/>
      <c r="H68" s="311"/>
      <c r="I68" s="1291"/>
      <c r="J68" s="2036"/>
      <c r="K68" s="1977">
        <v>3</v>
      </c>
      <c r="L68" s="3348" t="s">
        <v>392</v>
      </c>
      <c r="M68" s="3348"/>
      <c r="N68" s="1292">
        <f ca="1">C42</f>
        <v>70041</v>
      </c>
      <c r="O68" s="1292"/>
      <c r="P68" s="1292"/>
      <c r="Q68" s="2029"/>
      <c r="R68" s="2029"/>
      <c r="S68" s="2029"/>
      <c r="T68" s="2029"/>
      <c r="U68" s="2029"/>
      <c r="V68" s="2029"/>
    </row>
    <row r="69" spans="1:22" ht="12" customHeight="1">
      <c r="A69" s="357"/>
      <c r="B69" s="3282" t="s">
        <v>394</v>
      </c>
      <c r="C69" s="3282"/>
      <c r="D69" s="358"/>
      <c r="E69" s="73"/>
      <c r="F69" s="356"/>
      <c r="G69" s="3339"/>
      <c r="H69" s="311"/>
      <c r="I69" s="1291"/>
      <c r="J69" s="2036"/>
      <c r="K69" s="1293">
        <v>4</v>
      </c>
      <c r="L69" s="3353" t="s">
        <v>2885</v>
      </c>
      <c r="M69" s="3354"/>
      <c r="N69" s="1294" t="str">
        <f>C44</f>
        <v>——</v>
      </c>
      <c r="O69" s="1294"/>
      <c r="P69" s="1294"/>
      <c r="Q69" s="2029"/>
      <c r="R69" s="2029"/>
      <c r="S69" s="2029"/>
      <c r="T69" s="2029"/>
      <c r="U69" s="2029"/>
      <c r="V69" s="2029"/>
    </row>
    <row r="70" spans="1:22" ht="24" customHeight="1">
      <c r="A70" s="359" t="s">
        <v>395</v>
      </c>
      <c r="B70" s="3282" t="s">
        <v>396</v>
      </c>
      <c r="C70" s="3282"/>
      <c r="D70" s="358">
        <f ca="1">ROUND(D63*'数据-取费表'!B41/(1+'数据-取费表'!C42),0)</f>
        <v>2241</v>
      </c>
      <c r="E70" s="17" t="s">
        <v>397</v>
      </c>
      <c r="F70" s="360">
        <f>'数据-取费表'!B41</f>
        <v>5.6000000000000001E-2</v>
      </c>
      <c r="G70" s="361"/>
      <c r="H70" s="311"/>
      <c r="I70" s="1291"/>
      <c r="J70" s="2036"/>
      <c r="K70" s="3063"/>
      <c r="L70" s="3064"/>
      <c r="M70" s="3064"/>
      <c r="N70" s="3065" t="s">
        <v>2890</v>
      </c>
      <c r="O70" s="3064"/>
      <c r="P70" s="3066"/>
      <c r="Q70" s="2029"/>
      <c r="R70" s="2029"/>
      <c r="S70" s="2029"/>
      <c r="T70" s="2029"/>
      <c r="U70" s="2029"/>
      <c r="V70" s="2029"/>
    </row>
    <row r="71" spans="1:22" ht="12" customHeight="1">
      <c r="A71" s="359" t="s">
        <v>403</v>
      </c>
      <c r="B71" s="3283" t="s">
        <v>404</v>
      </c>
      <c r="C71" s="3284"/>
      <c r="D71" s="358">
        <f ca="1">ROUND(D63*'数据-取费表'!B41/(1+'数据-取费表'!C42),0)</f>
        <v>2241</v>
      </c>
      <c r="E71" s="17" t="s">
        <v>397</v>
      </c>
      <c r="F71" s="360">
        <f>'数据-取费表'!B41</f>
        <v>5.6000000000000001E-2</v>
      </c>
      <c r="G71" s="361"/>
      <c r="H71" s="311"/>
      <c r="I71" s="1291"/>
      <c r="J71" s="2036"/>
      <c r="K71" s="3062" t="s">
        <v>398</v>
      </c>
      <c r="L71" s="3355" t="s">
        <v>399</v>
      </c>
      <c r="M71" s="3355"/>
      <c r="N71" s="3062" t="s">
        <v>400</v>
      </c>
      <c r="O71" s="3062" t="s">
        <v>401</v>
      </c>
      <c r="P71" s="3062" t="s">
        <v>402</v>
      </c>
      <c r="Q71" s="2029"/>
      <c r="R71" s="2029"/>
      <c r="S71" s="2029"/>
      <c r="T71" s="2029"/>
      <c r="U71" s="2029"/>
      <c r="V71" s="2029"/>
    </row>
    <row r="72" spans="1:22" ht="12" customHeight="1">
      <c r="A72" s="359" t="s">
        <v>406</v>
      </c>
      <c r="B72" s="3283" t="s">
        <v>407</v>
      </c>
      <c r="C72" s="3284"/>
      <c r="D72" s="358">
        <f ca="1">C86</f>
        <v>2129</v>
      </c>
      <c r="E72" s="73" t="s">
        <v>408</v>
      </c>
      <c r="F72" s="360">
        <f>'数据-取费表'!B41</f>
        <v>5.6000000000000001E-2</v>
      </c>
      <c r="G72" s="361"/>
      <c r="H72" s="1297"/>
      <c r="I72" s="1291"/>
      <c r="J72" s="2036"/>
      <c r="K72" s="1977">
        <v>1</v>
      </c>
      <c r="L72" s="3330" t="s">
        <v>405</v>
      </c>
      <c r="M72" s="3330"/>
      <c r="N72" s="1295">
        <f ca="1">D66</f>
        <v>2241</v>
      </c>
      <c r="O72" s="1860" t="str">
        <f>E66</f>
        <v>销售额×税（费）率</v>
      </c>
      <c r="P72" s="1296">
        <f>F66</f>
        <v>5.6000000000000001E-2</v>
      </c>
      <c r="Q72" s="2029"/>
      <c r="R72" s="2029"/>
      <c r="S72" s="2029"/>
      <c r="T72" s="2029"/>
      <c r="U72" s="2029"/>
      <c r="V72" s="2029"/>
    </row>
    <row r="73" spans="1:22" ht="24" customHeight="1">
      <c r="A73" s="3324" t="s">
        <v>410</v>
      </c>
      <c r="B73" s="3292"/>
      <c r="C73" s="3292"/>
      <c r="D73" s="362">
        <f>IF(H73="个人住宅",0,ROUND(D63*I73,0))</f>
        <v>0</v>
      </c>
      <c r="E73" s="17" t="s">
        <v>411</v>
      </c>
      <c r="F73" s="360" t="str">
        <f>IF(H73="正常",I73,"免征")</f>
        <v>免征</v>
      </c>
      <c r="G73" s="361"/>
      <c r="H73" s="191" t="s">
        <v>2457</v>
      </c>
      <c r="I73" s="360">
        <f>'数据-取费表'!B49</f>
        <v>5.0000000000000001E-4</v>
      </c>
      <c r="J73" s="2036"/>
      <c r="K73" s="1977">
        <v>2</v>
      </c>
      <c r="L73" s="3330" t="s">
        <v>409</v>
      </c>
      <c r="M73" s="3330"/>
      <c r="N73" s="1295">
        <f t="shared" ref="N73:P74" si="1">D73</f>
        <v>0</v>
      </c>
      <c r="O73" s="1860" t="str">
        <f t="shared" si="1"/>
        <v>销售额×税（费）率</v>
      </c>
      <c r="P73" s="1296" t="str">
        <f t="shared" si="1"/>
        <v>免征</v>
      </c>
      <c r="Q73" s="2029"/>
      <c r="R73" s="2029"/>
      <c r="S73" s="2029"/>
      <c r="T73" s="2029"/>
      <c r="U73" s="2029"/>
      <c r="V73" s="2029"/>
    </row>
    <row r="74" spans="1:22" ht="24.75">
      <c r="A74" s="3324" t="s">
        <v>414</v>
      </c>
      <c r="B74" s="3292"/>
      <c r="C74" s="3292"/>
      <c r="D74" s="362">
        <f ca="1">IF(H74="个人住宅",D75,D76)</f>
        <v>23131</v>
      </c>
      <c r="E74" s="17" t="s">
        <v>415</v>
      </c>
      <c r="F74" s="360" t="str">
        <f>IF(H74="正常",F76,"免征")</f>
        <v>——</v>
      </c>
      <c r="G74" s="982" t="s">
        <v>416</v>
      </c>
      <c r="H74" s="363" t="s">
        <v>412</v>
      </c>
      <c r="I74" s="42"/>
      <c r="J74" s="2036"/>
      <c r="K74" s="1977">
        <v>3</v>
      </c>
      <c r="L74" s="3330" t="s">
        <v>413</v>
      </c>
      <c r="M74" s="3330"/>
      <c r="N74" s="1295">
        <f t="shared" ca="1" si="1"/>
        <v>23131</v>
      </c>
      <c r="O74" s="1860" t="str">
        <f t="shared" si="1"/>
        <v>增值额×税（费）率</v>
      </c>
      <c r="P74" s="1298" t="str">
        <f t="shared" si="1"/>
        <v>——</v>
      </c>
      <c r="Q74" s="2029"/>
      <c r="R74" s="2029"/>
      <c r="S74" s="2029"/>
      <c r="T74" s="2029"/>
      <c r="U74" s="2029"/>
      <c r="V74" s="2029"/>
    </row>
    <row r="75" spans="1:22" ht="24">
      <c r="A75" s="359" t="s">
        <v>417</v>
      </c>
      <c r="B75" s="3280" t="s">
        <v>418</v>
      </c>
      <c r="C75" s="3310"/>
      <c r="D75" s="364">
        <v>0</v>
      </c>
      <c r="E75" s="41" t="s">
        <v>419</v>
      </c>
      <c r="F75" s="365"/>
      <c r="G75" s="361"/>
      <c r="H75" s="42"/>
      <c r="I75" s="42"/>
      <c r="J75" s="2036"/>
      <c r="K75" s="3055">
        <f>IF(H77="非个人房产","",4)</f>
        <v>4</v>
      </c>
      <c r="L75" s="3330" t="str">
        <f>IF(H77="非个人房产","——","个人所得税")</f>
        <v>个人所得税</v>
      </c>
      <c r="M75" s="3330"/>
      <c r="N75" s="1299">
        <f ca="1">D77</f>
        <v>420</v>
      </c>
      <c r="O75" s="1873" t="str">
        <f>E77</f>
        <v>销售额×税（费）率</v>
      </c>
      <c r="P75" s="1300">
        <f>F77</f>
        <v>0.01</v>
      </c>
      <c r="Q75" s="2029"/>
      <c r="R75" s="2029"/>
      <c r="S75" s="2029"/>
      <c r="T75" s="2029"/>
      <c r="U75" s="2029"/>
      <c r="V75" s="2029"/>
    </row>
    <row r="76" spans="1:22" ht="24.75">
      <c r="A76" s="359" t="s">
        <v>395</v>
      </c>
      <c r="B76" s="3280" t="s">
        <v>421</v>
      </c>
      <c r="C76" s="3281"/>
      <c r="D76" s="362">
        <f ca="1">IF(H76="转让取得",C99,C115)</f>
        <v>23131</v>
      </c>
      <c r="E76" s="17" t="s">
        <v>422</v>
      </c>
      <c r="F76" s="53" t="s">
        <v>21</v>
      </c>
      <c r="G76" s="361"/>
      <c r="H76" s="363" t="s">
        <v>423</v>
      </c>
      <c r="I76" s="42"/>
      <c r="J76" s="2036"/>
      <c r="K76" s="3055" t="str">
        <f>IF(项目基本情况!K6="上海银行",IF(K75="",4,K75+1),"")</f>
        <v/>
      </c>
      <c r="L76" s="3341" t="str">
        <f>IF(项目基本情况!K6="上海银行","其他处置费用","")</f>
        <v/>
      </c>
      <c r="M76" s="3342"/>
      <c r="N76" s="1295" t="str">
        <f>IF(项目基本情况!K6="上海银行",N89,"")</f>
        <v/>
      </c>
      <c r="O76" s="3343" t="str">
        <f>IF(项目基本情况!K6="上海银行","包含处置中涉及的律师、诉讼、拍卖、评估等费用","")</f>
        <v/>
      </c>
      <c r="P76" s="3344"/>
      <c r="Q76" s="2029"/>
      <c r="R76" s="2029"/>
      <c r="S76" s="2029"/>
      <c r="T76" s="2029"/>
      <c r="U76" s="2029"/>
      <c r="V76" s="2029"/>
    </row>
    <row r="77" spans="1:22" ht="26.25" thickBot="1">
      <c r="A77" s="3332" t="s">
        <v>425</v>
      </c>
      <c r="B77" s="3333"/>
      <c r="C77" s="3333"/>
      <c r="D77" s="366">
        <f ca="1">IF(H77="非个人房产","——",IF(H77="个人住宅",0,ROUND(D63*I77,0)))</f>
        <v>420</v>
      </c>
      <c r="E77" s="367" t="str">
        <f>IF(H77="非个人房产","——","销售额×税（费）率")</f>
        <v>销售额×税（费）率</v>
      </c>
      <c r="F77" s="368">
        <f>IF(H77="非个人房产","——",IF(H77="个人住宅","免征",I77))</f>
        <v>0.01</v>
      </c>
      <c r="G77" s="983" t="s">
        <v>416</v>
      </c>
      <c r="H77" s="363" t="s">
        <v>2886</v>
      </c>
      <c r="I77" s="369">
        <v>0.01</v>
      </c>
      <c r="J77" s="2036"/>
      <c r="K77" s="3331">
        <f>IF(AND(K75="",K76=""),4,IF(项目基本情况!K6="上海银行",K76+1,K75+1))</f>
        <v>5</v>
      </c>
      <c r="L77" s="3330" t="s">
        <v>2887</v>
      </c>
      <c r="M77" s="3061" t="s">
        <v>420</v>
      </c>
      <c r="N77" s="1301"/>
      <c r="O77" s="1302">
        <f ca="1">SUMIF(N72:N76,"&lt;9e307")</f>
        <v>25792</v>
      </c>
      <c r="P77" s="1303"/>
      <c r="Q77" s="3059" t="e">
        <f ca="1">O77/N69</f>
        <v>#VALUE!</v>
      </c>
      <c r="R77" s="2029"/>
      <c r="S77" s="2029"/>
      <c r="T77" s="2029"/>
      <c r="U77" s="2029"/>
      <c r="V77" s="2029"/>
    </row>
    <row r="78" spans="1:22" ht="12" customHeight="1">
      <c r="A78" s="1304"/>
      <c r="B78" s="311"/>
      <c r="C78" s="311"/>
      <c r="D78" s="311"/>
      <c r="E78" s="42"/>
      <c r="F78" s="42"/>
      <c r="G78" s="42"/>
      <c r="H78" s="1002"/>
      <c r="I78" s="311"/>
      <c r="J78" s="2036"/>
      <c r="K78" s="3331"/>
      <c r="L78" s="3330"/>
      <c r="M78" s="3061" t="s">
        <v>424</v>
      </c>
      <c r="N78" s="1301"/>
      <c r="O78" s="1302" t="str">
        <f ca="1">NUMBERSTRING(INT(O77*10000),2)&amp;"元整"</f>
        <v>贰亿伍仟柒佰玖拾贰万元整</v>
      </c>
      <c r="P78" s="1303"/>
      <c r="Q78" s="2029"/>
      <c r="R78" s="2029"/>
      <c r="S78" s="2029"/>
      <c r="T78" s="2029"/>
      <c r="U78" s="2029"/>
      <c r="V78" s="2029"/>
    </row>
    <row r="79" spans="1:22" ht="13.5" thickBot="1">
      <c r="A79" s="3325" t="s">
        <v>426</v>
      </c>
      <c r="B79" s="3325"/>
      <c r="C79" s="3325"/>
      <c r="D79" s="3325"/>
      <c r="E79" s="3325"/>
      <c r="F79" s="42"/>
      <c r="G79" s="42"/>
      <c r="H79" s="1002"/>
      <c r="I79" s="311"/>
      <c r="J79" s="2036"/>
      <c r="K79" s="3351">
        <f>K77+1</f>
        <v>6</v>
      </c>
      <c r="L79" s="3330" t="s">
        <v>2888</v>
      </c>
      <c r="M79" s="3061" t="s">
        <v>420</v>
      </c>
      <c r="N79" s="1301"/>
      <c r="O79" s="1302" t="e">
        <f ca="1">N69-O77</f>
        <v>#VALUE!</v>
      </c>
      <c r="P79" s="1303"/>
      <c r="Q79" s="2029"/>
      <c r="R79" s="2029"/>
      <c r="S79" s="2029"/>
      <c r="T79" s="2029"/>
      <c r="U79" s="2029"/>
      <c r="V79" s="2029"/>
    </row>
    <row r="80" spans="1:22" ht="12.75">
      <c r="A80" s="3320" t="s">
        <v>427</v>
      </c>
      <c r="B80" s="3321"/>
      <c r="C80" s="993"/>
      <c r="D80" s="993" t="s">
        <v>428</v>
      </c>
      <c r="E80" s="370" t="s">
        <v>429</v>
      </c>
      <c r="F80" s="42"/>
      <c r="G80" s="42"/>
      <c r="H80" s="1002"/>
      <c r="I80" s="311"/>
      <c r="J80" s="2029"/>
      <c r="K80" s="3352"/>
      <c r="L80" s="3330"/>
      <c r="M80" s="3061" t="s">
        <v>424</v>
      </c>
      <c r="N80" s="1301"/>
      <c r="O80" s="1302" t="e">
        <f ca="1">NUMBERSTRING(INT(O79*10000),2)&amp;"元整"</f>
        <v>#VALUE!</v>
      </c>
      <c r="P80" s="1303"/>
      <c r="Q80" s="2029"/>
      <c r="R80" s="2029"/>
      <c r="S80" s="2029"/>
      <c r="T80" s="2029"/>
      <c r="U80" s="2029"/>
      <c r="V80" s="2029"/>
    </row>
    <row r="81" spans="1:26" ht="13.5" thickBot="1">
      <c r="A81" s="381" t="s">
        <v>1823</v>
      </c>
      <c r="B81" s="371" t="s">
        <v>430</v>
      </c>
      <c r="C81" s="372">
        <f ca="1">ROUND((C82+C83)/(1+'数据-取费表'!C42),0)</f>
        <v>40024</v>
      </c>
      <c r="D81" s="373"/>
      <c r="E81" s="374"/>
      <c r="F81" s="42"/>
      <c r="G81" s="42"/>
      <c r="H81" s="1002"/>
      <c r="I81" s="311"/>
      <c r="J81" s="2029"/>
      <c r="K81" s="3055">
        <f>K79+1</f>
        <v>7</v>
      </c>
      <c r="L81" s="3328" t="s">
        <v>2889</v>
      </c>
      <c r="M81" s="3329"/>
      <c r="N81" s="1305"/>
      <c r="O81" s="1306" t="e">
        <f ca="1">ROUND(O79*10000/'数据-汇总表'!E3,0)</f>
        <v>#VALUE!</v>
      </c>
      <c r="P81" s="1307"/>
      <c r="Q81" s="2029"/>
      <c r="R81" s="2029"/>
      <c r="S81" s="2029"/>
      <c r="T81" s="2029"/>
      <c r="U81" s="2029"/>
      <c r="V81" s="2029"/>
    </row>
    <row r="82" spans="1:26" ht="13.5" thickTop="1">
      <c r="A82" s="375" t="s">
        <v>1824</v>
      </c>
      <c r="B82" s="376" t="s">
        <v>431</v>
      </c>
      <c r="C82" s="377">
        <f ca="1">D63</f>
        <v>42025</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2"/>
      <c r="I83" s="311"/>
      <c r="J83" s="2029"/>
      <c r="K83" s="3340"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1826</v>
      </c>
      <c r="B84" s="382" t="s">
        <v>433</v>
      </c>
      <c r="C84" s="383">
        <v>2000</v>
      </c>
      <c r="D84" s="384" t="s">
        <v>19</v>
      </c>
      <c r="E84" s="3102" t="s">
        <v>2946</v>
      </c>
      <c r="F84" s="42"/>
      <c r="G84" s="42"/>
      <c r="H84" s="1002"/>
      <c r="I84" s="311"/>
      <c r="J84" s="2029"/>
      <c r="K84" s="3340"/>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1827</v>
      </c>
      <c r="B85" s="382" t="s">
        <v>434</v>
      </c>
      <c r="C85" s="385">
        <f ca="1">C81-C84</f>
        <v>38024</v>
      </c>
      <c r="D85" s="378" t="s">
        <v>19</v>
      </c>
      <c r="E85" s="379"/>
      <c r="F85" s="42"/>
      <c r="G85" s="42"/>
      <c r="H85" s="1002"/>
      <c r="I85" s="311"/>
      <c r="J85" s="2029"/>
      <c r="K85" s="3340"/>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1828</v>
      </c>
      <c r="B86" s="387" t="s">
        <v>435</v>
      </c>
      <c r="C86" s="388">
        <f ca="1">IF(C85&lt;=0,0,ROUND(C85*D86,0))</f>
        <v>2129</v>
      </c>
      <c r="D86" s="389">
        <f>'数据-取费表'!B41</f>
        <v>5.6000000000000001E-2</v>
      </c>
      <c r="E86" s="390"/>
      <c r="F86" s="42"/>
      <c r="G86" s="42"/>
      <c r="H86" s="1002"/>
      <c r="I86" s="311"/>
      <c r="J86" s="2029"/>
      <c r="K86" s="3340"/>
      <c r="L86" s="3067" t="s">
        <v>2881</v>
      </c>
      <c r="M86" s="3057" t="e">
        <f>N69*0.5%</f>
        <v>#VALUE!</v>
      </c>
      <c r="N86" s="53" t="e">
        <f>IF(M86&gt;0.5,0.5,ROUND(M86,0))</f>
        <v>#VALUE!</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40"/>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3" customFormat="1" ht="15" thickBot="1">
      <c r="A88" s="3322" t="s">
        <v>436</v>
      </c>
      <c r="B88" s="3323"/>
      <c r="C88" s="3323"/>
      <c r="D88" s="3323"/>
      <c r="E88" s="3323"/>
      <c r="F88" s="3323"/>
      <c r="G88" s="3323"/>
      <c r="H88" s="3323"/>
      <c r="I88" s="1314"/>
      <c r="J88" s="2037"/>
      <c r="K88" s="3340"/>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3" customFormat="1" ht="14.25">
      <c r="A89" s="3320" t="s">
        <v>427</v>
      </c>
      <c r="B89" s="3321"/>
      <c r="C89" s="993"/>
      <c r="D89" s="993" t="s">
        <v>428</v>
      </c>
      <c r="E89" s="391" t="s">
        <v>437</v>
      </c>
      <c r="F89" s="392"/>
      <c r="G89" s="392"/>
      <c r="H89" s="393"/>
      <c r="I89" s="1315"/>
      <c r="J89" s="2039"/>
      <c r="K89" s="3340"/>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3" customFormat="1" ht="14.25">
      <c r="A90" s="381" t="s">
        <v>1823</v>
      </c>
      <c r="B90" s="382" t="s">
        <v>438</v>
      </c>
      <c r="C90" s="385">
        <f ca="1">ROUND(D63/(1+'数据-取费表'!C42),0)</f>
        <v>40024</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439</v>
      </c>
      <c r="C91" s="385">
        <f ca="1">C92+C96</f>
        <v>2801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283" t="s">
        <v>446</v>
      </c>
      <c r="F94" s="3282"/>
      <c r="G94" s="3282"/>
      <c r="H94" s="3319"/>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240</v>
      </c>
      <c r="D96" s="406">
        <f>'数据-取费表'!B43</f>
        <v>6.000000000000001E-3</v>
      </c>
      <c r="E96" s="3311" t="s">
        <v>2430</v>
      </c>
      <c r="F96" s="3312"/>
      <c r="G96" s="3312"/>
      <c r="H96" s="3313"/>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37223</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13.289182434844699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21353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2" t="s">
        <v>453</v>
      </c>
      <c r="B101" s="3323"/>
      <c r="C101" s="3323"/>
      <c r="D101" s="3323"/>
      <c r="E101" s="3323"/>
      <c r="F101" s="3323"/>
      <c r="G101" s="3323"/>
      <c r="H101" s="332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20" t="s">
        <v>427</v>
      </c>
      <c r="B102" s="3321"/>
      <c r="C102" s="993"/>
      <c r="D102" s="993"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438</v>
      </c>
      <c r="C103" s="385">
        <f ca="1">ROUND(D63/(1+'数据-取费表'!C42),0)</f>
        <v>40024</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439</v>
      </c>
      <c r="C104" s="385">
        <f ca="1">IF(H106="仅含出让金",C105+C108+C109+C110+C111+C112,C105+C109+C110+C111+C112)</f>
        <v>930</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v>555</v>
      </c>
      <c r="D106" s="406"/>
      <c r="E106" s="417" t="s">
        <v>456</v>
      </c>
      <c r="F106" s="985"/>
      <c r="G106" s="418" t="s">
        <v>457</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55</v>
      </c>
      <c r="D109" s="406"/>
      <c r="E109" s="3314" t="s">
        <v>461</v>
      </c>
      <c r="F109" s="3312"/>
      <c r="G109" s="3312"/>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63</v>
      </c>
      <c r="D110" s="406">
        <v>0.1</v>
      </c>
      <c r="E110" s="3314" t="s">
        <v>463</v>
      </c>
      <c r="F110" s="3312"/>
      <c r="G110" s="3312"/>
      <c r="H110" s="3313"/>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240</v>
      </c>
      <c r="D111" s="406">
        <f>'数据-取费表'!B43</f>
        <v>6.000000000000001E-3</v>
      </c>
      <c r="E111" s="3311" t="s">
        <v>2430</v>
      </c>
      <c r="F111" s="3312"/>
      <c r="G111" s="3312"/>
      <c r="H111" s="3313"/>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14" t="s">
        <v>2455</v>
      </c>
      <c r="F112" s="3312"/>
      <c r="G112" s="3312"/>
      <c r="H112" s="3313"/>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39094</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42.036559139784949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23131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Q29" sqref="Q29"/>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75513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2554</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8939</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596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365" t="s">
        <v>521</v>
      </c>
      <c r="D6" s="3366"/>
      <c r="E6" s="3365" t="s">
        <v>522</v>
      </c>
      <c r="F6" s="3366"/>
      <c r="G6" s="3365" t="s">
        <v>523</v>
      </c>
      <c r="H6" s="3366"/>
      <c r="I6" s="3365" t="s">
        <v>524</v>
      </c>
      <c r="J6" s="3366"/>
      <c r="K6" s="514" t="s">
        <v>525</v>
      </c>
      <c r="L6" s="2134"/>
      <c r="M6" s="2133"/>
      <c r="N6" s="2133"/>
      <c r="O6" s="2135"/>
      <c r="P6" s="3367" t="s">
        <v>526</v>
      </c>
      <c r="Q6" s="3368"/>
      <c r="R6" s="3373" t="s">
        <v>522</v>
      </c>
      <c r="S6" s="3374"/>
      <c r="T6" s="3373" t="s">
        <v>523</v>
      </c>
      <c r="U6" s="3374"/>
      <c r="V6" s="3360" t="s">
        <v>524</v>
      </c>
      <c r="W6" s="3360"/>
      <c r="X6" s="1567"/>
      <c r="Y6" s="3373" t="s">
        <v>526</v>
      </c>
      <c r="Z6" s="3374"/>
      <c r="AA6" s="3362" t="s">
        <v>522</v>
      </c>
      <c r="AB6" s="3363" t="s">
        <v>523</v>
      </c>
      <c r="AC6" s="3362" t="s">
        <v>524</v>
      </c>
    </row>
    <row r="7" spans="1:30" ht="32.25" customHeight="1">
      <c r="A7" s="515"/>
      <c r="B7" s="516"/>
      <c r="C7" s="3381" t="s">
        <v>2933</v>
      </c>
      <c r="D7" s="3382"/>
      <c r="E7" s="3381" t="str">
        <f>Sheet3!A7</f>
        <v>观山湖区宾阳大道与体育路交叉口西南、西北两侧</v>
      </c>
      <c r="F7" s="3382"/>
      <c r="G7" s="3381" t="str">
        <f>Sheet3!A10</f>
        <v>白云区艳山红镇原氧化铝厂片区</v>
      </c>
      <c r="H7" s="3382"/>
      <c r="I7" s="3381" t="str">
        <f>Sheet3!A15</f>
        <v>观山西路南侧,云潭南路西侧</v>
      </c>
      <c r="J7" s="3382"/>
      <c r="K7" s="514"/>
      <c r="L7" s="2134"/>
      <c r="M7" s="2133"/>
      <c r="N7" s="2133"/>
      <c r="O7" s="2135"/>
      <c r="P7" s="3369"/>
      <c r="Q7" s="3370"/>
      <c r="R7" s="3375"/>
      <c r="S7" s="3376"/>
      <c r="T7" s="3375"/>
      <c r="U7" s="3376"/>
      <c r="V7" s="3360"/>
      <c r="W7" s="3360"/>
      <c r="X7" s="1567"/>
      <c r="Y7" s="3375"/>
      <c r="Z7" s="3376"/>
      <c r="AA7" s="3363"/>
      <c r="AB7" s="3363"/>
      <c r="AC7" s="3363"/>
    </row>
    <row r="8" spans="1:30" ht="21" thickBot="1">
      <c r="A8" s="515"/>
      <c r="B8" s="516"/>
      <c r="C8" s="3383" t="s">
        <v>2937</v>
      </c>
      <c r="D8" s="3384"/>
      <c r="E8" s="3383" t="s">
        <v>2937</v>
      </c>
      <c r="F8" s="3384"/>
      <c r="G8" s="3379" t="s">
        <v>2937</v>
      </c>
      <c r="H8" s="3380"/>
      <c r="I8" s="3379" t="s">
        <v>2937</v>
      </c>
      <c r="J8" s="3380"/>
      <c r="K8" s="514" t="s">
        <v>527</v>
      </c>
      <c r="L8" s="2134"/>
      <c r="M8" s="2133"/>
      <c r="N8" s="2133"/>
      <c r="O8" s="2135"/>
      <c r="P8" s="3371"/>
      <c r="Q8" s="3372"/>
      <c r="R8" s="3375"/>
      <c r="S8" s="3376"/>
      <c r="T8" s="3377"/>
      <c r="U8" s="3378"/>
      <c r="V8" s="3360"/>
      <c r="W8" s="3360"/>
      <c r="X8" s="1567"/>
      <c r="Y8" s="3377"/>
      <c r="Z8" s="3378"/>
      <c r="AA8" s="3364"/>
      <c r="AB8" s="3364"/>
      <c r="AC8" s="3364"/>
    </row>
    <row r="9" spans="1:30" s="1219" customFormat="1" ht="21" thickBot="1">
      <c r="A9" s="2913"/>
      <c r="B9" s="2920" t="s">
        <v>528</v>
      </c>
      <c r="C9" s="2912">
        <f>'数据-取费表'!B2</f>
        <v>43627</v>
      </c>
      <c r="D9" s="520">
        <v>100</v>
      </c>
      <c r="E9" s="521" t="str">
        <f>Sheet3!H7</f>
        <v>2018-02-07</v>
      </c>
      <c r="F9" s="522">
        <f>SUMIF(72:72,YEAR(E9)&amp;"-"&amp;INT((MONTH(E9)+2)/3),73:73)</f>
        <v>96</v>
      </c>
      <c r="G9" s="523" t="str">
        <f>Sheet3!H10</f>
        <v>2017-12-11</v>
      </c>
      <c r="H9" s="520">
        <f>SUMIF(72:72,YEAR(G9)&amp;"-"&amp;INT((MONTH(G9)+2)/3),73:73)</f>
        <v>95</v>
      </c>
      <c r="I9" s="523" t="str">
        <f>Sheet3!H15</f>
        <v>2017-07-28</v>
      </c>
      <c r="J9" s="520">
        <f>SUMIF(72:72,YEAR(I9)&amp;"-"&amp;INT((MONTH(I9)+2)/3),73:73)</f>
        <v>94</v>
      </c>
      <c r="K9" s="524"/>
      <c r="L9" s="2136"/>
      <c r="M9" s="2133"/>
      <c r="N9" s="2133"/>
      <c r="O9" s="2137"/>
      <c r="P9" s="3390" t="s">
        <v>529</v>
      </c>
      <c r="Q9" s="3392"/>
      <c r="R9" s="1568" t="s">
        <v>8</v>
      </c>
      <c r="S9" s="1569">
        <f t="shared" ref="S9:S17" si="0">F9</f>
        <v>96</v>
      </c>
      <c r="T9" s="1568" t="s">
        <v>8</v>
      </c>
      <c r="U9" s="1569">
        <f t="shared" ref="U9:U17" si="1">H9</f>
        <v>95</v>
      </c>
      <c r="V9" s="1568" t="s">
        <v>8</v>
      </c>
      <c r="W9" s="1569">
        <f t="shared" ref="W9:W17" si="2">J9</f>
        <v>94</v>
      </c>
      <c r="X9" s="1570"/>
      <c r="Y9" s="3390" t="s">
        <v>529</v>
      </c>
      <c r="Z9" s="3391"/>
      <c r="AA9" s="1571">
        <f>D9/F9</f>
        <v>1.0416666666666667</v>
      </c>
      <c r="AB9" s="1571">
        <f>D9/H9</f>
        <v>1.0526315789473684</v>
      </c>
      <c r="AC9" s="1571">
        <f>D9/J9</f>
        <v>1.0638297872340425</v>
      </c>
    </row>
    <row r="10" spans="1:30" s="1219" customFormat="1" ht="21" thickBot="1">
      <c r="A10" s="2914"/>
      <c r="B10" s="2921" t="s">
        <v>530</v>
      </c>
      <c r="C10" s="856" t="s">
        <v>531</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6"/>
      <c r="M10" s="2133"/>
      <c r="N10" s="2133"/>
      <c r="O10" s="2137"/>
      <c r="P10" s="3390" t="s">
        <v>532</v>
      </c>
      <c r="Q10" s="3391"/>
      <c r="R10" s="1568" t="s">
        <v>8</v>
      </c>
      <c r="S10" s="1569">
        <f t="shared" si="0"/>
        <v>100</v>
      </c>
      <c r="T10" s="1568" t="s">
        <v>8</v>
      </c>
      <c r="U10" s="1569">
        <f t="shared" si="1"/>
        <v>100</v>
      </c>
      <c r="V10" s="1568" t="s">
        <v>8</v>
      </c>
      <c r="W10" s="1569">
        <f t="shared" si="2"/>
        <v>100</v>
      </c>
      <c r="X10" s="1570"/>
      <c r="Y10" s="3390" t="s">
        <v>532</v>
      </c>
      <c r="Z10" s="3391"/>
      <c r="AA10" s="1571">
        <f t="shared" ref="AA10:AA47" si="3">D10/F10</f>
        <v>1</v>
      </c>
      <c r="AB10" s="1571">
        <f t="shared" ref="AB10:AB47" si="4">D10/H10</f>
        <v>1</v>
      </c>
      <c r="AC10" s="1571">
        <f t="shared" ref="AC10:AC47" si="5">D10/J10</f>
        <v>1</v>
      </c>
    </row>
    <row r="11" spans="1:30" s="1219" customFormat="1" ht="20.25">
      <c r="A11" s="2915"/>
      <c r="B11" s="2922" t="s">
        <v>2758</v>
      </c>
      <c r="C11" s="2909" t="s">
        <v>2989</v>
      </c>
      <c r="D11" s="254">
        <v>100</v>
      </c>
      <c r="E11" s="526" t="s">
        <v>2989</v>
      </c>
      <c r="F11" s="254">
        <f>SUMIF(77:77,E11,78:78)-SUMIF(77:77,C11,78:78)+100</f>
        <v>100</v>
      </c>
      <c r="G11" s="526" t="s">
        <v>2989</v>
      </c>
      <c r="H11" s="254">
        <f>SUMIF(77:77,G11,78:78)-SUMIF(77:77,C11,78:78)+100</f>
        <v>100</v>
      </c>
      <c r="I11" s="526" t="s">
        <v>2989</v>
      </c>
      <c r="J11" s="254">
        <f>SUMIF(77:77,I11,78:78)-SUMIF(77:77,C11,78:78)+100</f>
        <v>100</v>
      </c>
      <c r="K11" s="524"/>
      <c r="L11" s="2136"/>
      <c r="M11" s="2133"/>
      <c r="N11" s="2133"/>
      <c r="O11" s="2138"/>
      <c r="P11" s="3359" t="s">
        <v>534</v>
      </c>
      <c r="Q11" s="1150" t="str">
        <f t="shared" ref="Q11:Q17" si="6">B11</f>
        <v>用途</v>
      </c>
      <c r="R11" s="1568" t="s">
        <v>8</v>
      </c>
      <c r="S11" s="1569">
        <f t="shared" si="0"/>
        <v>100</v>
      </c>
      <c r="T11" s="1568" t="s">
        <v>8</v>
      </c>
      <c r="U11" s="1569">
        <f t="shared" si="1"/>
        <v>100</v>
      </c>
      <c r="V11" s="1568" t="s">
        <v>8</v>
      </c>
      <c r="W11" s="1569">
        <f t="shared" si="2"/>
        <v>100</v>
      </c>
      <c r="X11" s="1570"/>
      <c r="Y11" s="3305" t="s">
        <v>535</v>
      </c>
      <c r="Z11" s="1149" t="str">
        <f t="shared" ref="Z11:Z17" si="7">Q11</f>
        <v>用途</v>
      </c>
      <c r="AA11" s="1571">
        <f t="shared" si="3"/>
        <v>1</v>
      </c>
      <c r="AB11" s="1571">
        <f t="shared" si="4"/>
        <v>1</v>
      </c>
      <c r="AC11" s="1571">
        <f t="shared" si="5"/>
        <v>1</v>
      </c>
    </row>
    <row r="12" spans="1:30" s="1337" customFormat="1" ht="27">
      <c r="A12" s="2916"/>
      <c r="B12" s="2921" t="s">
        <v>2759</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359"/>
      <c r="Q12" s="1150" t="str">
        <f t="shared" si="6"/>
        <v>土地使用年限（年）</v>
      </c>
      <c r="R12" s="1568" t="s">
        <v>8</v>
      </c>
      <c r="S12" s="1569">
        <f t="shared" si="0"/>
        <v>101</v>
      </c>
      <c r="T12" s="1568" t="s">
        <v>8</v>
      </c>
      <c r="U12" s="1569">
        <f t="shared" si="1"/>
        <v>101</v>
      </c>
      <c r="V12" s="1568" t="s">
        <v>8</v>
      </c>
      <c r="W12" s="1569">
        <f t="shared" si="2"/>
        <v>101</v>
      </c>
      <c r="X12" s="1570"/>
      <c r="Y12" s="3305"/>
      <c r="Z12" s="1149" t="str">
        <f t="shared" si="7"/>
        <v>土地使用年限（年）</v>
      </c>
      <c r="AA12" s="1571">
        <f t="shared" si="3"/>
        <v>0.99009900990099009</v>
      </c>
      <c r="AB12" s="1571">
        <f t="shared" si="4"/>
        <v>0.99009900990099009</v>
      </c>
      <c r="AC12" s="1571">
        <f t="shared" si="5"/>
        <v>0.99009900990099009</v>
      </c>
    </row>
    <row r="13" spans="1:30" ht="20.25">
      <c r="A13" s="2917"/>
      <c r="B13" s="2921" t="s">
        <v>2760</v>
      </c>
      <c r="C13" s="534">
        <f>'数据-汇总表'!I6</f>
        <v>3.5</v>
      </c>
      <c r="D13" s="255">
        <v>100</v>
      </c>
      <c r="E13" s="533">
        <v>2</v>
      </c>
      <c r="F13" s="255">
        <f>LOOKUP(E13,82:82,83:83)-LOOKUP(C13,82:82,83:83)+100</f>
        <v>103</v>
      </c>
      <c r="G13" s="534">
        <v>3</v>
      </c>
      <c r="H13" s="255">
        <f>LOOKUP(G13,82:82,83:83)-LOOKUP(C13,82:82,83:83)+100</f>
        <v>100</v>
      </c>
      <c r="I13" s="533">
        <v>5</v>
      </c>
      <c r="J13" s="255">
        <f>LOOKUP(I13,82:82,83:83)-LOOKUP(C13,82:82,83:83)+100</f>
        <v>97</v>
      </c>
      <c r="K13" s="535">
        <v>3</v>
      </c>
      <c r="L13" s="2141"/>
      <c r="M13" s="2133"/>
      <c r="N13" s="2133"/>
      <c r="O13" s="2142"/>
      <c r="P13" s="3359"/>
      <c r="Q13" s="1150" t="str">
        <f t="shared" si="6"/>
        <v>容积率</v>
      </c>
      <c r="R13" s="1568" t="s">
        <v>8</v>
      </c>
      <c r="S13" s="1569">
        <f t="shared" si="0"/>
        <v>103</v>
      </c>
      <c r="T13" s="1568" t="s">
        <v>8</v>
      </c>
      <c r="U13" s="1569">
        <f t="shared" si="1"/>
        <v>100</v>
      </c>
      <c r="V13" s="1568" t="s">
        <v>8</v>
      </c>
      <c r="W13" s="1569">
        <f t="shared" si="2"/>
        <v>97</v>
      </c>
      <c r="X13" s="1570"/>
      <c r="Y13" s="3305"/>
      <c r="Z13" s="1149" t="str">
        <f t="shared" si="7"/>
        <v>容积率</v>
      </c>
      <c r="AA13" s="1571">
        <f t="shared" si="3"/>
        <v>0.970873786407767</v>
      </c>
      <c r="AB13" s="1571">
        <f t="shared" si="4"/>
        <v>1</v>
      </c>
      <c r="AC13" s="1571">
        <f t="shared" si="5"/>
        <v>1.0309278350515463</v>
      </c>
    </row>
    <row r="14" spans="1:30" s="1219" customFormat="1" ht="20.25">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59"/>
      <c r="Q14" s="1150" t="str">
        <f t="shared" si="6"/>
        <v>配建</v>
      </c>
      <c r="R14" s="1568" t="s">
        <v>8</v>
      </c>
      <c r="S14" s="1569">
        <f t="shared" si="0"/>
        <v>100</v>
      </c>
      <c r="T14" s="1568" t="s">
        <v>8</v>
      </c>
      <c r="U14" s="1569">
        <f t="shared" si="1"/>
        <v>100</v>
      </c>
      <c r="V14" s="1568" t="s">
        <v>8</v>
      </c>
      <c r="W14" s="1569">
        <f t="shared" si="2"/>
        <v>100</v>
      </c>
      <c r="X14" s="1570"/>
      <c r="Y14" s="3305"/>
      <c r="Z14" s="1149"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9"/>
      <c r="Q15" s="1150">
        <f t="shared" si="6"/>
        <v>111</v>
      </c>
      <c r="R15" s="1568" t="s">
        <v>8</v>
      </c>
      <c r="S15" s="1569">
        <f t="shared" si="0"/>
        <v>100</v>
      </c>
      <c r="T15" s="1568" t="s">
        <v>8</v>
      </c>
      <c r="U15" s="1569">
        <f t="shared" si="1"/>
        <v>100</v>
      </c>
      <c r="V15" s="1568" t="s">
        <v>8</v>
      </c>
      <c r="W15" s="1569">
        <f t="shared" si="2"/>
        <v>100</v>
      </c>
      <c r="X15" s="1570"/>
      <c r="Y15" s="3305"/>
      <c r="Z15" s="1149">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9"/>
      <c r="Q16" s="1150">
        <f t="shared" si="6"/>
        <v>111</v>
      </c>
      <c r="R16" s="1568" t="s">
        <v>8</v>
      </c>
      <c r="S16" s="1569">
        <f t="shared" si="0"/>
        <v>100</v>
      </c>
      <c r="T16" s="1568" t="s">
        <v>8</v>
      </c>
      <c r="U16" s="1569">
        <f t="shared" si="1"/>
        <v>100</v>
      </c>
      <c r="V16" s="1568" t="s">
        <v>8</v>
      </c>
      <c r="W16" s="1569">
        <f t="shared" si="2"/>
        <v>100</v>
      </c>
      <c r="X16" s="1570"/>
      <c r="Y16" s="3305"/>
      <c r="Z16" s="1149">
        <f t="shared" si="7"/>
        <v>111</v>
      </c>
      <c r="AA16" s="1571">
        <f>D16/F16</f>
        <v>1</v>
      </c>
      <c r="AB16" s="1571">
        <f>D16/H16</f>
        <v>1</v>
      </c>
      <c r="AC16" s="1571">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3"/>
      <c r="M17" s="2133"/>
      <c r="N17" s="2133"/>
      <c r="O17" s="2142"/>
      <c r="P17" s="3393" t="s">
        <v>539</v>
      </c>
      <c r="Q17" s="1572" t="str">
        <f t="shared" si="6"/>
        <v>居住社区成熟度</v>
      </c>
      <c r="R17" s="1573" t="s">
        <v>8</v>
      </c>
      <c r="S17" s="1574">
        <f t="shared" si="0"/>
        <v>100</v>
      </c>
      <c r="T17" s="1573" t="s">
        <v>8</v>
      </c>
      <c r="U17" s="1574">
        <f t="shared" si="1"/>
        <v>100</v>
      </c>
      <c r="V17" s="1573" t="s">
        <v>8</v>
      </c>
      <c r="W17" s="1574">
        <f t="shared" si="2"/>
        <v>100</v>
      </c>
      <c r="X17" s="1567"/>
      <c r="Y17" s="3393"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394"/>
      <c r="Q18" s="1572"/>
      <c r="R18" s="1573"/>
      <c r="S18" s="1574"/>
      <c r="T18" s="1573"/>
      <c r="U18" s="1574"/>
      <c r="V18" s="1573"/>
      <c r="W18" s="1574"/>
      <c r="X18" s="1567"/>
      <c r="Y18" s="3394"/>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3"/>
      <c r="M19" s="2133"/>
      <c r="N19" s="2133"/>
      <c r="O19" s="2142"/>
      <c r="P19" s="3394"/>
      <c r="Q19" s="1572" t="str">
        <f>B19</f>
        <v>商业繁华度</v>
      </c>
      <c r="R19" s="1573" t="s">
        <v>8</v>
      </c>
      <c r="S19" s="1574">
        <f>F19</f>
        <v>100</v>
      </c>
      <c r="T19" s="1573" t="s">
        <v>8</v>
      </c>
      <c r="U19" s="1574">
        <f>H19</f>
        <v>100</v>
      </c>
      <c r="V19" s="1573" t="s">
        <v>8</v>
      </c>
      <c r="W19" s="1574">
        <f>J19</f>
        <v>102</v>
      </c>
      <c r="X19" s="1567"/>
      <c r="Y19" s="3394"/>
      <c r="Z19" s="1575" t="str">
        <f>Q19</f>
        <v>商业繁华度</v>
      </c>
      <c r="AA19" s="1576">
        <f t="shared" si="3"/>
        <v>1</v>
      </c>
      <c r="AB19" s="1576">
        <f t="shared" si="4"/>
        <v>1</v>
      </c>
      <c r="AC19" s="1576">
        <f t="shared" si="5"/>
        <v>0.98039215686274506</v>
      </c>
    </row>
    <row r="20" spans="1:29" ht="20.25">
      <c r="A20" s="532"/>
      <c r="B20" s="566"/>
      <c r="C20" s="567" t="s">
        <v>3121</v>
      </c>
      <c r="D20" s="563"/>
      <c r="E20" s="569" t="s">
        <v>3121</v>
      </c>
      <c r="F20" s="559"/>
      <c r="G20" s="568" t="s">
        <v>3121</v>
      </c>
      <c r="H20" s="555"/>
      <c r="I20" s="569" t="s">
        <v>3119</v>
      </c>
      <c r="J20" s="555"/>
      <c r="K20" s="531"/>
      <c r="L20" s="2143"/>
      <c r="M20" s="2133"/>
      <c r="N20" s="2133"/>
      <c r="O20" s="2142"/>
      <c r="P20" s="3394"/>
      <c r="Q20" s="1572"/>
      <c r="R20" s="1573"/>
      <c r="S20" s="1574"/>
      <c r="T20" s="1573"/>
      <c r="U20" s="1574"/>
      <c r="V20" s="1573"/>
      <c r="W20" s="1574"/>
      <c r="X20" s="1567"/>
      <c r="Y20" s="3394"/>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394"/>
      <c r="Q21" s="1572" t="str">
        <f>B21</f>
        <v>办公集聚程度</v>
      </c>
      <c r="R21" s="1573" t="s">
        <v>8</v>
      </c>
      <c r="S21" s="1574">
        <f>F21</f>
        <v>100</v>
      </c>
      <c r="T21" s="1573" t="s">
        <v>8</v>
      </c>
      <c r="U21" s="1574">
        <f>H21</f>
        <v>100</v>
      </c>
      <c r="V21" s="1573" t="s">
        <v>8</v>
      </c>
      <c r="W21" s="1574">
        <f>J21</f>
        <v>100</v>
      </c>
      <c r="X21" s="1567"/>
      <c r="Y21" s="3394"/>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394"/>
      <c r="Q22" s="1572"/>
      <c r="R22" s="1573"/>
      <c r="S22" s="1574"/>
      <c r="T22" s="1573"/>
      <c r="U22" s="1574"/>
      <c r="V22" s="1573"/>
      <c r="W22" s="1574"/>
      <c r="X22" s="1567"/>
      <c r="Y22" s="3394"/>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94"/>
      <c r="Q23" s="1572" t="str">
        <f>B23</f>
        <v>交通便捷度</v>
      </c>
      <c r="R23" s="1573" t="s">
        <v>8</v>
      </c>
      <c r="S23" s="1574">
        <f>F23</f>
        <v>100</v>
      </c>
      <c r="T23" s="1573" t="s">
        <v>8</v>
      </c>
      <c r="U23" s="1574">
        <f>H23</f>
        <v>100</v>
      </c>
      <c r="V23" s="1573" t="s">
        <v>8</v>
      </c>
      <c r="W23" s="1574">
        <f>J23</f>
        <v>100</v>
      </c>
      <c r="X23" s="1567"/>
      <c r="Y23" s="3394"/>
      <c r="Z23" s="1575" t="str">
        <f>Q23</f>
        <v>交通便捷度</v>
      </c>
      <c r="AA23" s="1576">
        <f t="shared" si="3"/>
        <v>1</v>
      </c>
      <c r="AB23" s="1576">
        <f t="shared" si="4"/>
        <v>1</v>
      </c>
      <c r="AC23" s="1576">
        <f t="shared" si="5"/>
        <v>1</v>
      </c>
    </row>
    <row r="24" spans="1:29" ht="20.25">
      <c r="A24" s="532"/>
      <c r="B24" s="578"/>
      <c r="C24" s="554" t="s">
        <v>3119</v>
      </c>
      <c r="D24" s="557"/>
      <c r="E24" s="558" t="s">
        <v>3119</v>
      </c>
      <c r="F24" s="555"/>
      <c r="G24" s="556" t="s">
        <v>3119</v>
      </c>
      <c r="H24" s="555"/>
      <c r="I24" s="558" t="s">
        <v>3119</v>
      </c>
      <c r="J24" s="555"/>
      <c r="K24" s="531"/>
      <c r="L24" s="2143"/>
      <c r="M24" s="2133"/>
      <c r="N24" s="2133"/>
      <c r="O24" s="2142"/>
      <c r="P24" s="3394"/>
      <c r="Q24" s="1572"/>
      <c r="R24" s="1573"/>
      <c r="S24" s="1574"/>
      <c r="T24" s="1573"/>
      <c r="U24" s="1574"/>
      <c r="V24" s="1573"/>
      <c r="W24" s="1574"/>
      <c r="X24" s="1567"/>
      <c r="Y24" s="3394"/>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4"/>
      <c r="Q25" s="1572" t="str">
        <f t="shared" ref="Q25:Q39" si="8">B25</f>
        <v>区域土地利用方向</v>
      </c>
      <c r="R25" s="1573" t="s">
        <v>8</v>
      </c>
      <c r="S25" s="1574">
        <f>F25</f>
        <v>100</v>
      </c>
      <c r="T25" s="1573" t="s">
        <v>8</v>
      </c>
      <c r="U25" s="1574">
        <f>H25</f>
        <v>100</v>
      </c>
      <c r="V25" s="1573" t="s">
        <v>8</v>
      </c>
      <c r="W25" s="1574">
        <f>J25</f>
        <v>100</v>
      </c>
      <c r="X25" s="1567"/>
      <c r="Y25" s="3394"/>
      <c r="Z25" s="1575" t="str">
        <f>Q25</f>
        <v>区域土地利用方向</v>
      </c>
      <c r="AA25" s="1576">
        <f t="shared" si="3"/>
        <v>1</v>
      </c>
      <c r="AB25" s="1576">
        <f t="shared" si="4"/>
        <v>1</v>
      </c>
      <c r="AC25" s="1576">
        <f t="shared" si="5"/>
        <v>1</v>
      </c>
    </row>
    <row r="26" spans="1:29" ht="20.25">
      <c r="A26" s="515"/>
      <c r="B26" s="1006"/>
      <c r="C26" s="554" t="s">
        <v>3119</v>
      </c>
      <c r="D26" s="557"/>
      <c r="E26" s="558" t="s">
        <v>3119</v>
      </c>
      <c r="F26" s="555"/>
      <c r="G26" s="556" t="s">
        <v>3119</v>
      </c>
      <c r="H26" s="555"/>
      <c r="I26" s="558" t="s">
        <v>3119</v>
      </c>
      <c r="J26" s="555"/>
      <c r="K26" s="531"/>
      <c r="L26" s="2143"/>
      <c r="M26" s="2133"/>
      <c r="N26" s="2133"/>
      <c r="O26" s="2142"/>
      <c r="P26" s="3394"/>
      <c r="Q26" s="1572"/>
      <c r="R26" s="1573"/>
      <c r="S26" s="1574"/>
      <c r="T26" s="1573"/>
      <c r="U26" s="1574"/>
      <c r="V26" s="1573"/>
      <c r="W26" s="1574"/>
      <c r="X26" s="1567"/>
      <c r="Y26" s="3394"/>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91</v>
      </c>
      <c r="G27" s="562"/>
      <c r="H27" s="559">
        <f>SUMIF(100:100,G28,101:101)-SUMIF(100:100,C28,101:101)+100</f>
        <v>100</v>
      </c>
      <c r="I27" s="564"/>
      <c r="J27" s="559">
        <f>SUMIF(100:100,I28,101:101)-SUMIF(100:100,C28,101:101)+100</f>
        <v>97</v>
      </c>
      <c r="K27" s="535">
        <v>3</v>
      </c>
      <c r="L27" s="2143"/>
      <c r="M27" s="2133"/>
      <c r="N27" s="2133"/>
      <c r="O27" s="2142"/>
      <c r="P27" s="3394"/>
      <c r="Q27" s="1572" t="str">
        <f t="shared" si="8"/>
        <v>自然及人文环境状况</v>
      </c>
      <c r="R27" s="1573" t="s">
        <v>8</v>
      </c>
      <c r="S27" s="1574">
        <f>F27</f>
        <v>91</v>
      </c>
      <c r="T27" s="1573" t="s">
        <v>8</v>
      </c>
      <c r="U27" s="1574">
        <f>H27</f>
        <v>100</v>
      </c>
      <c r="V27" s="1573" t="s">
        <v>8</v>
      </c>
      <c r="W27" s="1574">
        <f>J27</f>
        <v>97</v>
      </c>
      <c r="X27" s="1567"/>
      <c r="Y27" s="3394"/>
      <c r="Z27" s="1575" t="str">
        <f>Q27</f>
        <v>自然及人文环境状况</v>
      </c>
      <c r="AA27" s="1576">
        <f t="shared" si="3"/>
        <v>1.098901098901099</v>
      </c>
      <c r="AB27" s="1576">
        <f t="shared" si="4"/>
        <v>1</v>
      </c>
      <c r="AC27" s="1576">
        <f t="shared" si="5"/>
        <v>1.0309278350515463</v>
      </c>
    </row>
    <row r="28" spans="1:29" ht="20.25">
      <c r="A28" s="515"/>
      <c r="B28" s="566"/>
      <c r="C28" s="554" t="s">
        <v>3120</v>
      </c>
      <c r="D28" s="557"/>
      <c r="E28" s="576" t="s">
        <v>3151</v>
      </c>
      <c r="F28" s="555"/>
      <c r="G28" s="554" t="s">
        <v>3120</v>
      </c>
      <c r="H28" s="555"/>
      <c r="I28" s="576" t="s">
        <v>3119</v>
      </c>
      <c r="J28" s="555"/>
      <c r="K28" s="531"/>
      <c r="L28" s="2143">
        <v>0.05</v>
      </c>
      <c r="M28" s="2133"/>
      <c r="N28" s="2133"/>
      <c r="O28" s="2142"/>
      <c r="P28" s="3394"/>
      <c r="Q28" s="1572"/>
      <c r="R28" s="1573"/>
      <c r="S28" s="1574"/>
      <c r="T28" s="1573"/>
      <c r="U28" s="1574"/>
      <c r="V28" s="1573"/>
      <c r="W28" s="1574"/>
      <c r="X28" s="1567"/>
      <c r="Y28" s="3394"/>
      <c r="Z28" s="1575"/>
      <c r="AA28" s="1576">
        <v>1</v>
      </c>
      <c r="AB28" s="1576">
        <v>1</v>
      </c>
      <c r="AC28" s="1576">
        <v>1</v>
      </c>
    </row>
    <row r="29" spans="1:29" s="1219"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4</v>
      </c>
      <c r="L29" s="2136"/>
      <c r="M29" s="2133"/>
      <c r="N29" s="2133"/>
      <c r="O29" s="2138"/>
      <c r="P29" s="3394"/>
      <c r="Q29" s="1150" t="str">
        <f t="shared" si="8"/>
        <v>公共配套设施</v>
      </c>
      <c r="R29" s="1568" t="s">
        <v>8</v>
      </c>
      <c r="S29" s="1569">
        <f>F29</f>
        <v>100</v>
      </c>
      <c r="T29" s="1568" t="s">
        <v>8</v>
      </c>
      <c r="U29" s="1569">
        <f>H29</f>
        <v>100</v>
      </c>
      <c r="V29" s="1568" t="s">
        <v>8</v>
      </c>
      <c r="W29" s="1569">
        <f>J29</f>
        <v>100</v>
      </c>
      <c r="X29" s="1570"/>
      <c r="Y29" s="3394"/>
      <c r="Z29" s="1149" t="str">
        <f>Q29</f>
        <v>公共配套设施</v>
      </c>
      <c r="AA29" s="1576">
        <f>D29/F29</f>
        <v>1</v>
      </c>
      <c r="AB29" s="1576">
        <f>D29/H29</f>
        <v>1</v>
      </c>
      <c r="AC29" s="1576">
        <f>D29/J29</f>
        <v>1</v>
      </c>
    </row>
    <row r="30" spans="1:29" s="1219" customFormat="1" ht="20.25">
      <c r="A30" s="577"/>
      <c r="B30" s="566"/>
      <c r="C30" s="579" t="s">
        <v>3119</v>
      </c>
      <c r="D30" s="557"/>
      <c r="E30" s="576" t="s">
        <v>3119</v>
      </c>
      <c r="F30" s="555"/>
      <c r="G30" s="554" t="s">
        <v>3119</v>
      </c>
      <c r="H30" s="555"/>
      <c r="I30" s="576" t="s">
        <v>3119</v>
      </c>
      <c r="J30" s="555"/>
      <c r="K30" s="531"/>
      <c r="L30" s="2136"/>
      <c r="M30" s="2133"/>
      <c r="N30" s="2133"/>
      <c r="O30" s="2138"/>
      <c r="P30" s="3394"/>
      <c r="Q30" s="1150"/>
      <c r="R30" s="1568"/>
      <c r="S30" s="1569"/>
      <c r="T30" s="1568"/>
      <c r="U30" s="1569"/>
      <c r="V30" s="1568"/>
      <c r="W30" s="1569"/>
      <c r="X30" s="1570"/>
      <c r="Y30" s="3394"/>
      <c r="Z30" s="1149"/>
      <c r="AA30" s="1576">
        <v>1</v>
      </c>
      <c r="AB30" s="1576">
        <v>1</v>
      </c>
      <c r="AC30" s="1576">
        <v>1</v>
      </c>
    </row>
    <row r="31" spans="1:29" s="1219"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4"/>
      <c r="Q31" s="2579" t="str">
        <f t="shared" ref="Q31" si="9">B31</f>
        <v>基础设施水平</v>
      </c>
      <c r="R31" s="1568" t="s">
        <v>8</v>
      </c>
      <c r="S31" s="1569">
        <f>F31</f>
        <v>100</v>
      </c>
      <c r="T31" s="1568" t="s">
        <v>8</v>
      </c>
      <c r="U31" s="1569">
        <f>H31</f>
        <v>100</v>
      </c>
      <c r="V31" s="1568" t="s">
        <v>8</v>
      </c>
      <c r="W31" s="1569">
        <f>J31</f>
        <v>100</v>
      </c>
      <c r="X31" s="1570"/>
      <c r="Y31" s="3394"/>
      <c r="Z31" s="2576" t="str">
        <f>Q31</f>
        <v>基础设施水平</v>
      </c>
      <c r="AA31" s="1576">
        <f>D31/F31</f>
        <v>1</v>
      </c>
      <c r="AB31" s="1576">
        <f>D31/H31</f>
        <v>1</v>
      </c>
      <c r="AC31" s="1576">
        <f>D31/J31</f>
        <v>1</v>
      </c>
    </row>
    <row r="32" spans="1:29" s="1219" customFormat="1" ht="20.25">
      <c r="A32" s="577"/>
      <c r="B32" s="566"/>
      <c r="C32" s="579" t="s">
        <v>3122</v>
      </c>
      <c r="D32" s="557"/>
      <c r="E32" s="2593" t="s">
        <v>3122</v>
      </c>
      <c r="F32" s="555"/>
      <c r="G32" s="579" t="s">
        <v>3122</v>
      </c>
      <c r="H32" s="555"/>
      <c r="I32" s="579" t="s">
        <v>3122</v>
      </c>
      <c r="J32" s="555"/>
      <c r="K32" s="531"/>
      <c r="L32" s="2136"/>
      <c r="M32" s="2133"/>
      <c r="N32" s="2133"/>
      <c r="O32" s="2138"/>
      <c r="P32" s="3394"/>
      <c r="Q32" s="2579"/>
      <c r="R32" s="1568"/>
      <c r="S32" s="1569"/>
      <c r="T32" s="1568"/>
      <c r="U32" s="1569"/>
      <c r="V32" s="1568"/>
      <c r="W32" s="1569"/>
      <c r="X32" s="1570"/>
      <c r="Y32" s="3394"/>
      <c r="Z32" s="2576"/>
      <c r="AA32" s="1576">
        <v>1</v>
      </c>
      <c r="AB32" s="1576">
        <v>1</v>
      </c>
      <c r="AC32" s="1576">
        <v>1</v>
      </c>
    </row>
    <row r="33" spans="1:29" ht="20.25">
      <c r="A33" s="532"/>
      <c r="B33" s="566" t="s">
        <v>546</v>
      </c>
      <c r="C33" s="580" t="s">
        <v>3123</v>
      </c>
      <c r="D33" s="575">
        <v>100</v>
      </c>
      <c r="E33" s="583" t="s">
        <v>3123</v>
      </c>
      <c r="F33" s="540">
        <f>SUMIF(106:106,E33,107:107)-SUMIF(106:106,C33,107:107)+100</f>
        <v>100</v>
      </c>
      <c r="G33" s="580" t="s">
        <v>3123</v>
      </c>
      <c r="H33" s="540">
        <f>SUMIF(106:106,G33,107:107)-SUMIF(106:106,C33,107:107)+100</f>
        <v>100</v>
      </c>
      <c r="I33" s="580" t="s">
        <v>3123</v>
      </c>
      <c r="J33" s="540">
        <f>SUMIF(106:106,I33,107:107)-SUMIF(106:106,C33,107:107)+100</f>
        <v>100</v>
      </c>
      <c r="K33" s="535">
        <v>2</v>
      </c>
      <c r="L33" s="2143"/>
      <c r="M33" s="2133"/>
      <c r="N33" s="2133"/>
      <c r="O33" s="2142"/>
      <c r="P33" s="33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4"/>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4</v>
      </c>
      <c r="L34" s="2143"/>
      <c r="M34" s="2133"/>
      <c r="N34" s="2133"/>
      <c r="O34" s="2142"/>
      <c r="P34" s="3394"/>
      <c r="Q34" s="1572" t="str">
        <f t="shared" si="8"/>
        <v>毗邻道路的类型与等级</v>
      </c>
      <c r="R34" s="1573" t="s">
        <v>8</v>
      </c>
      <c r="S34" s="1574">
        <f t="shared" si="10"/>
        <v>100</v>
      </c>
      <c r="T34" s="1573" t="s">
        <v>8</v>
      </c>
      <c r="U34" s="1574">
        <f t="shared" si="11"/>
        <v>100</v>
      </c>
      <c r="V34" s="1573" t="s">
        <v>8</v>
      </c>
      <c r="W34" s="1574">
        <f t="shared" si="12"/>
        <v>100</v>
      </c>
      <c r="X34" s="1567"/>
      <c r="Y34" s="3394"/>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394"/>
      <c r="Q35" s="1572"/>
      <c r="R35" s="1573"/>
      <c r="S35" s="1574"/>
      <c r="T35" s="1573"/>
      <c r="U35" s="1574"/>
      <c r="V35" s="1573"/>
      <c r="W35" s="1574"/>
      <c r="X35" s="1567"/>
      <c r="Y35" s="3394"/>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394"/>
      <c r="Q36" s="1572" t="str">
        <f t="shared" si="8"/>
        <v>土地级别</v>
      </c>
      <c r="R36" s="1573" t="s">
        <v>8</v>
      </c>
      <c r="S36" s="1574">
        <f t="shared" si="10"/>
        <v>100</v>
      </c>
      <c r="T36" s="1573" t="s">
        <v>8</v>
      </c>
      <c r="U36" s="1574">
        <f t="shared" si="11"/>
        <v>100</v>
      </c>
      <c r="V36" s="1573" t="s">
        <v>8</v>
      </c>
      <c r="W36" s="1574">
        <f t="shared" si="12"/>
        <v>100</v>
      </c>
      <c r="X36" s="1567"/>
      <c r="Y36" s="339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4"/>
      <c r="Q37" s="1572">
        <f t="shared" si="8"/>
        <v>111</v>
      </c>
      <c r="R37" s="1573" t="s">
        <v>8</v>
      </c>
      <c r="S37" s="1574">
        <f t="shared" si="10"/>
        <v>100</v>
      </c>
      <c r="T37" s="1573" t="s">
        <v>8</v>
      </c>
      <c r="U37" s="1574">
        <f t="shared" si="11"/>
        <v>100</v>
      </c>
      <c r="V37" s="1573" t="s">
        <v>8</v>
      </c>
      <c r="W37" s="1574">
        <f t="shared" si="12"/>
        <v>100</v>
      </c>
      <c r="X37" s="1567"/>
      <c r="Y37" s="339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5" t="s">
        <v>549</v>
      </c>
      <c r="Q38" s="1572">
        <f t="shared" si="8"/>
        <v>111</v>
      </c>
      <c r="R38" s="1573" t="s">
        <v>8</v>
      </c>
      <c r="S38" s="1574">
        <f t="shared" si="10"/>
        <v>100</v>
      </c>
      <c r="T38" s="1573" t="s">
        <v>8</v>
      </c>
      <c r="U38" s="1574">
        <f t="shared" si="11"/>
        <v>100</v>
      </c>
      <c r="V38" s="1573" t="s">
        <v>8</v>
      </c>
      <c r="W38" s="1574">
        <f t="shared" si="12"/>
        <v>100</v>
      </c>
      <c r="X38" s="1567"/>
      <c r="Y38" s="3396" t="s">
        <v>549</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6"/>
      <c r="Q39" s="1572">
        <f t="shared" si="8"/>
        <v>111</v>
      </c>
      <c r="R39" s="1577" t="s">
        <v>8</v>
      </c>
      <c r="S39" s="1578">
        <f t="shared" si="10"/>
        <v>100</v>
      </c>
      <c r="T39" s="1577" t="s">
        <v>8</v>
      </c>
      <c r="U39" s="1578">
        <f t="shared" si="11"/>
        <v>100</v>
      </c>
      <c r="V39" s="1577" t="s">
        <v>8</v>
      </c>
      <c r="W39" s="1578">
        <f t="shared" si="12"/>
        <v>100</v>
      </c>
      <c r="X39" s="1579"/>
      <c r="Y39" s="3396"/>
      <c r="Z39" s="1580">
        <f t="shared" si="13"/>
        <v>111</v>
      </c>
      <c r="AA39" s="1576">
        <f t="shared" si="3"/>
        <v>1</v>
      </c>
      <c r="AB39" s="1576">
        <f t="shared" si="4"/>
        <v>1</v>
      </c>
      <c r="AC39" s="1576">
        <f t="shared" si="5"/>
        <v>1</v>
      </c>
    </row>
    <row r="40" spans="1:29" ht="20.25">
      <c r="A40" s="2908" t="s">
        <v>2757</v>
      </c>
      <c r="B40" s="3189" t="s">
        <v>551</v>
      </c>
      <c r="C40" s="596">
        <f>'数据-汇总表'!D3</f>
        <v>84475.6</v>
      </c>
      <c r="D40" s="597">
        <v>100</v>
      </c>
      <c r="E40" s="596">
        <f>Sheet3!D7</f>
        <v>18658.7</v>
      </c>
      <c r="F40" s="597">
        <f>LOOKUP(E40,119:119,120:120)-LOOKUP(C40,119:119,120:120)+100</f>
        <v>99.5</v>
      </c>
      <c r="G40" s="596">
        <f>Sheet3!D10</f>
        <v>8456.9</v>
      </c>
      <c r="H40" s="597">
        <f>LOOKUP(G40,119:119,120:120)-LOOKUP(C40,119:119,120:120)+100</f>
        <v>98.5</v>
      </c>
      <c r="I40" s="598">
        <f>Sheet3!D15</f>
        <v>33337.599999999999</v>
      </c>
      <c r="J40" s="597">
        <f>LOOKUP(I40,119:119,120:120)-LOOKUP(C40,119:119,120:120)+100</f>
        <v>100</v>
      </c>
      <c r="K40" s="581"/>
      <c r="L40" s="2143"/>
      <c r="M40" s="2133"/>
      <c r="N40" s="2133"/>
      <c r="O40" s="2142"/>
      <c r="P40" s="3396"/>
      <c r="Q40" s="1572" t="str">
        <f>B40</f>
        <v>宗地面积</v>
      </c>
      <c r="R40" s="1573" t="s">
        <v>8</v>
      </c>
      <c r="S40" s="1574">
        <f t="shared" si="10"/>
        <v>99.5</v>
      </c>
      <c r="T40" s="1573" t="s">
        <v>8</v>
      </c>
      <c r="U40" s="1574">
        <f t="shared" si="11"/>
        <v>98.5</v>
      </c>
      <c r="V40" s="1573" t="s">
        <v>8</v>
      </c>
      <c r="W40" s="1574">
        <f t="shared" si="12"/>
        <v>100</v>
      </c>
      <c r="X40" s="1567"/>
      <c r="Y40" s="3396"/>
      <c r="Z40" s="1575" t="str">
        <f t="shared" si="13"/>
        <v>宗地面积</v>
      </c>
      <c r="AA40" s="1576">
        <f t="shared" si="3"/>
        <v>1.0050251256281406</v>
      </c>
      <c r="AB40" s="1576">
        <f t="shared" si="4"/>
        <v>1.015228426395939</v>
      </c>
      <c r="AC40" s="1576">
        <f t="shared" si="5"/>
        <v>1</v>
      </c>
    </row>
    <row r="41" spans="1:29" ht="20.25">
      <c r="A41" s="594"/>
      <c r="B41" s="527" t="s">
        <v>552</v>
      </c>
      <c r="C41" s="599" t="s">
        <v>3125</v>
      </c>
      <c r="D41" s="540">
        <v>100</v>
      </c>
      <c r="E41" s="599" t="s">
        <v>3125</v>
      </c>
      <c r="F41" s="540">
        <f>SUMIF(121:121,E41,122:122)-SUMIF(121:121,C41,122:122)+100</f>
        <v>100</v>
      </c>
      <c r="G41" s="599" t="s">
        <v>3125</v>
      </c>
      <c r="H41" s="540">
        <f>SUMIF(121:121,G41,122:122)-SUMIF(121:121,C41,122:122)+100</f>
        <v>100</v>
      </c>
      <c r="I41" s="599" t="s">
        <v>3125</v>
      </c>
      <c r="J41" s="540">
        <f>SUMIF(121:121,I41,122:122)-SUMIF(121:121,C41,122:122)+100</f>
        <v>100</v>
      </c>
      <c r="K41" s="584">
        <v>2</v>
      </c>
      <c r="L41" s="2143"/>
      <c r="M41" s="2133"/>
      <c r="N41" s="2133"/>
      <c r="O41" s="2142"/>
      <c r="P41" s="3396"/>
      <c r="Q41" s="1572" t="str">
        <f t="shared" ref="Q41:Q47" si="14">B41</f>
        <v>宗地形状</v>
      </c>
      <c r="R41" s="1573" t="s">
        <v>8</v>
      </c>
      <c r="S41" s="1574">
        <f t="shared" si="10"/>
        <v>100</v>
      </c>
      <c r="T41" s="1573" t="s">
        <v>8</v>
      </c>
      <c r="U41" s="1574">
        <f t="shared" si="11"/>
        <v>100</v>
      </c>
      <c r="V41" s="1573" t="s">
        <v>8</v>
      </c>
      <c r="W41" s="1574">
        <f t="shared" si="12"/>
        <v>100</v>
      </c>
      <c r="X41" s="1567"/>
      <c r="Y41" s="3396"/>
      <c r="Z41" s="1575" t="str">
        <f t="shared" si="13"/>
        <v>宗地形状</v>
      </c>
      <c r="AA41" s="1576">
        <f t="shared" si="3"/>
        <v>1</v>
      </c>
      <c r="AB41" s="1576">
        <f t="shared" si="4"/>
        <v>1</v>
      </c>
      <c r="AC41" s="1576">
        <f t="shared" si="5"/>
        <v>1</v>
      </c>
    </row>
    <row r="42" spans="1:29" ht="20.25">
      <c r="A42" s="594"/>
      <c r="B42" s="527" t="s">
        <v>553</v>
      </c>
      <c r="C42" s="599" t="s">
        <v>3130</v>
      </c>
      <c r="D42" s="540">
        <v>100</v>
      </c>
      <c r="E42" s="599" t="s">
        <v>3130</v>
      </c>
      <c r="F42" s="540">
        <f>SUMIF(123:123,E42,124:124)-SUMIF(123:123,C42,124:124)+100</f>
        <v>100</v>
      </c>
      <c r="G42" s="599" t="s">
        <v>3130</v>
      </c>
      <c r="H42" s="540">
        <f>SUMIF(123:123,G42,124:124)-SUMIF(123:123,C42,124:124)+100</f>
        <v>100</v>
      </c>
      <c r="I42" s="599" t="s">
        <v>3130</v>
      </c>
      <c r="J42" s="540">
        <f>SUMIF(123:123,I42,124:124)-SUMIF(123:123,C42,124:124)+100</f>
        <v>100</v>
      </c>
      <c r="K42" s="584">
        <v>2</v>
      </c>
      <c r="L42" s="2143"/>
      <c r="M42" s="2133"/>
      <c r="N42" s="2133"/>
      <c r="O42" s="2142"/>
      <c r="P42" s="3396"/>
      <c r="Q42" s="1572" t="str">
        <f t="shared" si="14"/>
        <v>临街宽度及深度</v>
      </c>
      <c r="R42" s="1573" t="s">
        <v>8</v>
      </c>
      <c r="S42" s="1574">
        <f t="shared" si="10"/>
        <v>100</v>
      </c>
      <c r="T42" s="1573" t="s">
        <v>8</v>
      </c>
      <c r="U42" s="1574">
        <f t="shared" si="11"/>
        <v>100</v>
      </c>
      <c r="V42" s="1573" t="s">
        <v>8</v>
      </c>
      <c r="W42" s="1574">
        <f t="shared" si="12"/>
        <v>100</v>
      </c>
      <c r="X42" s="1567"/>
      <c r="Y42" s="3396"/>
      <c r="Z42" s="1575" t="str">
        <f t="shared" si="13"/>
        <v>临街宽度及深度</v>
      </c>
      <c r="AA42" s="1576">
        <f t="shared" si="3"/>
        <v>1</v>
      </c>
      <c r="AB42" s="1576">
        <f t="shared" si="4"/>
        <v>1</v>
      </c>
      <c r="AC42" s="1576">
        <f t="shared" si="5"/>
        <v>1</v>
      </c>
    </row>
    <row r="43" spans="1:29" s="1219" customFormat="1" ht="20.25">
      <c r="A43" s="600"/>
      <c r="B43" s="1896" t="s">
        <v>2426</v>
      </c>
      <c r="C43" s="601" t="s">
        <v>3138</v>
      </c>
      <c r="D43" s="255">
        <v>100</v>
      </c>
      <c r="E43" s="601" t="s">
        <v>3138</v>
      </c>
      <c r="F43" s="540">
        <f>SUMIF(125:125,E43,126:126)-SUMIF(125:125,C43,126:126)+100</f>
        <v>100</v>
      </c>
      <c r="G43" s="601" t="s">
        <v>3138</v>
      </c>
      <c r="H43" s="540">
        <f>SUMIF(125:125,G43,126:126)-SUMIF(125:125,C43,126:126)+100</f>
        <v>100</v>
      </c>
      <c r="I43" s="601" t="s">
        <v>3138</v>
      </c>
      <c r="J43" s="540">
        <f>SUMIF(125:125,I43,126:126)-SUMIF(125:125,C43,126:126)+100</f>
        <v>100</v>
      </c>
      <c r="K43" s="584">
        <v>2</v>
      </c>
      <c r="L43" s="2136"/>
      <c r="M43" s="2133"/>
      <c r="N43" s="2133"/>
      <c r="O43" s="2138"/>
      <c r="P43" s="3396"/>
      <c r="Q43" s="1572" t="str">
        <f t="shared" si="14"/>
        <v>宗地开发程度</v>
      </c>
      <c r="R43" s="1568" t="s">
        <v>8</v>
      </c>
      <c r="S43" s="1569">
        <f t="shared" si="10"/>
        <v>100</v>
      </c>
      <c r="T43" s="1568" t="s">
        <v>8</v>
      </c>
      <c r="U43" s="1569">
        <f t="shared" si="11"/>
        <v>100</v>
      </c>
      <c r="V43" s="1568" t="s">
        <v>8</v>
      </c>
      <c r="W43" s="1569">
        <f t="shared" si="12"/>
        <v>100</v>
      </c>
      <c r="X43" s="1570"/>
      <c r="Y43" s="3396"/>
      <c r="Z43" s="1149" t="str">
        <f t="shared" si="13"/>
        <v>宗地开发程度</v>
      </c>
      <c r="AA43" s="1571">
        <f t="shared" si="3"/>
        <v>1</v>
      </c>
      <c r="AB43" s="1571">
        <f t="shared" si="4"/>
        <v>1</v>
      </c>
      <c r="AC43" s="1571">
        <f t="shared" si="5"/>
        <v>1</v>
      </c>
    </row>
    <row r="44" spans="1:29" ht="20.25">
      <c r="A44" s="594"/>
      <c r="B44" s="527" t="s">
        <v>554</v>
      </c>
      <c r="C44" s="599" t="s">
        <v>3119</v>
      </c>
      <c r="D44" s="540">
        <v>100</v>
      </c>
      <c r="E44" s="599" t="s">
        <v>3119</v>
      </c>
      <c r="F44" s="540">
        <f>SUMIF(127:127,E44,128:128)-SUMIF(127:127,C44,128:128)+100</f>
        <v>100</v>
      </c>
      <c r="G44" s="599" t="s">
        <v>3119</v>
      </c>
      <c r="H44" s="540">
        <f>SUMIF(127:127,G44,128:128)-SUMIF(127:127,C44,128:128)+100</f>
        <v>100</v>
      </c>
      <c r="I44" s="599" t="s">
        <v>3119</v>
      </c>
      <c r="J44" s="540">
        <f>SUMIF(127:127,I44,128:128)-SUMIF(127:127,C44,128:128)+100</f>
        <v>100</v>
      </c>
      <c r="K44" s="584">
        <v>2</v>
      </c>
      <c r="L44" s="2143"/>
      <c r="M44" s="2133"/>
      <c r="N44" s="2133"/>
      <c r="O44" s="2142"/>
      <c r="P44" s="3396" t="s">
        <v>549</v>
      </c>
      <c r="Q44" s="1572" t="str">
        <f t="shared" si="14"/>
        <v>工程地质条件</v>
      </c>
      <c r="R44" s="1573" t="s">
        <v>8</v>
      </c>
      <c r="S44" s="1574">
        <f t="shared" si="10"/>
        <v>100</v>
      </c>
      <c r="T44" s="1573" t="s">
        <v>8</v>
      </c>
      <c r="U44" s="1574">
        <f t="shared" si="11"/>
        <v>100</v>
      </c>
      <c r="V44" s="1573" t="s">
        <v>8</v>
      </c>
      <c r="W44" s="1574">
        <f t="shared" si="12"/>
        <v>100</v>
      </c>
      <c r="X44" s="1567"/>
      <c r="Y44" s="3396"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6"/>
      <c r="Q45" s="1572">
        <f t="shared" si="14"/>
        <v>111</v>
      </c>
      <c r="R45" s="1573" t="s">
        <v>8</v>
      </c>
      <c r="S45" s="1574">
        <f t="shared" si="10"/>
        <v>100</v>
      </c>
      <c r="T45" s="1573" t="s">
        <v>8</v>
      </c>
      <c r="U45" s="1574">
        <f t="shared" si="11"/>
        <v>100</v>
      </c>
      <c r="V45" s="1573" t="s">
        <v>8</v>
      </c>
      <c r="W45" s="1574">
        <f t="shared" si="12"/>
        <v>100</v>
      </c>
      <c r="X45" s="1567"/>
      <c r="Y45" s="339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6"/>
      <c r="Q46" s="1572">
        <f t="shared" si="14"/>
        <v>111</v>
      </c>
      <c r="R46" s="1573" t="s">
        <v>8</v>
      </c>
      <c r="S46" s="1574">
        <f t="shared" si="10"/>
        <v>100</v>
      </c>
      <c r="T46" s="1573" t="s">
        <v>8</v>
      </c>
      <c r="U46" s="1574">
        <f t="shared" si="11"/>
        <v>100</v>
      </c>
      <c r="V46" s="1573" t="s">
        <v>8</v>
      </c>
      <c r="W46" s="1574">
        <f t="shared" si="12"/>
        <v>100</v>
      </c>
      <c r="X46" s="1567"/>
      <c r="Y46" s="3396"/>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6"/>
      <c r="Q47" s="1572">
        <f t="shared" si="14"/>
        <v>111</v>
      </c>
      <c r="R47" s="1577" t="s">
        <v>8</v>
      </c>
      <c r="S47" s="1578">
        <f t="shared" si="10"/>
        <v>100</v>
      </c>
      <c r="T47" s="1577" t="s">
        <v>8</v>
      </c>
      <c r="U47" s="1578">
        <f t="shared" si="11"/>
        <v>100</v>
      </c>
      <c r="V47" s="1577" t="s">
        <v>8</v>
      </c>
      <c r="W47" s="1578">
        <f t="shared" si="12"/>
        <v>100</v>
      </c>
      <c r="X47" s="1579"/>
      <c r="Y47" s="3396"/>
      <c r="Z47" s="1580">
        <f t="shared" si="13"/>
        <v>111</v>
      </c>
      <c r="AA47" s="1576">
        <f t="shared" si="3"/>
        <v>1</v>
      </c>
      <c r="AB47" s="1576">
        <f t="shared" si="4"/>
        <v>1</v>
      </c>
      <c r="AC47" s="1576">
        <f t="shared" si="5"/>
        <v>1</v>
      </c>
    </row>
    <row r="48" spans="1:29" ht="20.25">
      <c r="A48" s="607" t="s">
        <v>555</v>
      </c>
      <c r="B48" s="608" t="s">
        <v>3046</v>
      </c>
      <c r="C48" s="609" t="s">
        <v>1</v>
      </c>
      <c r="D48" s="610"/>
      <c r="E48" s="611">
        <f>Sheet3!K7</f>
        <v>2134</v>
      </c>
      <c r="F48" s="612"/>
      <c r="G48" s="613">
        <f>Sheet3!K10</f>
        <v>2620</v>
      </c>
      <c r="H48" s="614"/>
      <c r="I48" s="611">
        <f>Sheet3!K15</f>
        <v>2305</v>
      </c>
      <c r="J48" s="614"/>
      <c r="K48" s="1339"/>
      <c r="L48" s="2145"/>
      <c r="M48" s="2133"/>
      <c r="N48" s="2133"/>
      <c r="O48" s="2146"/>
      <c r="P48" s="3359" t="str">
        <f>A48</f>
        <v>成交单价</v>
      </c>
      <c r="Q48" s="3359"/>
      <c r="R48" s="3360">
        <f>E48</f>
        <v>2134</v>
      </c>
      <c r="S48" s="3360"/>
      <c r="T48" s="3360">
        <f>G48</f>
        <v>2620</v>
      </c>
      <c r="U48" s="3360"/>
      <c r="V48" s="3360">
        <f>I48</f>
        <v>2305</v>
      </c>
      <c r="W48" s="3360"/>
      <c r="X48" s="1559"/>
      <c r="Y48" s="1581"/>
      <c r="Z48" s="1559"/>
      <c r="AA48" s="1559"/>
      <c r="AB48" s="1559"/>
      <c r="AC48" s="1559"/>
    </row>
    <row r="49" spans="1:29" ht="21" thickBot="1">
      <c r="A49" s="615" t="s">
        <v>2695</v>
      </c>
      <c r="B49" s="616"/>
      <c r="C49" s="617">
        <f>R50</f>
        <v>2554</v>
      </c>
      <c r="D49" s="618"/>
      <c r="E49" s="617">
        <f>R49</f>
        <v>2360</v>
      </c>
      <c r="F49" s="619"/>
      <c r="G49" s="620">
        <f>T49</f>
        <v>2772</v>
      </c>
      <c r="H49" s="618"/>
      <c r="I49" s="617">
        <f>V49</f>
        <v>2530</v>
      </c>
      <c r="J49" s="618"/>
      <c r="K49" s="1340"/>
      <c r="L49" s="2145"/>
      <c r="M49" s="2133"/>
      <c r="N49" s="2133"/>
      <c r="O49" s="2146"/>
      <c r="P49" s="3359" t="str">
        <f>A49</f>
        <v>比较价格（元/平方米）</v>
      </c>
      <c r="Q49" s="3359"/>
      <c r="R49" s="3361">
        <f>ROUND(PRODUCT(R48,AA9:AA47),0)</f>
        <v>2360</v>
      </c>
      <c r="S49" s="3361"/>
      <c r="T49" s="3361">
        <f>ROUND(PRODUCT(T48,AB9:AB47),0)</f>
        <v>2772</v>
      </c>
      <c r="U49" s="3361"/>
      <c r="V49" s="3361">
        <f>ROUND(PRODUCT(V48,AC9:AC47),0)</f>
        <v>2530</v>
      </c>
      <c r="W49" s="3361"/>
      <c r="X49" s="1559"/>
      <c r="Y49" s="1559"/>
      <c r="Z49" s="1559"/>
      <c r="AA49" s="1559"/>
      <c r="AB49" s="1559"/>
      <c r="AC49" s="1559"/>
    </row>
    <row r="50" spans="1:29" ht="21" thickBot="1">
      <c r="A50" s="621" t="s">
        <v>2939</v>
      </c>
      <c r="B50" s="622"/>
      <c r="C50" s="623">
        <f>R50</f>
        <v>2554</v>
      </c>
      <c r="D50" s="623"/>
      <c r="E50" s="623"/>
      <c r="F50" s="623"/>
      <c r="G50" s="623"/>
      <c r="H50" s="623"/>
      <c r="I50" s="623"/>
      <c r="J50" s="623"/>
      <c r="K50" s="1341"/>
      <c r="L50" s="2145"/>
      <c r="M50" s="2133"/>
      <c r="N50" s="2133"/>
      <c r="O50" s="2146"/>
      <c r="P50" s="3356" t="str">
        <f>A50</f>
        <v>估价对象XX用房的比较价格（楼面单价，元/平方米）</v>
      </c>
      <c r="Q50" s="3357"/>
      <c r="R50" s="3358">
        <f>ROUND(AVERAGE(R49:V49),0)</f>
        <v>2554</v>
      </c>
      <c r="S50" s="3358"/>
      <c r="T50" s="3358"/>
      <c r="U50" s="3358"/>
      <c r="V50" s="3358"/>
      <c r="W50" s="335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0.10590440487347696</v>
      </c>
      <c r="F53" s="627" t="str">
        <f>IF(OR(E53&gt;=0.3,E53&lt;=-0.3),"超过30%","")</f>
        <v/>
      </c>
      <c r="G53" s="626">
        <f>IF(G48&lt;G49,G49/G48-1,G48/G49-1)</f>
        <v>5.8015267175572482E-2</v>
      </c>
      <c r="H53" s="627" t="str">
        <f>IF(OR(G53&gt;=0.3,G53&lt;=-0.3),"超过30%","")</f>
        <v/>
      </c>
      <c r="I53" s="626">
        <f>IF(I48&lt;I49,I49/I48-1,I48/I49-1)</f>
        <v>9.7613882863340606E-2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0.1745762711864407</v>
      </c>
      <c r="F54" s="627" t="str">
        <f>IF(OR(E54&gt;=0.2,E54&lt;=-0.2),"超过20%","")</f>
        <v/>
      </c>
      <c r="G54" s="626">
        <f>IF(G49&lt;I49,I49/G49-1,G49/I49-1)</f>
        <v>9.565217391304337E-2</v>
      </c>
      <c r="H54" s="627" t="str">
        <f>IF(OR(G54&gt;=0.2,G54&lt;=-0.2),"超过20%","")</f>
        <v/>
      </c>
      <c r="I54" s="626">
        <f>IF(I49&lt;E49,E49/I49-1,I49/E49-1)</f>
        <v>7.2033898305084776E-2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0.2277413308341143</v>
      </c>
      <c r="F55" s="627" t="str">
        <f>IF(OR(E55&gt;=0.3,E55&lt;=-0.3),"超过30%","")</f>
        <v/>
      </c>
      <c r="G55" s="626">
        <f>IF(G48&lt;I48,I48/G48-1,G48/I48-1)</f>
        <v>0.1366594360086768</v>
      </c>
      <c r="H55" s="627" t="str">
        <f>IF(OR(G55&gt;=0.3,G55&lt;=-0.3),"超过30%","")</f>
        <v/>
      </c>
      <c r="I55" s="626">
        <f>IF(I48&lt;E48,E48/I48-1,I48/E48-1)</f>
        <v>8.0131208997188397E-2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385" t="s">
        <v>2283</v>
      </c>
      <c r="H57" s="3386"/>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2554</v>
      </c>
      <c r="C58" s="635">
        <v>1</v>
      </c>
      <c r="D58" s="2229">
        <v>1</v>
      </c>
      <c r="E58" s="635">
        <f>'数据-汇总表'!E8+'数据-汇总表'!E9</f>
        <v>295664.59999999998</v>
      </c>
      <c r="F58" s="636">
        <f t="shared" ref="F58:F67" si="15">ROUND(B58*E58/10000,0)</f>
        <v>75513</v>
      </c>
      <c r="G58" s="3387"/>
      <c r="H58" s="338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389"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38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38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38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2296</v>
      </c>
      <c r="E68" s="643">
        <f>IF(B48="楼面地价",SUM(E58:E67),'数据-汇总表'!D3)</f>
        <v>295664.59999999998</v>
      </c>
      <c r="F68" s="644">
        <f>IF(B48="楼面地价",SUM(F58:F67),ROUND(C50*E68/10000,0))</f>
        <v>75513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2019-6-1</v>
      </c>
      <c r="D70" s="2800">
        <f>EDATE(C70,-3)</f>
        <v>43525</v>
      </c>
      <c r="E70" s="2800">
        <f t="shared" ref="E70:N70" si="18">EDATE(D70,-3)</f>
        <v>43435</v>
      </c>
      <c r="F70" s="2800">
        <f t="shared" si="18"/>
        <v>43344</v>
      </c>
      <c r="G70" s="2800">
        <f t="shared" si="18"/>
        <v>43252</v>
      </c>
      <c r="H70" s="2800">
        <f t="shared" si="18"/>
        <v>43160</v>
      </c>
      <c r="I70" s="2800">
        <f t="shared" si="18"/>
        <v>43070</v>
      </c>
      <c r="J70" s="2800">
        <f t="shared" si="18"/>
        <v>42979</v>
      </c>
      <c r="K70" s="2800">
        <f t="shared" si="18"/>
        <v>42887</v>
      </c>
      <c r="L70" s="2800">
        <f t="shared" si="18"/>
        <v>42795</v>
      </c>
      <c r="M70" s="2800">
        <f t="shared" si="18"/>
        <v>42705</v>
      </c>
      <c r="N70" s="2800">
        <f t="shared" si="18"/>
        <v>42614</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2534</v>
      </c>
      <c r="B72" s="2570"/>
      <c r="C72" s="2795" t="str">
        <f>YEAR(C70)&amp;"-"&amp;ROUNDUP(MONTH(C70)/3,0)</f>
        <v>2019-2</v>
      </c>
      <c r="D72" s="2802" t="str">
        <f>YEAR(D70)&amp;"-"&amp;ROUNDUP(MONTH(D70)/3,0)</f>
        <v>2019-1</v>
      </c>
      <c r="E72" s="2802" t="str">
        <f t="shared" ref="E72:N72" si="19">YEAR(E70)&amp;"-"&amp;ROUNDUP(MONTH(E70)/3,0)</f>
        <v>2018-4</v>
      </c>
      <c r="F72" s="2802" t="str">
        <f t="shared" si="19"/>
        <v>2018-3</v>
      </c>
      <c r="G72" s="2802" t="str">
        <f t="shared" si="19"/>
        <v>2018-2</v>
      </c>
      <c r="H72" s="2802" t="str">
        <f t="shared" si="19"/>
        <v>2018-1</v>
      </c>
      <c r="I72" s="2802" t="str">
        <f t="shared" si="19"/>
        <v>2017-4</v>
      </c>
      <c r="J72" s="2802" t="str">
        <f t="shared" si="19"/>
        <v>2017-3</v>
      </c>
      <c r="K72" s="2802" t="str">
        <f t="shared" si="19"/>
        <v>2017-2</v>
      </c>
      <c r="L72" s="2802" t="str">
        <f t="shared" si="19"/>
        <v>2017-1</v>
      </c>
      <c r="M72" s="2802" t="str">
        <f t="shared" si="19"/>
        <v>2016-4</v>
      </c>
      <c r="N72" s="2802" t="str">
        <f t="shared" si="19"/>
        <v>2016-3</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北京市平均增长率0.00%</v>
      </c>
      <c r="C73" s="894">
        <v>100</v>
      </c>
      <c r="D73" s="730">
        <v>99.5</v>
      </c>
      <c r="E73" s="730">
        <v>99</v>
      </c>
      <c r="F73" s="730">
        <v>98</v>
      </c>
      <c r="G73" s="730">
        <v>97</v>
      </c>
      <c r="H73" s="730">
        <v>96</v>
      </c>
      <c r="I73" s="730">
        <v>95</v>
      </c>
      <c r="J73" s="730">
        <v>94</v>
      </c>
      <c r="K73" s="730">
        <v>93</v>
      </c>
      <c r="L73" s="730">
        <v>92</v>
      </c>
      <c r="M73" s="730">
        <v>91</v>
      </c>
      <c r="N73" s="730">
        <v>90</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4" t="s">
        <v>3050</v>
      </c>
      <c r="D77" s="3184" t="s">
        <v>3049</v>
      </c>
      <c r="E77" s="3184" t="s">
        <v>3060</v>
      </c>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106</v>
      </c>
      <c r="E78" s="671">
        <v>95</v>
      </c>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2550</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96</v>
      </c>
      <c r="E109" s="679">
        <f t="shared" ref="E109:M109" si="23">D109-$K34</f>
        <v>92</v>
      </c>
      <c r="F109" s="679">
        <f t="shared" si="23"/>
        <v>88</v>
      </c>
      <c r="G109" s="679">
        <f t="shared" si="23"/>
        <v>84</v>
      </c>
      <c r="H109" s="679">
        <f t="shared" si="23"/>
        <v>80</v>
      </c>
      <c r="I109" s="679">
        <f t="shared" si="23"/>
        <v>76</v>
      </c>
      <c r="J109" s="679">
        <f t="shared" si="23"/>
        <v>72</v>
      </c>
      <c r="K109" s="679">
        <f t="shared" si="23"/>
        <v>68</v>
      </c>
      <c r="L109" s="679">
        <f t="shared" si="23"/>
        <v>64</v>
      </c>
      <c r="M109" s="679">
        <f t="shared" si="23"/>
        <v>60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0(含)-5000</v>
      </c>
      <c r="D118" s="704" t="str">
        <f t="shared" si="25"/>
        <v>5000(含)-10000</v>
      </c>
      <c r="E118" s="704" t="str">
        <f t="shared" si="25"/>
        <v>10000(含)-15000</v>
      </c>
      <c r="F118" s="704" t="str">
        <f t="shared" si="25"/>
        <v>15000(含)-20000</v>
      </c>
      <c r="G118" s="704" t="str">
        <f t="shared" si="25"/>
        <v>20000(含)-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100.5</v>
      </c>
      <c r="E120" s="700">
        <v>101</v>
      </c>
      <c r="F120" s="726">
        <v>101.5</v>
      </c>
      <c r="G120" s="700">
        <v>102</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7" t="s">
        <v>3124</v>
      </c>
      <c r="D121" s="3187" t="s">
        <v>3126</v>
      </c>
      <c r="E121" s="3187" t="s">
        <v>3127</v>
      </c>
      <c r="F121" s="3187" t="s">
        <v>3128</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3188" t="s">
        <v>3129</v>
      </c>
      <c r="D123" s="3188" t="s">
        <v>3131</v>
      </c>
      <c r="E123" s="3188" t="s">
        <v>3132</v>
      </c>
      <c r="F123" s="3187" t="s">
        <v>3133</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3134</v>
      </c>
      <c r="D125" s="1375" t="s">
        <v>3135</v>
      </c>
      <c r="E125" s="1375" t="s">
        <v>3136</v>
      </c>
      <c r="F125" s="1375" t="s">
        <v>3137</v>
      </c>
      <c r="G125" s="1375" t="s">
        <v>3139</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8" t="s">
        <v>3140</v>
      </c>
      <c r="D127" s="3188" t="s">
        <v>3141</v>
      </c>
      <c r="E127" s="3187" t="s">
        <v>3142</v>
      </c>
      <c r="F127" s="3187" t="s">
        <v>3143</v>
      </c>
      <c r="G127" s="3187"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10"/>
      <c r="C1" s="2105"/>
      <c r="D1" s="2105"/>
      <c r="E1" s="2105"/>
      <c r="F1" s="2105"/>
      <c r="G1" s="2105"/>
      <c r="H1" s="2105"/>
      <c r="I1" s="2105"/>
      <c r="J1" s="2105"/>
      <c r="K1" s="422">
        <f>MATCH(B1,'数据-取费表'!A6:A16,0)+5</f>
        <v>8</v>
      </c>
    </row>
    <row r="2" spans="1:31" s="2042" customFormat="1" ht="18" customHeight="1">
      <c r="A2" s="2102" t="s">
        <v>466</v>
      </c>
      <c r="B2" s="2106">
        <f ca="1">C36</f>
        <v>64568</v>
      </c>
      <c r="C2" s="2105"/>
      <c r="D2" s="2105"/>
      <c r="E2" s="2105"/>
      <c r="F2" s="2105"/>
      <c r="G2" s="2105"/>
      <c r="H2" s="2105"/>
      <c r="I2" s="2105"/>
      <c r="J2" s="2105"/>
      <c r="K2" s="2105"/>
    </row>
    <row r="3" spans="1:31" s="2042" customFormat="1" ht="18" customHeight="1">
      <c r="A3" s="2107" t="s">
        <v>1684</v>
      </c>
      <c r="B3" s="2108">
        <f ca="1">ROUND(B2*10000/IF(B1="",'数据-汇总表'!E3,INDIRECT("'数据-取费表'!K"&amp;$K$1)),0)</f>
        <v>2184</v>
      </c>
      <c r="C3" s="2105"/>
      <c r="D3" s="2105"/>
      <c r="E3" s="2105"/>
      <c r="F3" s="2105"/>
      <c r="G3" s="2105"/>
      <c r="H3" s="2105"/>
      <c r="I3" s="2105"/>
      <c r="J3" s="2105"/>
      <c r="K3" s="2105"/>
    </row>
    <row r="4" spans="1:31" s="2042" customFormat="1" ht="18" customHeight="1">
      <c r="A4" s="426" t="s">
        <v>467</v>
      </c>
      <c r="B4" s="427">
        <f ca="1">ROUND(B2*10000/IF(B1="",'数据-汇总表'!D3,INDIRECT("'数据-取费表'!R"&amp;$K$1)),0)</f>
        <v>7643</v>
      </c>
      <c r="C4" s="428"/>
      <c r="D4" s="422"/>
      <c r="E4" s="422"/>
      <c r="F4" s="422"/>
      <c r="G4" s="422"/>
      <c r="H4" s="422"/>
      <c r="I4" s="422"/>
      <c r="J4" s="422"/>
      <c r="K4" s="422"/>
    </row>
    <row r="5" spans="1:31" s="2042" customFormat="1" ht="18" customHeight="1" thickBot="1">
      <c r="A5" s="429"/>
      <c r="B5" s="430">
        <f ca="1">ROUND(B2/(IF(B1="",'数据-汇总表'!D3,INDIRECT("'数据-取费表'!R"&amp;$K$1))/666.67),0)</f>
        <v>510</v>
      </c>
      <c r="C5" s="431" t="s">
        <v>468</v>
      </c>
      <c r="D5" s="422"/>
      <c r="E5" s="422"/>
      <c r="F5" s="422"/>
      <c r="G5" s="422"/>
      <c r="H5" s="422"/>
      <c r="I5" s="422"/>
      <c r="J5" s="422"/>
      <c r="K5" s="422"/>
    </row>
    <row r="6" spans="1:31" s="2112" customFormat="1" ht="16.5" customHeight="1">
      <c r="A6" s="2829" t="s">
        <v>1842</v>
      </c>
      <c r="B6" s="2830"/>
      <c r="C6" s="2831">
        <f ca="1">SUM(C10:K10)</f>
        <v>243328</v>
      </c>
      <c r="D6" s="2830"/>
      <c r="E6" s="2830"/>
      <c r="F6" s="2830"/>
      <c r="G6" s="2830"/>
      <c r="H6" s="2830"/>
      <c r="I6" s="2830"/>
      <c r="J6" s="2830"/>
      <c r="K6" s="2832"/>
    </row>
    <row r="7" spans="1:31" s="2114" customFormat="1" ht="15">
      <c r="A7" s="2833" t="s">
        <v>469</v>
      </c>
      <c r="B7" s="2834" t="s">
        <v>470</v>
      </c>
      <c r="C7" s="436" t="s">
        <v>922</v>
      </c>
      <c r="D7" s="436" t="s">
        <v>2989</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5"/>
      <c r="D8" s="2835">
        <f ca="1">不动产收益法!B3</f>
        <v>8230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295664.59999999998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473</v>
      </c>
      <c r="C10" s="3030"/>
      <c r="D10" s="3030">
        <f ca="1">不动产收益法!B2</f>
        <v>243328</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469</v>
      </c>
      <c r="B12" s="2813" t="s">
        <v>470</v>
      </c>
      <c r="C12" s="2842" t="s">
        <v>474</v>
      </c>
      <c r="D12" s="2809" t="s">
        <v>475</v>
      </c>
      <c r="E12" s="2809" t="s">
        <v>476</v>
      </c>
      <c r="F12" s="2809" t="s">
        <v>477</v>
      </c>
      <c r="G12" s="2813"/>
      <c r="H12" s="2814"/>
      <c r="I12" s="2814"/>
      <c r="J12" s="2814"/>
      <c r="K12" s="2815"/>
    </row>
    <row r="13" spans="1:31" s="2117" customFormat="1" ht="13.5" customHeight="1">
      <c r="A13" s="2843" t="s">
        <v>1848</v>
      </c>
      <c r="B13" s="2844" t="s">
        <v>478</v>
      </c>
      <c r="C13" s="450">
        <f ca="1">IF(B1="",'数据-取费表'!P16,INDIRECT("'数据-取费表'!p"&amp;$K$1)+INDIRECT("'数据-取费表'!t"&amp;$K$1))</f>
        <v>96091</v>
      </c>
      <c r="D13" s="2845"/>
      <c r="E13" s="2846"/>
      <c r="F13" s="2847"/>
      <c r="G13" s="2813"/>
      <c r="H13" s="2814"/>
      <c r="I13" s="2814"/>
      <c r="J13" s="2814"/>
      <c r="K13" s="2815"/>
    </row>
    <row r="14" spans="1:31" s="2117" customFormat="1" ht="13.5" customHeight="1">
      <c r="A14" s="2843" t="s">
        <v>1849</v>
      </c>
      <c r="B14" s="2844" t="s">
        <v>479</v>
      </c>
      <c r="C14" s="53">
        <f ca="1">ROUND(C13*F14,0)</f>
        <v>2883</v>
      </c>
      <c r="D14" s="2845"/>
      <c r="E14" s="2846"/>
      <c r="F14" s="2848">
        <f>'数据-取费表'!B33</f>
        <v>0.03</v>
      </c>
      <c r="G14" s="2813" t="s">
        <v>480</v>
      </c>
      <c r="H14" s="2814"/>
      <c r="I14" s="2814"/>
      <c r="J14" s="2814"/>
      <c r="K14" s="2815"/>
    </row>
    <row r="15" spans="1:31" s="2117" customFormat="1" ht="13.5" customHeight="1">
      <c r="A15" s="2843" t="s">
        <v>1850</v>
      </c>
      <c r="B15" s="2844" t="s">
        <v>481</v>
      </c>
      <c r="C15" s="53">
        <f ca="1">ROUND(IF(B1="",SUMIF('数据-取费表'!C:C,"住宅",'数据-取费表'!P:P)*F15,IF(INDIRECT("'数据-取费表'!c"&amp;$K$1)="住宅",INDIRECT("'数据-取费表'!P"&amp;$K$1)*F15,0)),0)</f>
        <v>0</v>
      </c>
      <c r="D15" s="2845"/>
      <c r="E15" s="2846"/>
      <c r="F15" s="2848">
        <f>'数据-取费表'!B34</f>
        <v>0</v>
      </c>
      <c r="G15" s="2813" t="s">
        <v>482</v>
      </c>
      <c r="H15" s="2814"/>
      <c r="I15" s="2814"/>
      <c r="J15" s="2814"/>
      <c r="K15" s="2815"/>
    </row>
    <row r="16" spans="1:31" s="2118" customFormat="1" ht="13.5" customHeight="1">
      <c r="A16" s="2843" t="s">
        <v>1851</v>
      </c>
      <c r="B16" s="2844" t="s">
        <v>483</v>
      </c>
      <c r="C16" s="53">
        <f ca="1">ROUND(D16*E16/10000,0)</f>
        <v>4435</v>
      </c>
      <c r="D16" s="2845">
        <f ca="1">IF(B1="",'数据-汇总表'!E3,INDIRECT("'数据-取费表'!K"&amp;$K$1)+INDIRECT("'数据-取费表'!S"&amp;$K$1))</f>
        <v>295664.59999999998</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484</v>
      </c>
      <c r="C17" s="2849">
        <f ca="1">ROUND(C13*F17,0)</f>
        <v>1441</v>
      </c>
      <c r="D17" s="475"/>
      <c r="E17" s="2849"/>
      <c r="F17" s="2850">
        <f>'数据-取费表'!B36</f>
        <v>1.4999999999999999E-2</v>
      </c>
      <c r="G17" s="261" t="s">
        <v>485</v>
      </c>
      <c r="H17" s="2816"/>
      <c r="I17" s="2816"/>
      <c r="J17" s="2816"/>
      <c r="K17" s="279"/>
    </row>
    <row r="18" spans="1:14" s="2117" customFormat="1" ht="13.5" customHeight="1">
      <c r="A18" s="2851" t="s">
        <v>1853</v>
      </c>
      <c r="B18" s="2852" t="s">
        <v>486</v>
      </c>
      <c r="C18" s="2853">
        <f ca="1">SUM(C13:C17)</f>
        <v>104850</v>
      </c>
      <c r="D18" s="2854"/>
      <c r="E18" s="468"/>
      <c r="F18" s="468"/>
      <c r="G18" s="2817" t="s">
        <v>2432</v>
      </c>
      <c r="H18" s="2818"/>
      <c r="I18" s="2818"/>
      <c r="J18" s="2818"/>
      <c r="K18" s="2819"/>
    </row>
    <row r="19" spans="1:14" s="2117" customFormat="1" ht="13.5" customHeight="1">
      <c r="A19" s="2851" t="s">
        <v>1854</v>
      </c>
      <c r="B19" s="2852" t="s">
        <v>487</v>
      </c>
      <c r="C19" s="2809">
        <f ca="1">ROUND(D19*E19/10000,0)</f>
        <v>3252</v>
      </c>
      <c r="D19" s="2855">
        <f ca="1">D16</f>
        <v>295664.59999999998</v>
      </c>
      <c r="E19" s="2809">
        <f>'数据-取费表'!B32</f>
        <v>110</v>
      </c>
      <c r="F19" s="468"/>
      <c r="G19" s="2813" t="s">
        <v>488</v>
      </c>
      <c r="H19" s="2814"/>
      <c r="I19" s="2818"/>
      <c r="J19" s="2818"/>
      <c r="K19" s="2819"/>
    </row>
    <row r="20" spans="1:14" s="2117" customFormat="1" ht="13.5" customHeight="1">
      <c r="A20" s="2851" t="s">
        <v>1855</v>
      </c>
      <c r="B20" s="2852" t="s">
        <v>489</v>
      </c>
      <c r="C20" s="2809">
        <f ca="1">C21+C22-IF(B1="",'数据-取费表'!B29,IF(G20="已全部缴纳",C21+C22,H20))</f>
        <v>2661</v>
      </c>
      <c r="D20" s="2855"/>
      <c r="E20" s="2809"/>
      <c r="F20" s="2856"/>
      <c r="G20" s="3090"/>
      <c r="H20" s="2811"/>
      <c r="I20" s="2812" t="s">
        <v>2653</v>
      </c>
      <c r="J20" s="2818"/>
      <c r="K20" s="2819"/>
    </row>
    <row r="21" spans="1:14" s="2117" customFormat="1" ht="13.5" customHeight="1">
      <c r="A21" s="2843" t="s">
        <v>1856</v>
      </c>
      <c r="B21" s="2844" t="s">
        <v>490</v>
      </c>
      <c r="C21" s="53">
        <f ca="1">ROUND(D21*E21/10000,0)</f>
        <v>0</v>
      </c>
      <c r="D21" s="2845">
        <f ca="1">IF(B1="",'数据-汇总表'!E5,IF(INDIRECT("'数据-取费表'!c"&amp;$K$1)="住宅",INDIRECT("'数据-取费表'!k"&amp;$K$1),0))</f>
        <v>0</v>
      </c>
      <c r="E21" s="53">
        <f>'数据-取费表'!B27</f>
        <v>50</v>
      </c>
      <c r="F21" s="2848"/>
      <c r="G21" s="26"/>
      <c r="H21" s="51"/>
      <c r="I21" s="51"/>
      <c r="J21" s="51"/>
      <c r="K21" s="2820"/>
    </row>
    <row r="22" spans="1:14" s="2117" customFormat="1" ht="13.5" customHeight="1">
      <c r="A22" s="2843" t="s">
        <v>1857</v>
      </c>
      <c r="B22" s="2844" t="s">
        <v>491</v>
      </c>
      <c r="C22" s="53">
        <f ca="1">ROUND(D22*E22/10000,0)</f>
        <v>2661</v>
      </c>
      <c r="D22" s="2845">
        <f ca="1">IF(B1="",'数据-汇总表'!E6,IF(INDIRECT("'数据-取费表'!c"&amp;$K$1)="住宅",INDIRECT("'数据-取费表'!s"&amp;$K$1),INDIRECT("'数据-取费表'!k"&amp;$K$1)+INDIRECT("'数据-取费表'!s"&amp;$K$1)))</f>
        <v>295664.59999999998</v>
      </c>
      <c r="E22" s="53">
        <f>'数据-取费表'!B28</f>
        <v>90</v>
      </c>
      <c r="F22" s="2848"/>
      <c r="G22" s="26"/>
      <c r="H22" s="51"/>
      <c r="I22" s="51"/>
      <c r="J22" s="51"/>
      <c r="K22" s="2820"/>
    </row>
    <row r="23" spans="1:14" s="2117" customFormat="1" ht="13.5" customHeight="1">
      <c r="A23" s="2851" t="s">
        <v>1858</v>
      </c>
      <c r="B23" s="3036" t="s">
        <v>2836</v>
      </c>
      <c r="C23" s="2853">
        <f ca="1">ROUND((C18+C19+C20)*F23,0)</f>
        <v>2215</v>
      </c>
      <c r="D23" s="468"/>
      <c r="E23" s="468"/>
      <c r="F23" s="2857">
        <f>'数据-取费表'!B37</f>
        <v>0.02</v>
      </c>
      <c r="G23" s="2813" t="s">
        <v>2433</v>
      </c>
      <c r="H23" s="2814"/>
      <c r="I23" s="2814"/>
      <c r="J23" s="2814"/>
      <c r="K23" s="2815"/>
      <c r="L23" s="2119"/>
      <c r="M23" s="2119"/>
      <c r="N23" s="2119"/>
    </row>
    <row r="24" spans="1:14" s="2117" customFormat="1" ht="13.5" customHeight="1">
      <c r="A24" s="2851" t="s">
        <v>1859</v>
      </c>
      <c r="B24" s="3036" t="s">
        <v>2839</v>
      </c>
      <c r="C24" s="2853">
        <f ca="1">ROUND(C6*F24,0)</f>
        <v>4867</v>
      </c>
      <c r="D24" s="475"/>
      <c r="E24" s="473"/>
      <c r="F24" s="2857">
        <f>'数据-取费表'!B38</f>
        <v>0.02</v>
      </c>
      <c r="G24" s="2822" t="s">
        <v>498</v>
      </c>
      <c r="H24" s="2816"/>
      <c r="I24" s="2816"/>
      <c r="J24" s="2816"/>
      <c r="K24" s="279"/>
      <c r="L24" s="2119"/>
      <c r="M24" s="2119"/>
      <c r="N24" s="2119"/>
    </row>
    <row r="25" spans="1:14" s="2120" customFormat="1" ht="13.5" customHeight="1">
      <c r="A25" s="2851" t="s">
        <v>1860</v>
      </c>
      <c r="B25" s="3036"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7" t="s">
        <v>2838</v>
      </c>
      <c r="C26" s="2858">
        <f ca="1">C28</f>
        <v>8495</v>
      </c>
      <c r="D26" s="467">
        <f ca="1">C27</f>
        <v>0.1537</v>
      </c>
      <c r="E26" s="469" t="s">
        <v>494</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495</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8495</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496</v>
      </c>
      <c r="C29" s="2853">
        <f ca="1">ROUND(C6*F29/(1+'数据-取费表'!C42),0)</f>
        <v>12977</v>
      </c>
      <c r="D29" s="468"/>
      <c r="E29" s="468"/>
      <c r="F29" s="3038">
        <f>'数据-取费表'!B41</f>
        <v>5.6000000000000001E-2</v>
      </c>
      <c r="G29" s="2822" t="s">
        <v>497</v>
      </c>
      <c r="H29" s="2814"/>
      <c r="I29" s="2814"/>
      <c r="J29" s="2814"/>
      <c r="K29" s="2815"/>
    </row>
    <row r="30" spans="1:14" s="2122" customFormat="1" ht="13.5" customHeight="1">
      <c r="A30" s="1635" t="s">
        <v>1863</v>
      </c>
      <c r="B30" s="2863" t="s">
        <v>499</v>
      </c>
      <c r="C30" s="2858">
        <f ca="1">C31</f>
        <v>139317</v>
      </c>
      <c r="D30" s="477">
        <f ca="1">C32</f>
        <v>0.1827</v>
      </c>
      <c r="E30" s="469" t="s">
        <v>494</v>
      </c>
      <c r="F30" s="471"/>
      <c r="G30" s="2821" t="s">
        <v>2978</v>
      </c>
      <c r="H30" s="2814"/>
      <c r="I30" s="2814"/>
      <c r="J30" s="2814"/>
      <c r="K30" s="2815"/>
    </row>
    <row r="31" spans="1:14" s="2121" customFormat="1" ht="13.5" customHeight="1">
      <c r="A31" s="803" t="s">
        <v>1856</v>
      </c>
      <c r="B31" s="2859"/>
      <c r="C31" s="450">
        <f ca="1">C18+C19+C20+C23+C24+C26+C29</f>
        <v>139317</v>
      </c>
      <c r="D31" s="472"/>
      <c r="E31" s="473"/>
      <c r="F31" s="474"/>
      <c r="G31" s="261"/>
      <c r="H31" s="2816"/>
      <c r="I31" s="2816"/>
      <c r="J31" s="2816"/>
      <c r="K31" s="279"/>
    </row>
    <row r="32" spans="1:14" s="2121" customFormat="1" ht="13.5" customHeight="1">
      <c r="A32" s="803" t="s">
        <v>1857</v>
      </c>
      <c r="B32" s="2859"/>
      <c r="C32" s="53">
        <f ca="1">ROUND(C25+D26,4)</f>
        <v>0.1827</v>
      </c>
      <c r="D32" s="472"/>
      <c r="E32" s="473"/>
      <c r="F32" s="474"/>
      <c r="G32" s="261"/>
      <c r="H32" s="2816"/>
      <c r="I32" s="2816"/>
      <c r="J32" s="2816"/>
      <c r="K32" s="279"/>
    </row>
    <row r="33" spans="1:11" s="2123" customFormat="1" ht="13.5" customHeight="1">
      <c r="A33" s="3035" t="s">
        <v>2835</v>
      </c>
      <c r="B33" s="3033" t="s">
        <v>2833</v>
      </c>
      <c r="C33" s="478">
        <f ca="1">C35</f>
        <v>17677</v>
      </c>
      <c r="D33" s="467">
        <f ca="1">C34</f>
        <v>0.15440000000000001</v>
      </c>
      <c r="E33" s="469" t="s">
        <v>494</v>
      </c>
      <c r="F33" s="479">
        <f ca="1">IF(B1="",'数据-取费表'!Q16,INDIRECT("'数据-取费表'!q"&amp;$K$1))</f>
        <v>0.15</v>
      </c>
      <c r="G33" s="2817"/>
      <c r="H33" s="2818"/>
      <c r="I33" s="2818"/>
      <c r="J33" s="2818"/>
      <c r="K33" s="2819"/>
    </row>
    <row r="34" spans="1:11" s="2124" customFormat="1" ht="13.5" customHeight="1">
      <c r="A34" s="375" t="s">
        <v>1856</v>
      </c>
      <c r="B34" s="2864" t="s">
        <v>500</v>
      </c>
      <c r="C34" s="472">
        <f ca="1">ROUND((1+C25)*F33,4)</f>
        <v>0.15440000000000001</v>
      </c>
      <c r="D34" s="472"/>
      <c r="E34" s="473"/>
      <c r="F34" s="480"/>
      <c r="G34" s="261" t="s">
        <v>2292</v>
      </c>
      <c r="H34" s="2816"/>
      <c r="I34" s="2816"/>
      <c r="J34" s="2816"/>
      <c r="K34" s="279"/>
    </row>
    <row r="35" spans="1:11" s="2124" customFormat="1" ht="13.5" customHeight="1" thickBot="1">
      <c r="A35" s="1636" t="s">
        <v>1857</v>
      </c>
      <c r="B35" s="3034" t="s">
        <v>2841</v>
      </c>
      <c r="C35" s="1628">
        <f ca="1">ROUND((C18+C19+C20+C23+C24)*F33,0)</f>
        <v>17677</v>
      </c>
      <c r="D35" s="1629"/>
      <c r="E35" s="2865"/>
      <c r="F35" s="1630"/>
      <c r="G35" s="2823"/>
      <c r="H35" s="2824"/>
      <c r="I35" s="2824"/>
      <c r="J35" s="2824"/>
      <c r="K35" s="2825"/>
    </row>
    <row r="36" spans="1:11" s="2086" customFormat="1" ht="13.5" customHeight="1" thickBot="1">
      <c r="A36" s="284" t="s">
        <v>1844</v>
      </c>
      <c r="B36" s="2827"/>
      <c r="C36" s="2866">
        <f ca="1">ROUND((C6-C30-C33)/(1+D30+D33),0)</f>
        <v>64568</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1" t="str">
        <f>项目基本情况!B1</f>
        <v>出让国有建设用地使用权预评估</v>
      </c>
      <c r="C37" s="3191"/>
      <c r="D37" s="3191"/>
      <c r="E37" s="3191"/>
      <c r="F37" s="3191"/>
      <c r="G37" s="3191"/>
      <c r="H37" s="3191"/>
      <c r="I37" s="3191"/>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王鹏、土地估价师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10"/>
      <c r="C1" s="2105"/>
      <c r="D1" s="2105"/>
      <c r="E1" s="2105"/>
      <c r="F1" s="2105"/>
      <c r="G1" s="2105"/>
      <c r="H1" s="2105"/>
      <c r="I1" s="2105"/>
      <c r="J1" s="2105"/>
      <c r="K1" s="422">
        <f>MATCH(B1,'数据-取费表'!A6:A16,0)+5</f>
        <v>8</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96091</v>
      </c>
      <c r="D13" s="451"/>
      <c r="E13" s="365"/>
      <c r="F13" s="452"/>
      <c r="G13" s="444"/>
      <c r="H13" s="447"/>
      <c r="I13" s="447"/>
      <c r="J13" s="447"/>
      <c r="K13" s="448"/>
    </row>
    <row r="14" spans="1:41" s="2117" customFormat="1" ht="13.5" customHeight="1">
      <c r="A14" s="1633" t="s">
        <v>1849</v>
      </c>
      <c r="B14" s="449" t="s">
        <v>479</v>
      </c>
      <c r="C14" s="53">
        <f ca="1">ROUND(C13*F14,0)</f>
        <v>2883</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4435</v>
      </c>
      <c r="D16" s="451">
        <f ca="1">IF(B1="",'数据-汇总表'!E3,INDIRECT("'数据-取费表'!K"&amp;$K$1)+INDIRECT("'数据-取费表'!S"&amp;$K$1))</f>
        <v>295664.59999999998</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1441</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104850</v>
      </c>
      <c r="D18" s="461"/>
      <c r="E18" s="462"/>
      <c r="F18" s="462"/>
      <c r="G18" s="1326" t="s">
        <v>2434</v>
      </c>
      <c r="H18" s="447"/>
      <c r="I18" s="447"/>
      <c r="J18" s="447"/>
      <c r="K18" s="448"/>
    </row>
    <row r="19" spans="1:14" s="2120" customFormat="1" ht="13.5" customHeight="1">
      <c r="A19" s="1634" t="s">
        <v>1854</v>
      </c>
      <c r="B19" s="459" t="s">
        <v>492</v>
      </c>
      <c r="C19" s="460">
        <f ca="1">ROUND(C18*F19,0)</f>
        <v>2097</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31">
        <f>F20</f>
        <v>0.02</v>
      </c>
      <c r="D20" s="469" t="s">
        <v>504</v>
      </c>
      <c r="E20" s="469"/>
      <c r="F20" s="486">
        <f>'数据-取费表'!B38</f>
        <v>0.02</v>
      </c>
      <c r="G20" s="1326" t="s">
        <v>505</v>
      </c>
      <c r="H20" s="447"/>
      <c r="I20" s="447"/>
      <c r="J20" s="447"/>
      <c r="K20" s="448"/>
      <c r="L20" s="2122"/>
      <c r="M20" s="2122"/>
      <c r="N20" s="2122"/>
    </row>
    <row r="21" spans="1:14" s="2122" customFormat="1" ht="13.5" customHeight="1">
      <c r="A21" s="1634" t="s">
        <v>1858</v>
      </c>
      <c r="B21" s="461" t="s">
        <v>493</v>
      </c>
      <c r="C21" s="470">
        <f ca="1">C22</f>
        <v>7710</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7" t="s">
        <v>2437</v>
      </c>
      <c r="C22" s="487">
        <f ca="1">ROUND(IF('数据-取费表'!B22&lt;=1,(C18+C19)*F21*'数据-取费表'!B20/2,(C18+C19)*(POWER((1+F21),'数据-取费表'!B20/2)-1)),0)</f>
        <v>7710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3" t="s">
        <v>2834</v>
      </c>
      <c r="C24" s="478">
        <f ca="1">C25</f>
        <v>16042</v>
      </c>
      <c r="D24" s="489">
        <f ca="1">C26</f>
        <v>3.0000000000000001E-3</v>
      </c>
      <c r="E24" s="469" t="s">
        <v>506</v>
      </c>
      <c r="F24" s="479">
        <f ca="1">IF(B1="",'数据-取费表'!Q16,INDIRECT("'数据-取费表'!q"&amp;$K$1))</f>
        <v>0.15</v>
      </c>
      <c r="G24" s="444"/>
      <c r="H24" s="447"/>
      <c r="I24" s="447"/>
      <c r="J24" s="447"/>
      <c r="K24" s="448"/>
    </row>
    <row r="25" spans="1:14" s="2121" customFormat="1" ht="13.5" customHeight="1">
      <c r="A25" s="1633" t="s">
        <v>1848</v>
      </c>
      <c r="B25" s="1327" t="s">
        <v>2438</v>
      </c>
      <c r="C25" s="490">
        <f ca="1">ROUND((C18+C19)*F24,0)</f>
        <v>16042</v>
      </c>
      <c r="D25" s="472"/>
      <c r="E25" s="473"/>
      <c r="F25" s="480"/>
      <c r="G25" s="1325" t="s">
        <v>2435</v>
      </c>
      <c r="H25" s="457"/>
      <c r="I25" s="457"/>
      <c r="J25" s="457"/>
      <c r="K25" s="458"/>
    </row>
    <row r="26" spans="1:14" s="2121" customFormat="1" ht="13.5" customHeight="1">
      <c r="A26" s="1633" t="s">
        <v>1849</v>
      </c>
      <c r="B26" s="1327" t="s">
        <v>508</v>
      </c>
      <c r="C26" s="491">
        <f ca="1">ROUND(F20*F24,4)</f>
        <v>3.0000000000000001E-3</v>
      </c>
      <c r="D26" s="472"/>
      <c r="E26" s="481"/>
      <c r="F26" s="480"/>
      <c r="G26" s="1325" t="s">
        <v>509</v>
      </c>
      <c r="H26" s="457"/>
      <c r="I26" s="457"/>
      <c r="J26" s="457"/>
      <c r="K26" s="458"/>
    </row>
    <row r="27" spans="1:14" s="2121" customFormat="1" ht="13.5" customHeight="1">
      <c r="A27" s="1637" t="s">
        <v>1867</v>
      </c>
      <c r="B27" s="459" t="s">
        <v>510</v>
      </c>
      <c r="C27" s="3032">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141710</v>
      </c>
      <c r="D28" s="477"/>
      <c r="E28" s="469"/>
      <c r="F28" s="471"/>
      <c r="G28" s="1326"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483"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365" t="s">
        <v>521</v>
      </c>
      <c r="D6" s="3366"/>
      <c r="E6" s="3399" t="s">
        <v>522</v>
      </c>
      <c r="F6" s="3400"/>
      <c r="G6" s="3365" t="s">
        <v>523</v>
      </c>
      <c r="H6" s="3366"/>
      <c r="I6" s="3365" t="s">
        <v>524</v>
      </c>
      <c r="J6" s="3366"/>
      <c r="K6" s="514" t="s">
        <v>525</v>
      </c>
      <c r="L6" s="2134"/>
      <c r="M6" s="2135"/>
      <c r="N6" s="2135"/>
      <c r="O6" s="2135"/>
      <c r="P6" s="3367" t="s">
        <v>526</v>
      </c>
      <c r="Q6" s="3368"/>
      <c r="R6" s="3373" t="s">
        <v>522</v>
      </c>
      <c r="S6" s="3374"/>
      <c r="T6" s="3373" t="s">
        <v>523</v>
      </c>
      <c r="U6" s="3374"/>
      <c r="V6" s="3360" t="s">
        <v>524</v>
      </c>
      <c r="W6" s="3360"/>
      <c r="X6" s="1567"/>
      <c r="Y6" s="3373" t="s">
        <v>526</v>
      </c>
      <c r="Z6" s="3374"/>
      <c r="AA6" s="3362" t="s">
        <v>522</v>
      </c>
      <c r="AB6" s="3363" t="s">
        <v>523</v>
      </c>
      <c r="AC6" s="3362" t="s">
        <v>524</v>
      </c>
    </row>
    <row r="7" spans="1:29" ht="15">
      <c r="A7" s="515"/>
      <c r="B7" s="516"/>
      <c r="C7" s="3381" t="s">
        <v>2933</v>
      </c>
      <c r="D7" s="3382"/>
      <c r="E7" s="3401" t="s">
        <v>2934</v>
      </c>
      <c r="F7" s="3402"/>
      <c r="G7" s="3381" t="s">
        <v>2935</v>
      </c>
      <c r="H7" s="3382"/>
      <c r="I7" s="3381" t="s">
        <v>2936</v>
      </c>
      <c r="J7" s="3382"/>
      <c r="K7" s="514"/>
      <c r="L7" s="2134"/>
      <c r="M7" s="2135"/>
      <c r="N7" s="2135"/>
      <c r="O7" s="2135"/>
      <c r="P7" s="3369"/>
      <c r="Q7" s="3370"/>
      <c r="R7" s="3375"/>
      <c r="S7" s="3376"/>
      <c r="T7" s="3375"/>
      <c r="U7" s="3376"/>
      <c r="V7" s="3360"/>
      <c r="W7" s="3360"/>
      <c r="X7" s="1567"/>
      <c r="Y7" s="3375"/>
      <c r="Z7" s="3376"/>
      <c r="AA7" s="3363"/>
      <c r="AB7" s="3363"/>
      <c r="AC7" s="3363"/>
    </row>
    <row r="8" spans="1:29" ht="15.75" thickBot="1">
      <c r="A8" s="517"/>
      <c r="B8" s="518"/>
      <c r="C8" s="3379" t="s">
        <v>2937</v>
      </c>
      <c r="D8" s="3380"/>
      <c r="E8" s="3397" t="s">
        <v>2937</v>
      </c>
      <c r="F8" s="3398"/>
      <c r="G8" s="3379" t="s">
        <v>2937</v>
      </c>
      <c r="H8" s="3380"/>
      <c r="I8" s="3379" t="s">
        <v>2937</v>
      </c>
      <c r="J8" s="3380"/>
      <c r="K8" s="514" t="s">
        <v>527</v>
      </c>
      <c r="L8" s="2134"/>
      <c r="M8" s="2135"/>
      <c r="N8" s="2135"/>
      <c r="O8" s="2135"/>
      <c r="P8" s="3371"/>
      <c r="Q8" s="3372"/>
      <c r="R8" s="3375"/>
      <c r="S8" s="3376"/>
      <c r="T8" s="3377"/>
      <c r="U8" s="3378"/>
      <c r="V8" s="3360"/>
      <c r="W8" s="3360"/>
      <c r="X8" s="1567"/>
      <c r="Y8" s="3377"/>
      <c r="Z8" s="3378"/>
      <c r="AA8" s="3364"/>
      <c r="AB8" s="3364"/>
      <c r="AC8" s="3364"/>
    </row>
    <row r="9" spans="1:29" s="1219" customFormat="1" ht="15.75" thickBot="1">
      <c r="A9" s="2913"/>
      <c r="B9" s="2920" t="s">
        <v>528</v>
      </c>
      <c r="C9" s="519">
        <f>'数据-取费表'!B2</f>
        <v>43627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0" t="s">
        <v>529</v>
      </c>
      <c r="Q9" s="3392"/>
      <c r="R9" s="1568" t="s">
        <v>8</v>
      </c>
      <c r="S9" s="1569">
        <f t="shared" ref="S9:S17" si="0">F9</f>
        <v>0</v>
      </c>
      <c r="T9" s="1568" t="s">
        <v>8</v>
      </c>
      <c r="U9" s="1569">
        <f t="shared" ref="U9:U17" si="1">H9</f>
        <v>0</v>
      </c>
      <c r="V9" s="1568" t="s">
        <v>8</v>
      </c>
      <c r="W9" s="1569">
        <f t="shared" ref="W9:W17" si="2">J9</f>
        <v>0</v>
      </c>
      <c r="X9" s="1570"/>
      <c r="Y9" s="3390" t="s">
        <v>529</v>
      </c>
      <c r="Z9" s="3391"/>
      <c r="AA9" s="1571" t="e">
        <f>D9/F9</f>
        <v>#DIV/0!</v>
      </c>
      <c r="AB9" s="1571" t="e">
        <f>D9/H9</f>
        <v>#DIV/0!</v>
      </c>
      <c r="AC9" s="1571" t="e">
        <f>D9/J9</f>
        <v>#DIV/0!</v>
      </c>
    </row>
    <row r="10" spans="1:29" s="1219" customFormat="1" ht="15.75" thickBot="1">
      <c r="A10" s="2914"/>
      <c r="B10" s="292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0" t="s">
        <v>532</v>
      </c>
      <c r="Q10" s="3391"/>
      <c r="R10" s="1568" t="s">
        <v>8</v>
      </c>
      <c r="S10" s="1569">
        <f t="shared" si="0"/>
        <v>0</v>
      </c>
      <c r="T10" s="1568" t="s">
        <v>8</v>
      </c>
      <c r="U10" s="1569">
        <f t="shared" si="1"/>
        <v>0</v>
      </c>
      <c r="V10" s="1568" t="s">
        <v>8</v>
      </c>
      <c r="W10" s="1569">
        <f t="shared" si="2"/>
        <v>0</v>
      </c>
      <c r="X10" s="1570"/>
      <c r="Y10" s="3390" t="s">
        <v>532</v>
      </c>
      <c r="Z10" s="3391"/>
      <c r="AA10" s="1571" t="e">
        <f t="shared" ref="AA10:AA42" si="3">D10/F10</f>
        <v>#DIV/0!</v>
      </c>
      <c r="AB10" s="1571" t="e">
        <f t="shared" ref="AB10:AB42" si="4">D10/H10</f>
        <v>#DIV/0!</v>
      </c>
      <c r="AC10" s="1571" t="e">
        <f t="shared" ref="AC10:AC42" si="5">D10/J10</f>
        <v>#DIV/0!</v>
      </c>
    </row>
    <row r="11" spans="1:29" s="1219"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9" t="s">
        <v>534</v>
      </c>
      <c r="Q11" s="1150" t="str">
        <f t="shared" ref="Q11:Q17" si="6">B11</f>
        <v>用途</v>
      </c>
      <c r="R11" s="1568" t="s">
        <v>8</v>
      </c>
      <c r="S11" s="1569">
        <f t="shared" si="0"/>
        <v>100</v>
      </c>
      <c r="T11" s="1568" t="s">
        <v>8</v>
      </c>
      <c r="U11" s="1569">
        <f t="shared" si="1"/>
        <v>100</v>
      </c>
      <c r="V11" s="1568" t="s">
        <v>8</v>
      </c>
      <c r="W11" s="1569">
        <f t="shared" si="2"/>
        <v>100</v>
      </c>
      <c r="X11" s="1570"/>
      <c r="Y11" s="3305" t="s">
        <v>535</v>
      </c>
      <c r="Z11" s="1149" t="str">
        <f t="shared" ref="Z11:Z17" si="7">Q11</f>
        <v>用途</v>
      </c>
      <c r="AA11" s="1571">
        <f t="shared" si="3"/>
        <v>1</v>
      </c>
      <c r="AB11" s="1571">
        <f t="shared" si="4"/>
        <v>1</v>
      </c>
      <c r="AC11" s="1571">
        <f t="shared" si="5"/>
        <v>1</v>
      </c>
    </row>
    <row r="12" spans="1:29" s="1337" customFormat="1" ht="27">
      <c r="A12" s="2916"/>
      <c r="B12" s="2921"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59"/>
      <c r="Q12" s="1150" t="str">
        <f t="shared" si="6"/>
        <v>土地使用年限（年）</v>
      </c>
      <c r="R12" s="1568" t="s">
        <v>8</v>
      </c>
      <c r="S12" s="1569">
        <f t="shared" si="0"/>
        <v>101</v>
      </c>
      <c r="T12" s="1568" t="s">
        <v>8</v>
      </c>
      <c r="U12" s="1569">
        <f t="shared" si="1"/>
        <v>101</v>
      </c>
      <c r="V12" s="1568" t="s">
        <v>8</v>
      </c>
      <c r="W12" s="1569">
        <f t="shared" si="2"/>
        <v>101</v>
      </c>
      <c r="X12" s="1570"/>
      <c r="Y12" s="3305"/>
      <c r="Z12" s="1149" t="str">
        <f t="shared" si="7"/>
        <v>土地使用年限（年）</v>
      </c>
      <c r="AA12" s="1571">
        <f t="shared" si="3"/>
        <v>0.99009900990099009</v>
      </c>
      <c r="AB12" s="1571">
        <f t="shared" si="4"/>
        <v>0.99009900990099009</v>
      </c>
      <c r="AC12" s="1571">
        <f t="shared" si="5"/>
        <v>0.99009900990099009</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9"/>
      <c r="Q13" s="1150" t="str">
        <f t="shared" si="6"/>
        <v>容积率</v>
      </c>
      <c r="R13" s="1568" t="s">
        <v>8</v>
      </c>
      <c r="S13" s="1569" t="e">
        <f t="shared" si="0"/>
        <v>#N/A</v>
      </c>
      <c r="T13" s="1568" t="s">
        <v>8</v>
      </c>
      <c r="U13" s="1569" t="e">
        <f t="shared" si="1"/>
        <v>#N/A</v>
      </c>
      <c r="V13" s="1568" t="s">
        <v>8</v>
      </c>
      <c r="W13" s="1569" t="e">
        <f t="shared" si="2"/>
        <v>#N/A</v>
      </c>
      <c r="X13" s="1570"/>
      <c r="Y13" s="3305"/>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9"/>
      <c r="Q15" s="1150">
        <f t="shared" si="6"/>
        <v>111</v>
      </c>
      <c r="R15" s="1568" t="s">
        <v>8</v>
      </c>
      <c r="S15" s="1569">
        <f t="shared" si="0"/>
        <v>100</v>
      </c>
      <c r="T15" s="1568" t="s">
        <v>8</v>
      </c>
      <c r="U15" s="1569">
        <f t="shared" si="1"/>
        <v>100</v>
      </c>
      <c r="V15" s="1568" t="s">
        <v>8</v>
      </c>
      <c r="W15" s="1569">
        <f t="shared" si="2"/>
        <v>100</v>
      </c>
      <c r="X15" s="1570"/>
      <c r="Y15" s="3305"/>
      <c r="Z15" s="1149">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9"/>
      <c r="Q16" s="1150">
        <f t="shared" si="6"/>
        <v>111</v>
      </c>
      <c r="R16" s="1568" t="s">
        <v>8</v>
      </c>
      <c r="S16" s="1569">
        <f t="shared" si="0"/>
        <v>100</v>
      </c>
      <c r="T16" s="1568" t="s">
        <v>8</v>
      </c>
      <c r="U16" s="1569">
        <f t="shared" si="1"/>
        <v>100</v>
      </c>
      <c r="V16" s="1568" t="s">
        <v>8</v>
      </c>
      <c r="W16" s="1569">
        <f t="shared" si="2"/>
        <v>100</v>
      </c>
      <c r="X16" s="1570"/>
      <c r="Y16" s="3305"/>
      <c r="Z16" s="1149">
        <f t="shared" si="7"/>
        <v>111</v>
      </c>
      <c r="AA16" s="1571">
        <f t="shared" si="3"/>
        <v>1</v>
      </c>
      <c r="AB16" s="1571">
        <f t="shared" si="4"/>
        <v>1</v>
      </c>
      <c r="AC16" s="1571">
        <f t="shared" si="5"/>
        <v>1</v>
      </c>
    </row>
    <row r="17" spans="1:29" ht="57">
      <c r="A17" s="2911"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3" t="s">
        <v>539</v>
      </c>
      <c r="Q17" s="1572" t="str">
        <f t="shared" si="6"/>
        <v>产业集聚程度</v>
      </c>
      <c r="R17" s="1573" t="s">
        <v>8</v>
      </c>
      <c r="S17" s="1574">
        <f t="shared" si="0"/>
        <v>100</v>
      </c>
      <c r="T17" s="1573" t="s">
        <v>8</v>
      </c>
      <c r="U17" s="1574">
        <f t="shared" si="1"/>
        <v>100</v>
      </c>
      <c r="V17" s="1573" t="s">
        <v>8</v>
      </c>
      <c r="W17" s="1574">
        <f t="shared" si="2"/>
        <v>100</v>
      </c>
      <c r="X17" s="1567"/>
      <c r="Y17" s="3393"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4"/>
      <c r="Q18" s="1572"/>
      <c r="R18" s="1573"/>
      <c r="S18" s="1574"/>
      <c r="T18" s="1573"/>
      <c r="U18" s="1574"/>
      <c r="V18" s="1573"/>
      <c r="W18" s="1574"/>
      <c r="X18" s="1567"/>
      <c r="Y18" s="3394"/>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4"/>
      <c r="Q19" s="1572" t="str">
        <f>B19</f>
        <v>交通便捷度</v>
      </c>
      <c r="R19" s="1573" t="s">
        <v>8</v>
      </c>
      <c r="S19" s="1574">
        <f>F19</f>
        <v>100</v>
      </c>
      <c r="T19" s="1573" t="s">
        <v>8</v>
      </c>
      <c r="U19" s="1574">
        <f>H19</f>
        <v>100</v>
      </c>
      <c r="V19" s="1573" t="s">
        <v>8</v>
      </c>
      <c r="W19" s="1574">
        <f>J19</f>
        <v>100</v>
      </c>
      <c r="X19" s="1567"/>
      <c r="Y19" s="339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94"/>
      <c r="Q21" s="1572" t="str">
        <f t="shared" ref="Q21:Q35" si="8">B21</f>
        <v>区域土地利用方向</v>
      </c>
      <c r="R21" s="1573" t="s">
        <v>8</v>
      </c>
      <c r="S21" s="1574">
        <f>F21</f>
        <v>100</v>
      </c>
      <c r="T21" s="1573" t="s">
        <v>8</v>
      </c>
      <c r="U21" s="1574">
        <f>H21</f>
        <v>100</v>
      </c>
      <c r="V21" s="1573" t="s">
        <v>8</v>
      </c>
      <c r="W21" s="1574">
        <f>J21</f>
        <v>100</v>
      </c>
      <c r="X21" s="1567"/>
      <c r="Y21" s="339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94"/>
      <c r="Q22" s="1572"/>
      <c r="R22" s="1573"/>
      <c r="S22" s="1574"/>
      <c r="T22" s="1573"/>
      <c r="U22" s="1574"/>
      <c r="V22" s="1573"/>
      <c r="W22" s="1574"/>
      <c r="X22" s="1567"/>
      <c r="Y22" s="3394"/>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4"/>
      <c r="Q23" s="1572" t="str">
        <f t="shared" si="8"/>
        <v>环境状况</v>
      </c>
      <c r="R23" s="1573" t="s">
        <v>8</v>
      </c>
      <c r="S23" s="1574">
        <f>F23</f>
        <v>100</v>
      </c>
      <c r="T23" s="1573" t="s">
        <v>8</v>
      </c>
      <c r="U23" s="1574">
        <f>H23</f>
        <v>100</v>
      </c>
      <c r="V23" s="1573" t="s">
        <v>8</v>
      </c>
      <c r="W23" s="1574">
        <f>J23</f>
        <v>100</v>
      </c>
      <c r="X23" s="1567"/>
      <c r="Y23" s="339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4"/>
      <c r="Q24" s="1572"/>
      <c r="R24" s="1573"/>
      <c r="S24" s="1574"/>
      <c r="T24" s="1573"/>
      <c r="U24" s="1574"/>
      <c r="V24" s="1573"/>
      <c r="W24" s="1574"/>
      <c r="X24" s="1567"/>
      <c r="Y24" s="3394"/>
      <c r="Z24" s="1575"/>
      <c r="AA24" s="1576">
        <v>1</v>
      </c>
      <c r="AB24" s="1576">
        <v>1</v>
      </c>
      <c r="AC24" s="1576">
        <v>1</v>
      </c>
    </row>
    <row r="25" spans="1:29" s="1219"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4"/>
      <c r="Q25" s="1150" t="str">
        <f t="shared" si="8"/>
        <v>公共配套设施</v>
      </c>
      <c r="R25" s="1568" t="s">
        <v>8</v>
      </c>
      <c r="S25" s="1569">
        <f>F25</f>
        <v>100</v>
      </c>
      <c r="T25" s="1568" t="s">
        <v>8</v>
      </c>
      <c r="U25" s="1569">
        <f>H25</f>
        <v>100</v>
      </c>
      <c r="V25" s="1568" t="s">
        <v>8</v>
      </c>
      <c r="W25" s="1569">
        <f>J25</f>
        <v>100</v>
      </c>
      <c r="X25" s="1570"/>
      <c r="Y25" s="3394"/>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94"/>
      <c r="Q26" s="1150"/>
      <c r="R26" s="1568"/>
      <c r="S26" s="1569"/>
      <c r="T26" s="1568"/>
      <c r="U26" s="1569"/>
      <c r="V26" s="1568"/>
      <c r="W26" s="1569"/>
      <c r="X26" s="1570"/>
      <c r="Y26" s="3394"/>
      <c r="Z26" s="1149"/>
      <c r="AA26" s="1571">
        <v>1</v>
      </c>
      <c r="AB26" s="1571">
        <v>1</v>
      </c>
      <c r="AC26" s="1571">
        <v>1</v>
      </c>
    </row>
    <row r="27" spans="1:29" s="1219"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4"/>
      <c r="Q27" s="2579" t="str">
        <f t="shared" ref="Q27" si="9">B27</f>
        <v>基础设施水平</v>
      </c>
      <c r="R27" s="1568" t="s">
        <v>8</v>
      </c>
      <c r="S27" s="1569">
        <f>F27</f>
        <v>100</v>
      </c>
      <c r="T27" s="1568" t="s">
        <v>8</v>
      </c>
      <c r="U27" s="1569">
        <f>H27</f>
        <v>100</v>
      </c>
      <c r="V27" s="1568" t="s">
        <v>8</v>
      </c>
      <c r="W27" s="1569">
        <f>J27</f>
        <v>100</v>
      </c>
      <c r="X27" s="1570"/>
      <c r="Y27" s="3394"/>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94"/>
      <c r="Q28" s="2579"/>
      <c r="R28" s="1568"/>
      <c r="S28" s="1569"/>
      <c r="T28" s="1568"/>
      <c r="U28" s="1569"/>
      <c r="V28" s="1568"/>
      <c r="W28" s="1569"/>
      <c r="X28" s="1570"/>
      <c r="Y28" s="3394"/>
      <c r="Z28" s="2576"/>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4"/>
      <c r="Z29" s="1575" t="str">
        <f t="shared" ref="Z29:Z42" si="13">Q29</f>
        <v>临街状况</v>
      </c>
      <c r="AA29" s="1576">
        <f t="shared" si="3"/>
        <v>1</v>
      </c>
      <c r="AB29" s="1576">
        <f t="shared" si="4"/>
        <v>1</v>
      </c>
      <c r="AC29" s="1576">
        <f t="shared" si="5"/>
        <v>1</v>
      </c>
    </row>
    <row r="30" spans="1:29" ht="27">
      <c r="A30" s="532"/>
      <c r="B30" s="922" t="s">
        <v>547</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4"/>
      <c r="Q30" s="1572" t="str">
        <f t="shared" si="8"/>
        <v>毗邻道路的类型与等级</v>
      </c>
      <c r="R30" s="1573" t="s">
        <v>8</v>
      </c>
      <c r="S30" s="1574">
        <f t="shared" si="10"/>
        <v>100</v>
      </c>
      <c r="T30" s="1573" t="s">
        <v>8</v>
      </c>
      <c r="U30" s="1574">
        <f t="shared" si="11"/>
        <v>100</v>
      </c>
      <c r="V30" s="1573" t="s">
        <v>8</v>
      </c>
      <c r="W30" s="1574">
        <f t="shared" si="12"/>
        <v>100</v>
      </c>
      <c r="X30" s="1567"/>
      <c r="Y30" s="339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4"/>
      <c r="Q31" s="1572"/>
      <c r="R31" s="1573"/>
      <c r="S31" s="1574"/>
      <c r="T31" s="1573"/>
      <c r="U31" s="1574"/>
      <c r="V31" s="1573"/>
      <c r="W31" s="1574"/>
      <c r="X31" s="1567"/>
      <c r="Y31" s="3394"/>
      <c r="Z31" s="1575"/>
      <c r="AA31" s="1576">
        <v>1</v>
      </c>
      <c r="AB31" s="1576">
        <v>1</v>
      </c>
      <c r="AC31" s="1576">
        <v>1</v>
      </c>
    </row>
    <row r="32" spans="1:29" ht="15">
      <c r="A32" s="532"/>
      <c r="B32" s="527" t="s">
        <v>548</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4"/>
      <c r="Q32" s="1572" t="str">
        <f t="shared" si="8"/>
        <v>土地级别</v>
      </c>
      <c r="R32" s="1573" t="s">
        <v>8</v>
      </c>
      <c r="S32" s="1574">
        <f t="shared" si="10"/>
        <v>100</v>
      </c>
      <c r="T32" s="1573" t="s">
        <v>8</v>
      </c>
      <c r="U32" s="1574">
        <f t="shared" si="11"/>
        <v>100</v>
      </c>
      <c r="V32" s="1573" t="s">
        <v>8</v>
      </c>
      <c r="W32" s="1574">
        <f t="shared" si="12"/>
        <v>100</v>
      </c>
      <c r="X32" s="1567"/>
      <c r="Y32" s="339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4"/>
      <c r="Q33" s="1572">
        <f t="shared" si="8"/>
        <v>111</v>
      </c>
      <c r="R33" s="1573" t="s">
        <v>8</v>
      </c>
      <c r="S33" s="1574">
        <f t="shared" si="10"/>
        <v>100</v>
      </c>
      <c r="T33" s="1573" t="s">
        <v>8</v>
      </c>
      <c r="U33" s="1574">
        <f t="shared" si="11"/>
        <v>100</v>
      </c>
      <c r="V33" s="1573" t="s">
        <v>8</v>
      </c>
      <c r="W33" s="1574">
        <f t="shared" si="12"/>
        <v>100</v>
      </c>
      <c r="X33" s="1567"/>
      <c r="Y33" s="339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5" t="s">
        <v>549</v>
      </c>
      <c r="Q34" s="1572">
        <f t="shared" si="8"/>
        <v>111</v>
      </c>
      <c r="R34" s="1573" t="s">
        <v>8</v>
      </c>
      <c r="S34" s="1574">
        <f t="shared" si="10"/>
        <v>100</v>
      </c>
      <c r="T34" s="1573" t="s">
        <v>8</v>
      </c>
      <c r="U34" s="1574">
        <f t="shared" si="11"/>
        <v>100</v>
      </c>
      <c r="V34" s="1573" t="s">
        <v>8</v>
      </c>
      <c r="W34" s="1574">
        <f t="shared" si="12"/>
        <v>100</v>
      </c>
      <c r="X34" s="1567"/>
      <c r="Y34" s="3396" t="s">
        <v>549</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6"/>
      <c r="Q35" s="1572">
        <f t="shared" si="8"/>
        <v>111</v>
      </c>
      <c r="R35" s="1577" t="s">
        <v>8</v>
      </c>
      <c r="S35" s="1578">
        <f t="shared" si="10"/>
        <v>100</v>
      </c>
      <c r="T35" s="1577" t="s">
        <v>8</v>
      </c>
      <c r="U35" s="1578">
        <f t="shared" si="11"/>
        <v>100</v>
      </c>
      <c r="V35" s="1577" t="s">
        <v>8</v>
      </c>
      <c r="W35" s="1578">
        <f t="shared" si="12"/>
        <v>100</v>
      </c>
      <c r="X35" s="1579"/>
      <c r="Y35" s="3396"/>
      <c r="Z35" s="1580">
        <f t="shared" si="13"/>
        <v>111</v>
      </c>
      <c r="AA35" s="1576">
        <f t="shared" si="3"/>
        <v>1</v>
      </c>
      <c r="AB35" s="1576">
        <f t="shared" si="4"/>
        <v>1</v>
      </c>
      <c r="AC35" s="1576">
        <f t="shared" si="5"/>
        <v>1</v>
      </c>
    </row>
    <row r="36" spans="1:29" ht="15">
      <c r="A36" s="2908"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6"/>
      <c r="Q36" s="1572" t="str">
        <f>B36</f>
        <v>宗地面积</v>
      </c>
      <c r="R36" s="1573" t="s">
        <v>8</v>
      </c>
      <c r="S36" s="1574" t="e">
        <f t="shared" si="10"/>
        <v>#N/A</v>
      </c>
      <c r="T36" s="1573" t="s">
        <v>8</v>
      </c>
      <c r="U36" s="1574" t="e">
        <f t="shared" si="11"/>
        <v>#N/A</v>
      </c>
      <c r="V36" s="1573" t="s">
        <v>8</v>
      </c>
      <c r="W36" s="1574" t="e">
        <f t="shared" si="12"/>
        <v>#N/A</v>
      </c>
      <c r="X36" s="1567"/>
      <c r="Y36" s="3396"/>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6"/>
      <c r="Q37" s="1572" t="str">
        <f t="shared" ref="Q37:Q42" si="14">B37</f>
        <v>宗地形状</v>
      </c>
      <c r="R37" s="1573" t="s">
        <v>8</v>
      </c>
      <c r="S37" s="1574">
        <f t="shared" si="10"/>
        <v>100</v>
      </c>
      <c r="T37" s="1573" t="s">
        <v>8</v>
      </c>
      <c r="U37" s="1574">
        <f t="shared" si="11"/>
        <v>100</v>
      </c>
      <c r="V37" s="1573" t="s">
        <v>8</v>
      </c>
      <c r="W37" s="1574">
        <f t="shared" si="12"/>
        <v>100</v>
      </c>
      <c r="X37" s="1567"/>
      <c r="Y37" s="3396"/>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6"/>
      <c r="Q38" s="1572" t="str">
        <f t="shared" si="14"/>
        <v>宗地开发程度</v>
      </c>
      <c r="R38" s="1568" t="s">
        <v>8</v>
      </c>
      <c r="S38" s="1569">
        <f t="shared" si="10"/>
        <v>100</v>
      </c>
      <c r="T38" s="1568" t="s">
        <v>8</v>
      </c>
      <c r="U38" s="1569">
        <f t="shared" si="11"/>
        <v>100</v>
      </c>
      <c r="V38" s="1568" t="s">
        <v>8</v>
      </c>
      <c r="W38" s="1569">
        <f t="shared" si="12"/>
        <v>100</v>
      </c>
      <c r="X38" s="1570"/>
      <c r="Y38" s="3396"/>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t="s">
        <v>600</v>
      </c>
      <c r="Q39" s="1572" t="str">
        <f t="shared" si="14"/>
        <v>工程地质条件</v>
      </c>
      <c r="R39" s="1573" t="s">
        <v>8</v>
      </c>
      <c r="S39" s="1574">
        <f t="shared" si="10"/>
        <v>100</v>
      </c>
      <c r="T39" s="1573" t="s">
        <v>8</v>
      </c>
      <c r="U39" s="1574">
        <f t="shared" si="11"/>
        <v>100</v>
      </c>
      <c r="V39" s="1573" t="s">
        <v>8</v>
      </c>
      <c r="W39" s="1574">
        <f t="shared" si="12"/>
        <v>100</v>
      </c>
      <c r="X39" s="1567"/>
      <c r="Y39" s="3396"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6"/>
      <c r="Q40" s="1572">
        <f t="shared" si="14"/>
        <v>111</v>
      </c>
      <c r="R40" s="1573" t="s">
        <v>8</v>
      </c>
      <c r="S40" s="1574">
        <f t="shared" si="10"/>
        <v>100</v>
      </c>
      <c r="T40" s="1573" t="s">
        <v>8</v>
      </c>
      <c r="U40" s="1574">
        <f t="shared" si="11"/>
        <v>100</v>
      </c>
      <c r="V40" s="1573" t="s">
        <v>8</v>
      </c>
      <c r="W40" s="1574">
        <f t="shared" si="12"/>
        <v>100</v>
      </c>
      <c r="X40" s="1567"/>
      <c r="Y40" s="339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6"/>
      <c r="Q41" s="1572">
        <f t="shared" si="14"/>
        <v>111</v>
      </c>
      <c r="R41" s="1573" t="s">
        <v>8</v>
      </c>
      <c r="S41" s="1574">
        <f t="shared" si="10"/>
        <v>100</v>
      </c>
      <c r="T41" s="1573" t="s">
        <v>8</v>
      </c>
      <c r="U41" s="1574">
        <f t="shared" si="11"/>
        <v>100</v>
      </c>
      <c r="V41" s="1573" t="s">
        <v>8</v>
      </c>
      <c r="W41" s="1574">
        <f t="shared" si="12"/>
        <v>100</v>
      </c>
      <c r="X41" s="1567"/>
      <c r="Y41" s="339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6"/>
      <c r="Q42" s="1572">
        <f t="shared" si="14"/>
        <v>111</v>
      </c>
      <c r="R42" s="1577" t="s">
        <v>8</v>
      </c>
      <c r="S42" s="1578">
        <f t="shared" si="10"/>
        <v>100</v>
      </c>
      <c r="T42" s="1577" t="s">
        <v>8</v>
      </c>
      <c r="U42" s="1578">
        <f t="shared" si="11"/>
        <v>100</v>
      </c>
      <c r="V42" s="1577" t="s">
        <v>8</v>
      </c>
      <c r="W42" s="1578">
        <f t="shared" si="12"/>
        <v>100</v>
      </c>
      <c r="X42" s="1579"/>
      <c r="Y42" s="3396"/>
      <c r="Z42" s="1580">
        <f t="shared" si="13"/>
        <v>111</v>
      </c>
      <c r="AA42" s="1576">
        <f t="shared" si="3"/>
        <v>1</v>
      </c>
      <c r="AB42" s="1576">
        <f t="shared" si="4"/>
        <v>1</v>
      </c>
      <c r="AC42" s="1576">
        <f t="shared" si="5"/>
        <v>1</v>
      </c>
    </row>
    <row r="43" spans="1:29" ht="15">
      <c r="A43" s="607" t="s">
        <v>555</v>
      </c>
      <c r="B43" s="608" t="s">
        <v>2938</v>
      </c>
      <c r="C43" s="609" t="s">
        <v>1</v>
      </c>
      <c r="D43" s="610"/>
      <c r="E43" s="611"/>
      <c r="F43" s="612"/>
      <c r="G43" s="613"/>
      <c r="H43" s="614"/>
      <c r="I43" s="611"/>
      <c r="J43" s="614"/>
      <c r="K43" s="1339"/>
      <c r="L43" s="2145"/>
      <c r="M43" s="2135"/>
      <c r="N43" s="2135"/>
      <c r="O43" s="2146"/>
      <c r="P43" s="3359" t="str">
        <f>A43</f>
        <v>成交单价</v>
      </c>
      <c r="Q43" s="3359"/>
      <c r="R43" s="3360">
        <f>E43</f>
        <v>0</v>
      </c>
      <c r="S43" s="3360"/>
      <c r="T43" s="3360">
        <f>G43</f>
        <v>0</v>
      </c>
      <c r="U43" s="3360"/>
      <c r="V43" s="3360">
        <f>I43</f>
        <v>0</v>
      </c>
      <c r="W43" s="3360"/>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359" t="str">
        <f>A44</f>
        <v>比较价格（元/平方米）</v>
      </c>
      <c r="Q44" s="3359"/>
      <c r="R44" s="3361" t="e">
        <f>ROUND(PRODUCT(R43,AA9:AA42),0)</f>
        <v>#DIV/0!</v>
      </c>
      <c r="S44" s="3361"/>
      <c r="T44" s="3361" t="e">
        <f>ROUND(PRODUCT(T43,AB9:AB42),0)</f>
        <v>#DIV/0!</v>
      </c>
      <c r="U44" s="3361"/>
      <c r="V44" s="3361" t="e">
        <f>ROUND(PRODUCT(V43,AC9:AC42),0)</f>
        <v>#DIV/0!</v>
      </c>
      <c r="W44" s="3361"/>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1"/>
      <c r="L45" s="2145"/>
      <c r="M45" s="2135"/>
      <c r="N45" s="2135"/>
      <c r="O45" s="2146"/>
      <c r="P45" s="3356" t="str">
        <f>A45</f>
        <v>估价对象XX用房的比较价格（楼面单价，元/平方米）</v>
      </c>
      <c r="Q45" s="3357"/>
      <c r="R45" s="3358" t="e">
        <f>ROUND(AVERAGE(R44:V44),0)</f>
        <v>#DIV/0!</v>
      </c>
      <c r="S45" s="3358"/>
      <c r="T45" s="3358"/>
      <c r="U45" s="3358"/>
      <c r="V45" s="3358"/>
      <c r="W45" s="335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03" t="s">
        <v>2286</v>
      </c>
      <c r="H52" s="3404"/>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295664.59999999998</v>
      </c>
      <c r="F53" s="1951" t="e">
        <f t="shared" ref="F53:F62" si="15">ROUND(B53*E53/10000,0)</f>
        <v>#DIV/0!</v>
      </c>
      <c r="G53" s="3405"/>
      <c r="H53" s="340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07"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0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0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0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2296</v>
      </c>
      <c r="E63" s="643">
        <f>IF(B43="楼面地价",SUM(E53:E62),'数据-汇总表'!D3)</f>
        <v>84475.6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2019-6-1</v>
      </c>
      <c r="D65" s="2800">
        <f>EDATE(C65,-3)</f>
        <v>43525</v>
      </c>
      <c r="E65" s="2800">
        <f t="shared" ref="E65:N65" si="18">EDATE(D65,-3)</f>
        <v>43435</v>
      </c>
      <c r="F65" s="2800">
        <f t="shared" si="18"/>
        <v>43344</v>
      </c>
      <c r="G65" s="2800">
        <f t="shared" si="18"/>
        <v>43252</v>
      </c>
      <c r="H65" s="2800">
        <f t="shared" si="18"/>
        <v>43160</v>
      </c>
      <c r="I65" s="2800">
        <f t="shared" si="18"/>
        <v>43070</v>
      </c>
      <c r="J65" s="2800">
        <f t="shared" si="18"/>
        <v>42979</v>
      </c>
      <c r="K65" s="2800">
        <f t="shared" si="18"/>
        <v>42887</v>
      </c>
      <c r="L65" s="2800">
        <f t="shared" si="18"/>
        <v>42795</v>
      </c>
      <c r="M65" s="2800">
        <f t="shared" si="18"/>
        <v>42705</v>
      </c>
      <c r="N65" s="2800">
        <f t="shared" si="18"/>
        <v>42614</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2535</v>
      </c>
      <c r="B67" s="646"/>
      <c r="C67" s="2795" t="str">
        <f>YEAR(C65)&amp;"-"&amp;ROUNDUP(MONTH(C65)/3,0)</f>
        <v>2019-2</v>
      </c>
      <c r="D67" s="2802" t="str">
        <f t="shared" ref="D67:N67" si="19">YEAR(D65)&amp;"-"&amp;ROUNDUP(MONTH(D65)/3,0)</f>
        <v>2019-1</v>
      </c>
      <c r="E67" s="2802" t="str">
        <f t="shared" si="19"/>
        <v>2018-4</v>
      </c>
      <c r="F67" s="2802" t="str">
        <f t="shared" si="19"/>
        <v>2018-3</v>
      </c>
      <c r="G67" s="2802" t="str">
        <f t="shared" si="19"/>
        <v>2018-2</v>
      </c>
      <c r="H67" s="2802" t="str">
        <f t="shared" si="19"/>
        <v>2018-1</v>
      </c>
      <c r="I67" s="2802" t="str">
        <f t="shared" si="19"/>
        <v>2017-4</v>
      </c>
      <c r="J67" s="2802" t="str">
        <f t="shared" si="19"/>
        <v>2017-3</v>
      </c>
      <c r="K67" s="2802" t="str">
        <f t="shared" si="19"/>
        <v>2017-2</v>
      </c>
      <c r="L67" s="2802" t="str">
        <f t="shared" si="19"/>
        <v>2017-1</v>
      </c>
      <c r="M67" s="2802" t="str">
        <f t="shared" si="19"/>
        <v>2016-4</v>
      </c>
      <c r="N67" s="2802" t="str">
        <f t="shared" si="19"/>
        <v>2016-3</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2550</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2940</v>
      </c>
      <c r="G3" s="1038">
        <f>IF(F3="宗地容积率",'数据-汇总表'!I4,IF(F3="估价对象容积率",'数据-汇总表'!I6,'数据-汇总表'!I7))</f>
        <v>3.5</v>
      </c>
      <c r="H3" s="1414" t="s">
        <v>928</v>
      </c>
      <c r="I3" s="1039">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22">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17" t="str">
        <f>IF(E2="商业",IF(C8="不临58条商业街","",2),"")</f>
        <v/>
      </c>
      <c r="B7" s="1427" t="s">
        <v>931</v>
      </c>
      <c r="C7" s="1042" t="e">
        <f>IF(C8="不临58条商业街",1,ROUND(1+(1.6*E8+1.2*E9+0.8*E10+0.4*E11)*C9,4))</f>
        <v>#DIV/0!</v>
      </c>
      <c r="D7" s="1428" t="s">
        <v>932</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3.5</v>
      </c>
      <c r="AA7" s="2193"/>
      <c r="AB7" s="2193"/>
      <c r="AC7" s="2194"/>
      <c r="AD7" s="2930"/>
      <c r="AE7" s="2930"/>
      <c r="AF7" s="2930"/>
      <c r="AG7" s="2930"/>
      <c r="AH7" s="2930"/>
      <c r="AI7" s="2930"/>
      <c r="AJ7" s="2931"/>
    </row>
    <row r="8" spans="1:39" ht="15">
      <c r="A8" s="3418"/>
      <c r="B8" s="1414" t="s">
        <v>933</v>
      </c>
      <c r="C8" s="1529"/>
      <c r="D8" s="1044" t="s">
        <v>934</v>
      </c>
      <c r="E8" s="1045"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09" t="s">
        <v>2785</v>
      </c>
      <c r="X8" s="3410"/>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18"/>
      <c r="B9" s="1414" t="s">
        <v>936</v>
      </c>
      <c r="C9" s="1046">
        <f>SUMIF(修正!C59:C119,C8,修正!E59:E119)</f>
        <v>0</v>
      </c>
      <c r="D9" s="1047" t="s">
        <v>937</v>
      </c>
      <c r="E9" s="1047"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08"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8"/>
      <c r="B10" s="1414" t="s">
        <v>939</v>
      </c>
      <c r="C10" s="1047">
        <f>SUMIF(修正!C59:C119,C8,修正!F59:F119)</f>
        <v>0</v>
      </c>
      <c r="D10" s="1047" t="s">
        <v>940</v>
      </c>
      <c r="E10" s="1047"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0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8"/>
      <c r="B11" s="1435" t="s">
        <v>942</v>
      </c>
      <c r="C11" s="1048">
        <f>C10/4</f>
        <v>0</v>
      </c>
      <c r="D11" s="1048" t="s">
        <v>943</v>
      </c>
      <c r="E11" s="1048"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08" t="s">
        <v>2783</v>
      </c>
      <c r="X11" s="1047" t="s">
        <v>2768</v>
      </c>
      <c r="Y11" s="1653">
        <f>$G$3</f>
        <v>3.5</v>
      </c>
      <c r="Z11" s="1653">
        <f t="shared" ref="Z11:AJ11" si="3">$G$3</f>
        <v>3.5</v>
      </c>
      <c r="AA11" s="1653">
        <f t="shared" si="3"/>
        <v>3.5</v>
      </c>
      <c r="AB11" s="1653">
        <f t="shared" si="3"/>
        <v>3.5</v>
      </c>
      <c r="AC11" s="1653">
        <f t="shared" si="3"/>
        <v>3.5</v>
      </c>
      <c r="AD11" s="1653">
        <f t="shared" si="3"/>
        <v>3.5</v>
      </c>
      <c r="AE11" s="1653">
        <f t="shared" si="3"/>
        <v>3.5</v>
      </c>
      <c r="AF11" s="1653">
        <f t="shared" si="3"/>
        <v>3.5</v>
      </c>
      <c r="AG11" s="1653">
        <f t="shared" si="3"/>
        <v>3.5</v>
      </c>
      <c r="AH11" s="1653">
        <f t="shared" si="3"/>
        <v>3.5</v>
      </c>
      <c r="AI11" s="1653">
        <f t="shared" si="3"/>
        <v>3.5</v>
      </c>
      <c r="AJ11" s="1653">
        <f t="shared" si="3"/>
        <v>3.5</v>
      </c>
    </row>
    <row r="12" spans="1:39" ht="25.5" thickBot="1">
      <c r="A12" s="3417" t="s">
        <v>1871</v>
      </c>
      <c r="B12" s="1439" t="s">
        <v>945</v>
      </c>
      <c r="C12" s="1042">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08"/>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9"/>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38">
        <v>12</v>
      </c>
      <c r="S13" s="2927"/>
      <c r="T13" s="2938" t="e">
        <f t="shared" si="0"/>
        <v>#DIV/0!</v>
      </c>
      <c r="U13" s="2927"/>
      <c r="V13" s="2938" t="e">
        <f t="shared" si="1"/>
        <v>#DIV/0!</v>
      </c>
      <c r="W13" s="3408"/>
      <c r="X13" s="2935"/>
      <c r="Y13" s="2934">
        <f>(-0.163*(Y12^2)-0.59*Y12+7617)*(10^(-4))/Y11</f>
        <v>0.21762857142857145</v>
      </c>
      <c r="Z13" s="2934">
        <f t="shared" ref="Z13:AJ13" si="5">(-0.163*(Z12^2)-0.59*Z12+7617)*(10^(-4))/Z11</f>
        <v>0.21762857142857145</v>
      </c>
      <c r="AA13" s="2934">
        <f t="shared" si="5"/>
        <v>0.21762857142857145</v>
      </c>
      <c r="AB13" s="2934">
        <f t="shared" si="5"/>
        <v>0.21762857142857145</v>
      </c>
      <c r="AC13" s="2934">
        <f t="shared" si="5"/>
        <v>0.21762857142857145</v>
      </c>
      <c r="AD13" s="2934">
        <f t="shared" si="5"/>
        <v>0.21762857142857145</v>
      </c>
      <c r="AE13" s="2934">
        <f t="shared" si="5"/>
        <v>0.21762857142857145</v>
      </c>
      <c r="AF13" s="2934">
        <f t="shared" si="5"/>
        <v>0.21762857142857145</v>
      </c>
      <c r="AG13" s="2934">
        <f t="shared" si="5"/>
        <v>0.21762857142857145</v>
      </c>
      <c r="AH13" s="2934">
        <f t="shared" si="5"/>
        <v>0.21762857142857145</v>
      </c>
      <c r="AI13" s="2934">
        <f t="shared" si="5"/>
        <v>0.21762857142857145</v>
      </c>
      <c r="AJ13" s="2934">
        <f t="shared" si="5"/>
        <v>0.21762857142857145</v>
      </c>
    </row>
    <row r="14" spans="1:39" ht="12.75" customHeight="1" thickBot="1">
      <c r="A14" s="3419"/>
      <c r="B14" s="1451"/>
      <c r="C14" s="1452"/>
      <c r="D14" s="1453"/>
      <c r="E14" s="1453"/>
      <c r="F14" s="1454"/>
      <c r="G14" s="1455" t="s">
        <v>948</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20"/>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8">
        <v>14</v>
      </c>
      <c r="S15" s="2927"/>
      <c r="T15" s="2938" t="e">
        <f t="shared" si="0"/>
        <v>#DIV/0!</v>
      </c>
      <c r="U15" s="2927"/>
      <c r="V15" s="2938" t="e">
        <f t="shared" si="1"/>
        <v>#DIV/0!</v>
      </c>
      <c r="W15" s="2190"/>
      <c r="X15" s="2190"/>
      <c r="Y15" s="2190"/>
      <c r="Z15" s="2190"/>
      <c r="AA15" s="2190"/>
      <c r="AB15" s="2190"/>
      <c r="AC15" s="2191"/>
    </row>
    <row r="16" spans="1:39" ht="24">
      <c r="A16" s="3417"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8"/>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43627</v>
      </c>
      <c r="H19" s="1475" t="s">
        <v>2941</v>
      </c>
      <c r="I19" s="2785" t="str">
        <f>IF(H19="季度增幅（自定义）",SUMIF(N21:N24,E2,O21:O24),"")</f>
        <v/>
      </c>
      <c r="J19" s="1471"/>
      <c r="K19" s="1481"/>
      <c r="L19" s="3041" t="s">
        <v>2843</v>
      </c>
      <c r="M19" s="3042">
        <f>ROUND(SUMIF(地价!B2:F2,E2,地价!B23:F23),0)</f>
        <v>0</v>
      </c>
      <c r="N19" s="2787" t="s">
        <v>1676</v>
      </c>
      <c r="O19" s="2786">
        <f>ROUNDDOWN(DATEDIF(E19,G19,"M")/3,0)</f>
        <v>21</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971</v>
      </c>
      <c r="C20" s="2781" t="e">
        <f>ROUND(POWER(1+G20,J20-I20)*(POWER(1+G20,I20)-1)/(POWER(1+G20,J20)-1),4)</f>
        <v>#DIV/0!</v>
      </c>
      <c r="D20" s="2782" t="s">
        <v>972</v>
      </c>
      <c r="E20" s="3097">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3" t="s">
        <v>2844</v>
      </c>
      <c r="M20" s="3044">
        <f>ROUND(SUMPRODUCT((地价!A4:A23=YEAR(G19)&amp;"-"&amp;ROUNDUP(MONTH(G19)/3,0))*(地价!B2:F2=E2)*(地价!B4:F23)),0)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0</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0</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0</v>
      </c>
      <c r="R23" s="2926"/>
      <c r="S23" s="2926"/>
      <c r="T23" s="2926"/>
      <c r="U23" s="2926"/>
      <c r="V23" s="2926"/>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0</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0</v>
      </c>
      <c r="R25" s="2926"/>
      <c r="S25" s="2926"/>
      <c r="T25" s="2926"/>
      <c r="U25" s="2926"/>
      <c r="V25" s="2926"/>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3" t="s">
        <v>2967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4"/>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4"/>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5"/>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2252</v>
      </c>
      <c r="G46" s="2432" t="s">
        <v>1014</v>
      </c>
      <c r="H46" s="2415" t="s">
        <v>2420</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1020</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1021</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9" t="s">
        <v>2943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8" t="s">
        <v>2942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1028</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2253</v>
      </c>
      <c r="G57" s="2432" t="s">
        <v>1014</v>
      </c>
      <c r="H57" s="2415" t="s">
        <v>2420</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1030</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1021</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9" t="s">
        <v>2944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8" t="s">
        <v>2942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1028</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2254</v>
      </c>
      <c r="G68" s="2432" t="s">
        <v>1014</v>
      </c>
      <c r="H68" s="2415" t="s">
        <v>2420</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1032</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1033</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8" t="s">
        <v>2942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1028</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2255</v>
      </c>
      <c r="G79" s="2432" t="s">
        <v>1014</v>
      </c>
      <c r="H79" s="2415" t="s">
        <v>2420</v>
      </c>
      <c r="I79" s="2432" t="s">
        <v>1012</v>
      </c>
      <c r="J79" s="2435" t="s">
        <v>1015</v>
      </c>
      <c r="K79" s="2435" t="s">
        <v>1016</v>
      </c>
      <c r="L79" s="2435" t="s">
        <v>1017</v>
      </c>
      <c r="M79" s="2435" t="s">
        <v>1018</v>
      </c>
      <c r="N79" s="2435" t="s">
        <v>1019</v>
      </c>
      <c r="AC79" s="1405"/>
      <c r="AD79" s="1404"/>
      <c r="AJ79" s="1403"/>
      <c r="AN79" s="1404"/>
    </row>
    <row r="80" spans="1:40" ht="36">
      <c r="A80" s="1066" t="s">
        <v>1037</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1033</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8" t="s">
        <v>2942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1038</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1" t="s">
        <v>1633</v>
      </c>
      <c r="B90" s="3421"/>
      <c r="C90" s="3421"/>
      <c r="D90" s="3421"/>
      <c r="E90" s="3421"/>
      <c r="F90" s="3421"/>
      <c r="G90" s="3421"/>
      <c r="H90" s="3421"/>
      <c r="I90" s="3421"/>
      <c r="J90" s="3421"/>
      <c r="K90" s="2451"/>
      <c r="L90" s="2451"/>
      <c r="M90" s="2451"/>
      <c r="N90" s="2451"/>
    </row>
    <row r="91" spans="1:40">
      <c r="A91" s="3422" t="s">
        <v>1443</v>
      </c>
      <c r="B91" s="3422" t="s">
        <v>1634</v>
      </c>
      <c r="C91" s="1139" t="s">
        <v>1635</v>
      </c>
      <c r="D91" s="1140"/>
      <c r="E91" s="1140"/>
      <c r="F91" s="1140"/>
      <c r="G91" s="1140"/>
      <c r="H91" s="1140"/>
      <c r="I91" s="1140"/>
      <c r="J91" s="1141"/>
      <c r="K91" s="1133"/>
      <c r="L91" s="1133"/>
      <c r="M91" s="1133"/>
      <c r="N91" s="1133"/>
    </row>
    <row r="92" spans="1:40">
      <c r="A92" s="3422"/>
      <c r="B92" s="3422"/>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11"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1"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12"/>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12"/>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12"/>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12"/>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12"/>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12"/>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12"/>
      <c r="B108" s="341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3"/>
      <c r="B109" s="3415"/>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16" t="s">
        <v>1639</v>
      </c>
      <c r="B110" s="3416"/>
      <c r="C110" s="3416"/>
      <c r="D110" s="3416"/>
      <c r="E110" s="3416"/>
      <c r="F110" s="3416"/>
      <c r="G110" s="3416"/>
      <c r="H110" s="3416"/>
      <c r="I110" s="3416"/>
      <c r="J110" s="3416"/>
      <c r="K110" s="2449"/>
      <c r="L110" s="2449"/>
      <c r="M110" s="2449"/>
      <c r="N110" s="2449"/>
    </row>
    <row r="112" spans="1:14" ht="12.75" thickBot="1"/>
    <row r="113" spans="1:13" ht="25.5" thickBot="1">
      <c r="A113" s="1015" t="s">
        <v>895</v>
      </c>
      <c r="B113" s="2452">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22" t="s">
        <v>1007</v>
      </c>
      <c r="B18" s="1153" t="s">
        <v>1446</v>
      </c>
      <c r="C18" s="1130" t="s">
        <v>1447</v>
      </c>
      <c r="D18" s="1131"/>
      <c r="E18" s="1153">
        <v>1</v>
      </c>
      <c r="F18" s="1132" t="s">
        <v>1448</v>
      </c>
      <c r="G18" s="1133"/>
      <c r="H18" s="1104"/>
      <c r="I18" s="1104"/>
    </row>
    <row r="19" spans="1:9" s="1599" customFormat="1" ht="19.5" customHeight="1">
      <c r="A19" s="3422"/>
      <c r="B19" s="3422" t="s">
        <v>1449</v>
      </c>
      <c r="C19" s="1130" t="s">
        <v>1450</v>
      </c>
      <c r="D19" s="1131"/>
      <c r="E19" s="1153">
        <v>0.9</v>
      </c>
      <c r="F19" s="1132" t="s">
        <v>1451</v>
      </c>
      <c r="G19" s="1133"/>
      <c r="H19" s="1104"/>
      <c r="I19" s="1104"/>
    </row>
    <row r="20" spans="1:9" s="1599" customFormat="1" ht="19.5" customHeight="1">
      <c r="A20" s="3422"/>
      <c r="B20" s="3422"/>
      <c r="C20" s="1130" t="s">
        <v>1452</v>
      </c>
      <c r="D20" s="1131"/>
      <c r="E20" s="1153">
        <v>1.1000000000000001</v>
      </c>
      <c r="F20" s="1132" t="s">
        <v>1453</v>
      </c>
      <c r="G20" s="1133"/>
      <c r="H20" s="1104"/>
      <c r="I20" s="1104"/>
    </row>
    <row r="21" spans="1:9" s="1599" customFormat="1" ht="19.5" customHeight="1">
      <c r="A21" s="3422"/>
      <c r="B21" s="3422"/>
      <c r="C21" s="1130" t="s">
        <v>1454</v>
      </c>
      <c r="D21" s="1131"/>
      <c r="E21" s="1153">
        <v>0.8</v>
      </c>
      <c r="F21" s="1132" t="s">
        <v>1455</v>
      </c>
      <c r="G21" s="1133"/>
      <c r="H21" s="1104"/>
      <c r="I21" s="1104"/>
    </row>
    <row r="22" spans="1:9" s="1599" customFormat="1" ht="19.5" customHeight="1">
      <c r="A22" s="3422"/>
      <c r="B22" s="3422"/>
      <c r="C22" s="1130" t="s">
        <v>1456</v>
      </c>
      <c r="D22" s="1131"/>
      <c r="E22" s="1153">
        <v>0.5</v>
      </c>
      <c r="F22" s="1132"/>
      <c r="G22" s="1133"/>
      <c r="H22" s="1104"/>
      <c r="I22" s="1104"/>
    </row>
    <row r="23" spans="1:9" s="1599" customFormat="1" ht="19.5" customHeight="1">
      <c r="A23" s="3422" t="s">
        <v>1029</v>
      </c>
      <c r="B23" s="1153" t="s">
        <v>1446</v>
      </c>
      <c r="C23" s="1130" t="s">
        <v>1457</v>
      </c>
      <c r="D23" s="1131"/>
      <c r="E23" s="1153">
        <v>1</v>
      </c>
      <c r="F23" s="1132" t="s">
        <v>1458</v>
      </c>
      <c r="G23" s="1133"/>
      <c r="H23" s="1104"/>
      <c r="I23" s="1104"/>
    </row>
    <row r="24" spans="1:9" s="1599" customFormat="1" ht="19.5" customHeight="1">
      <c r="A24" s="3422"/>
      <c r="B24" s="3422" t="s">
        <v>1449</v>
      </c>
      <c r="C24" s="1130" t="s">
        <v>1459</v>
      </c>
      <c r="D24" s="1131"/>
      <c r="E24" s="1153">
        <v>0.5</v>
      </c>
      <c r="F24" s="1132"/>
      <c r="G24" s="1133"/>
      <c r="H24" s="1104"/>
      <c r="I24" s="1104"/>
    </row>
    <row r="25" spans="1:9" s="1599" customFormat="1" ht="19.5" customHeight="1">
      <c r="A25" s="3422"/>
      <c r="B25" s="3422"/>
      <c r="C25" s="1130" t="s">
        <v>1460</v>
      </c>
      <c r="D25" s="1131"/>
      <c r="E25" s="1153">
        <v>1.1000000000000001</v>
      </c>
      <c r="F25" s="1132"/>
      <c r="G25" s="1133"/>
      <c r="H25" s="1104"/>
      <c r="I25" s="1104"/>
    </row>
    <row r="26" spans="1:9" s="1599" customFormat="1" ht="19.5" customHeight="1">
      <c r="A26" s="3422"/>
      <c r="B26" s="3422"/>
      <c r="C26" s="1130" t="s">
        <v>1461</v>
      </c>
      <c r="D26" s="1131"/>
      <c r="E26" s="1153">
        <v>1.1000000000000001</v>
      </c>
      <c r="F26" s="1132"/>
      <c r="G26" s="1133"/>
      <c r="H26" s="1104"/>
      <c r="I26" s="1104"/>
    </row>
    <row r="27" spans="1:9" s="1599" customFormat="1" ht="19.5" customHeight="1">
      <c r="A27" s="3422"/>
      <c r="B27" s="3422"/>
      <c r="C27" s="1130" t="s">
        <v>1462</v>
      </c>
      <c r="D27" s="1131"/>
      <c r="E27" s="1153">
        <v>0.9</v>
      </c>
      <c r="F27" s="1132" t="s">
        <v>1463</v>
      </c>
      <c r="G27" s="1133"/>
      <c r="H27" s="1104"/>
      <c r="I27" s="1104"/>
    </row>
    <row r="28" spans="1:9" s="1599" customFormat="1" ht="19.5" customHeight="1">
      <c r="A28" s="3422"/>
      <c r="B28" s="3422"/>
      <c r="C28" s="1130" t="s">
        <v>1464</v>
      </c>
      <c r="D28" s="1131"/>
      <c r="E28" s="1153">
        <v>0.9</v>
      </c>
      <c r="F28" s="1132" t="s">
        <v>1465</v>
      </c>
      <c r="G28" s="1133"/>
      <c r="H28" s="1104"/>
      <c r="I28" s="1104"/>
    </row>
    <row r="29" spans="1:9" s="1599" customFormat="1" ht="19.5" customHeight="1">
      <c r="A29" s="3422"/>
      <c r="B29" s="3422"/>
      <c r="C29" s="1130" t="s">
        <v>1466</v>
      </c>
      <c r="D29" s="1131"/>
      <c r="E29" s="1153">
        <v>0.9</v>
      </c>
      <c r="F29" s="1132" t="s">
        <v>1467</v>
      </c>
      <c r="G29" s="1133"/>
      <c r="H29" s="1104"/>
      <c r="I29" s="1104"/>
    </row>
    <row r="30" spans="1:9" s="1599" customFormat="1" ht="19.5" customHeight="1">
      <c r="A30" s="3422"/>
      <c r="B30" s="3422"/>
      <c r="C30" s="1130" t="s">
        <v>1468</v>
      </c>
      <c r="D30" s="1131"/>
      <c r="E30" s="1153">
        <v>0.9</v>
      </c>
      <c r="F30" s="1132" t="s">
        <v>1469</v>
      </c>
      <c r="G30" s="1133"/>
      <c r="H30" s="1104"/>
      <c r="I30" s="1104"/>
    </row>
    <row r="31" spans="1:9" s="1599" customFormat="1" ht="19.5" customHeight="1">
      <c r="A31" s="3422"/>
      <c r="B31" s="3422"/>
      <c r="C31" s="1130" t="s">
        <v>1470</v>
      </c>
      <c r="D31" s="1131"/>
      <c r="E31" s="1153">
        <v>0.8</v>
      </c>
      <c r="F31" s="1132" t="s">
        <v>1471</v>
      </c>
      <c r="G31" s="1133"/>
      <c r="H31" s="1104"/>
      <c r="I31" s="1104"/>
    </row>
    <row r="32" spans="1:9" s="1599" customFormat="1" ht="19.5" customHeight="1">
      <c r="A32" s="3422"/>
      <c r="B32" s="3422"/>
      <c r="C32" s="1130" t="s">
        <v>1472</v>
      </c>
      <c r="D32" s="1131"/>
      <c r="E32" s="1153">
        <v>0.8</v>
      </c>
      <c r="F32" s="1132" t="s">
        <v>1473</v>
      </c>
      <c r="G32" s="1133"/>
      <c r="H32" s="1104"/>
      <c r="I32" s="1104"/>
    </row>
    <row r="33" spans="1:9" s="1599" customFormat="1" ht="19.5" customHeight="1">
      <c r="A33" s="3422" t="s">
        <v>1474</v>
      </c>
      <c r="B33" s="1153" t="s">
        <v>1446</v>
      </c>
      <c r="C33" s="1130" t="s">
        <v>1475</v>
      </c>
      <c r="D33" s="1131"/>
      <c r="E33" s="1153">
        <v>1</v>
      </c>
      <c r="F33" s="1132" t="s">
        <v>1476</v>
      </c>
      <c r="G33" s="1133"/>
      <c r="H33" s="1104"/>
      <c r="I33" s="1104"/>
    </row>
    <row r="34" spans="1:9" s="1599" customFormat="1" ht="19.5" customHeight="1">
      <c r="A34" s="3422"/>
      <c r="B34" s="1153" t="s">
        <v>1449</v>
      </c>
      <c r="C34" s="1130" t="s">
        <v>1477</v>
      </c>
      <c r="D34" s="1131"/>
      <c r="E34" s="1153">
        <v>1.5</v>
      </c>
      <c r="F34" s="1132" t="s">
        <v>1478</v>
      </c>
      <c r="G34" s="1133"/>
      <c r="H34" s="1104"/>
      <c r="I34" s="1104"/>
    </row>
    <row r="35" spans="1:9" s="1599" customFormat="1" ht="19.5" customHeight="1">
      <c r="A35" s="3422" t="s">
        <v>1432</v>
      </c>
      <c r="B35" s="1153" t="s">
        <v>1446</v>
      </c>
      <c r="C35" s="1130" t="s">
        <v>1479</v>
      </c>
      <c r="D35" s="1131"/>
      <c r="E35" s="1153">
        <v>1</v>
      </c>
      <c r="F35" s="1132" t="s">
        <v>1480</v>
      </c>
      <c r="G35" s="1133"/>
      <c r="H35" s="1104"/>
      <c r="I35" s="1104"/>
    </row>
    <row r="36" spans="1:9" s="1599" customFormat="1" ht="19.5" customHeight="1">
      <c r="A36" s="3422"/>
      <c r="B36" s="3422" t="s">
        <v>1449</v>
      </c>
      <c r="C36" s="1130" t="s">
        <v>1481</v>
      </c>
      <c r="D36" s="1131"/>
      <c r="E36" s="1153">
        <v>1</v>
      </c>
      <c r="F36" s="1132" t="s">
        <v>1482</v>
      </c>
      <c r="G36" s="1133"/>
      <c r="H36" s="1104"/>
      <c r="I36" s="1104"/>
    </row>
    <row r="37" spans="1:9" s="1599" customFormat="1" ht="19.5" customHeight="1">
      <c r="A37" s="3422"/>
      <c r="B37" s="3422"/>
      <c r="C37" s="1130" t="s">
        <v>1483</v>
      </c>
      <c r="D37" s="1131"/>
      <c r="E37" s="1153">
        <v>1.5</v>
      </c>
      <c r="F37" s="1132" t="s">
        <v>1484</v>
      </c>
      <c r="G37" s="1133"/>
      <c r="H37" s="1104"/>
      <c r="I37" s="1104"/>
    </row>
    <row r="38" spans="1:9" s="1599" customFormat="1" ht="19.5" customHeight="1">
      <c r="A38" s="3422"/>
      <c r="B38" s="3422"/>
      <c r="C38" s="1130" t="s">
        <v>1485</v>
      </c>
      <c r="D38" s="1131"/>
      <c r="E38" s="1153">
        <v>1</v>
      </c>
      <c r="F38" s="1132" t="s">
        <v>1486</v>
      </c>
      <c r="G38" s="1133"/>
      <c r="H38" s="1104"/>
      <c r="I38" s="1104"/>
    </row>
    <row r="39" spans="1:9" s="1599" customFormat="1" ht="19.5" customHeight="1">
      <c r="A39" s="3422"/>
      <c r="B39" s="3422"/>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2" t="s">
        <v>1501</v>
      </c>
      <c r="C61" s="1067" t="s">
        <v>1502</v>
      </c>
      <c r="D61" s="1067" t="s">
        <v>1503</v>
      </c>
      <c r="E61" s="1138">
        <v>0.5</v>
      </c>
      <c r="F61" s="1153">
        <v>80</v>
      </c>
      <c r="H61" s="1104">
        <f>SUMIF(C59:C119,基准地价!C8,E59:E119)</f>
        <v>0</v>
      </c>
    </row>
    <row r="62" spans="1:8" s="1104" customFormat="1" ht="24">
      <c r="A62" s="1153">
        <v>2</v>
      </c>
      <c r="B62" s="3422"/>
      <c r="C62" s="1067" t="s">
        <v>1504</v>
      </c>
      <c r="D62" s="1067" t="s">
        <v>1505</v>
      </c>
      <c r="E62" s="1138">
        <v>0.5</v>
      </c>
      <c r="F62" s="1153">
        <v>80</v>
      </c>
    </row>
    <row r="63" spans="1:8" s="1104" customFormat="1" ht="36">
      <c r="A63" s="1153">
        <v>3</v>
      </c>
      <c r="B63" s="3422"/>
      <c r="C63" s="1067" t="s">
        <v>1506</v>
      </c>
      <c r="D63" s="1067" t="s">
        <v>1507</v>
      </c>
      <c r="E63" s="1138">
        <v>0.5</v>
      </c>
      <c r="F63" s="1153">
        <v>80</v>
      </c>
    </row>
    <row r="64" spans="1:8" s="1104" customFormat="1" ht="36">
      <c r="A64" s="1153">
        <v>4</v>
      </c>
      <c r="B64" s="3422"/>
      <c r="C64" s="1067" t="s">
        <v>1508</v>
      </c>
      <c r="D64" s="1067" t="s">
        <v>1509</v>
      </c>
      <c r="E64" s="1138">
        <v>0.4</v>
      </c>
      <c r="F64" s="1153">
        <v>60</v>
      </c>
    </row>
    <row r="65" spans="1:6" s="1104" customFormat="1" ht="36">
      <c r="A65" s="1153">
        <v>5</v>
      </c>
      <c r="B65" s="3422"/>
      <c r="C65" s="1067" t="s">
        <v>1510</v>
      </c>
      <c r="D65" s="1067" t="s">
        <v>1511</v>
      </c>
      <c r="E65" s="1138">
        <v>0.2</v>
      </c>
      <c r="F65" s="1153">
        <v>30</v>
      </c>
    </row>
    <row r="66" spans="1:6" s="1104" customFormat="1" ht="36">
      <c r="A66" s="1153">
        <v>6</v>
      </c>
      <c r="B66" s="3422"/>
      <c r="C66" s="1067" t="s">
        <v>1512</v>
      </c>
      <c r="D66" s="1067" t="s">
        <v>1513</v>
      </c>
      <c r="E66" s="1138">
        <v>0.3</v>
      </c>
      <c r="F66" s="1153">
        <v>50</v>
      </c>
    </row>
    <row r="67" spans="1:6" s="1104" customFormat="1" ht="36">
      <c r="A67" s="1153">
        <v>7</v>
      </c>
      <c r="B67" s="3422"/>
      <c r="C67" s="1067" t="s">
        <v>1514</v>
      </c>
      <c r="D67" s="1067" t="s">
        <v>1515</v>
      </c>
      <c r="E67" s="1138">
        <v>0.2</v>
      </c>
      <c r="F67" s="1153">
        <v>30</v>
      </c>
    </row>
    <row r="68" spans="1:6" s="1104" customFormat="1" ht="36">
      <c r="A68" s="1153">
        <v>8</v>
      </c>
      <c r="B68" s="3422"/>
      <c r="C68" s="1067" t="s">
        <v>1516</v>
      </c>
      <c r="D68" s="1067" t="s">
        <v>1517</v>
      </c>
      <c r="E68" s="1138">
        <v>0.2</v>
      </c>
      <c r="F68" s="1153">
        <v>30</v>
      </c>
    </row>
    <row r="69" spans="1:6" s="1104" customFormat="1" ht="36">
      <c r="A69" s="1153">
        <v>9</v>
      </c>
      <c r="B69" s="3422"/>
      <c r="C69" s="1067" t="s">
        <v>1518</v>
      </c>
      <c r="D69" s="1067" t="s">
        <v>1519</v>
      </c>
      <c r="E69" s="1138">
        <v>0.2</v>
      </c>
      <c r="F69" s="1153">
        <v>30</v>
      </c>
    </row>
    <row r="70" spans="1:6" s="1104" customFormat="1" ht="48">
      <c r="A70" s="1153">
        <v>10</v>
      </c>
      <c r="B70" s="3422"/>
      <c r="C70" s="1067" t="s">
        <v>1520</v>
      </c>
      <c r="D70" s="1067" t="s">
        <v>1521</v>
      </c>
      <c r="E70" s="1138">
        <v>0.2</v>
      </c>
      <c r="F70" s="1153">
        <v>30</v>
      </c>
    </row>
    <row r="71" spans="1:6" s="1104" customFormat="1" ht="48">
      <c r="A71" s="1153">
        <v>11</v>
      </c>
      <c r="B71" s="3422"/>
      <c r="C71" s="1067" t="s">
        <v>1522</v>
      </c>
      <c r="D71" s="1067" t="s">
        <v>1523</v>
      </c>
      <c r="E71" s="1138">
        <v>0.2</v>
      </c>
      <c r="F71" s="1153">
        <v>30</v>
      </c>
    </row>
    <row r="72" spans="1:6" s="1104" customFormat="1" ht="36">
      <c r="A72" s="1153">
        <v>12</v>
      </c>
      <c r="B72" s="3422"/>
      <c r="C72" s="1067" t="s">
        <v>1524</v>
      </c>
      <c r="D72" s="1067" t="s">
        <v>1525</v>
      </c>
      <c r="E72" s="1138">
        <v>0.5</v>
      </c>
      <c r="F72" s="1153">
        <v>80</v>
      </c>
    </row>
    <row r="73" spans="1:6" s="1104" customFormat="1" ht="24">
      <c r="A73" s="1153">
        <v>13</v>
      </c>
      <c r="B73" s="3422"/>
      <c r="C73" s="1067" t="s">
        <v>1526</v>
      </c>
      <c r="D73" s="1067" t="s">
        <v>1527</v>
      </c>
      <c r="E73" s="1138">
        <v>0.4</v>
      </c>
      <c r="F73" s="1153">
        <v>60</v>
      </c>
    </row>
    <row r="74" spans="1:6" s="1104" customFormat="1" ht="24">
      <c r="A74" s="1153">
        <v>14</v>
      </c>
      <c r="B74" s="3422"/>
      <c r="C74" s="1067" t="s">
        <v>1528</v>
      </c>
      <c r="D74" s="1067" t="s">
        <v>1529</v>
      </c>
      <c r="E74" s="1138">
        <v>0.2</v>
      </c>
      <c r="F74" s="1153">
        <v>30</v>
      </c>
    </row>
    <row r="75" spans="1:6" s="1104" customFormat="1" ht="24">
      <c r="A75" s="1153">
        <v>15</v>
      </c>
      <c r="B75" s="3422"/>
      <c r="C75" s="1067" t="s">
        <v>1530</v>
      </c>
      <c r="D75" s="1067" t="s">
        <v>1531</v>
      </c>
      <c r="E75" s="1138">
        <v>0.2</v>
      </c>
      <c r="F75" s="1153">
        <v>30</v>
      </c>
    </row>
    <row r="76" spans="1:6" s="1104" customFormat="1" ht="24">
      <c r="A76" s="1153">
        <v>16</v>
      </c>
      <c r="B76" s="3422" t="s">
        <v>1532</v>
      </c>
      <c r="C76" s="1067" t="s">
        <v>1533</v>
      </c>
      <c r="D76" s="1067" t="s">
        <v>1534</v>
      </c>
      <c r="E76" s="1138">
        <v>0.5</v>
      </c>
      <c r="F76" s="1153">
        <v>80</v>
      </c>
    </row>
    <row r="77" spans="1:6" s="1104" customFormat="1" ht="24">
      <c r="A77" s="1153">
        <v>17</v>
      </c>
      <c r="B77" s="3422"/>
      <c r="C77" s="1067" t="s">
        <v>1535</v>
      </c>
      <c r="D77" s="1067" t="s">
        <v>1536</v>
      </c>
      <c r="E77" s="1138">
        <v>0.5</v>
      </c>
      <c r="F77" s="1153">
        <v>80</v>
      </c>
    </row>
    <row r="78" spans="1:6" s="1104" customFormat="1" ht="24">
      <c r="A78" s="1153">
        <v>18</v>
      </c>
      <c r="B78" s="3422"/>
      <c r="C78" s="1067" t="s">
        <v>1537</v>
      </c>
      <c r="D78" s="1067" t="s">
        <v>1538</v>
      </c>
      <c r="E78" s="1138">
        <v>0.2</v>
      </c>
      <c r="F78" s="1153">
        <v>30</v>
      </c>
    </row>
    <row r="79" spans="1:6" s="1104" customFormat="1" ht="24">
      <c r="A79" s="1153">
        <v>19</v>
      </c>
      <c r="B79" s="3422"/>
      <c r="C79" s="1067" t="s">
        <v>1539</v>
      </c>
      <c r="D79" s="1067" t="s">
        <v>1540</v>
      </c>
      <c r="E79" s="1138">
        <v>0.5</v>
      </c>
      <c r="F79" s="1153">
        <v>80</v>
      </c>
    </row>
    <row r="80" spans="1:6" s="1104" customFormat="1" ht="36">
      <c r="A80" s="1153">
        <v>20</v>
      </c>
      <c r="B80" s="3422"/>
      <c r="C80" s="1067" t="s">
        <v>1541</v>
      </c>
      <c r="D80" s="1067" t="s">
        <v>1542</v>
      </c>
      <c r="E80" s="1138">
        <v>0.2</v>
      </c>
      <c r="F80" s="1153">
        <v>30</v>
      </c>
    </row>
    <row r="81" spans="1:6" s="1104" customFormat="1" ht="36">
      <c r="A81" s="1153">
        <v>21</v>
      </c>
      <c r="B81" s="3422"/>
      <c r="C81" s="1067" t="s">
        <v>1543</v>
      </c>
      <c r="D81" s="1067" t="s">
        <v>1544</v>
      </c>
      <c r="E81" s="1138">
        <v>0.2</v>
      </c>
      <c r="F81" s="1153">
        <v>30</v>
      </c>
    </row>
    <row r="82" spans="1:6" s="1104" customFormat="1" ht="48">
      <c r="A82" s="1153">
        <v>22</v>
      </c>
      <c r="B82" s="3422"/>
      <c r="C82" s="1067" t="s">
        <v>1545</v>
      </c>
      <c r="D82" s="1067" t="s">
        <v>1546</v>
      </c>
      <c r="E82" s="1138">
        <v>0.2</v>
      </c>
      <c r="F82" s="1153">
        <v>30</v>
      </c>
    </row>
    <row r="83" spans="1:6" s="1104" customFormat="1" ht="48">
      <c r="A83" s="1153">
        <v>23</v>
      </c>
      <c r="B83" s="3422"/>
      <c r="C83" s="1067" t="s">
        <v>1547</v>
      </c>
      <c r="D83" s="1067" t="s">
        <v>1548</v>
      </c>
      <c r="E83" s="1138">
        <v>0.2</v>
      </c>
      <c r="F83" s="1153">
        <v>30</v>
      </c>
    </row>
    <row r="84" spans="1:6" s="1104" customFormat="1" ht="36">
      <c r="A84" s="1153">
        <v>24</v>
      </c>
      <c r="B84" s="3422"/>
      <c r="C84" s="1067" t="s">
        <v>1549</v>
      </c>
      <c r="D84" s="1067" t="s">
        <v>1550</v>
      </c>
      <c r="E84" s="1138">
        <v>0.2</v>
      </c>
      <c r="F84" s="1153">
        <v>30</v>
      </c>
    </row>
    <row r="85" spans="1:6" s="1104" customFormat="1" ht="36">
      <c r="A85" s="1153">
        <v>25</v>
      </c>
      <c r="B85" s="3422"/>
      <c r="C85" s="1067" t="s">
        <v>1551</v>
      </c>
      <c r="D85" s="1067" t="s">
        <v>1552</v>
      </c>
      <c r="E85" s="1138">
        <v>0.5</v>
      </c>
      <c r="F85" s="1153">
        <v>80</v>
      </c>
    </row>
    <row r="86" spans="1:6" s="1104" customFormat="1" ht="36">
      <c r="A86" s="1153">
        <v>26</v>
      </c>
      <c r="B86" s="3422"/>
      <c r="C86" s="1067" t="s">
        <v>1553</v>
      </c>
      <c r="D86" s="1067" t="s">
        <v>1554</v>
      </c>
      <c r="E86" s="1138">
        <v>0.2</v>
      </c>
      <c r="F86" s="1153">
        <v>30</v>
      </c>
    </row>
    <row r="87" spans="1:6" s="1104" customFormat="1" ht="36">
      <c r="A87" s="1153">
        <v>27</v>
      </c>
      <c r="B87" s="3422"/>
      <c r="C87" s="1067" t="s">
        <v>1555</v>
      </c>
      <c r="D87" s="1067" t="s">
        <v>1556</v>
      </c>
      <c r="E87" s="1138">
        <v>0.2</v>
      </c>
      <c r="F87" s="1153">
        <v>30</v>
      </c>
    </row>
    <row r="88" spans="1:6" s="1104" customFormat="1" ht="36">
      <c r="A88" s="1153">
        <v>28</v>
      </c>
      <c r="B88" s="3422"/>
      <c r="C88" s="1067" t="s">
        <v>1557</v>
      </c>
      <c r="D88" s="1067" t="s">
        <v>1558</v>
      </c>
      <c r="E88" s="1138">
        <v>0.2</v>
      </c>
      <c r="F88" s="1153">
        <v>30</v>
      </c>
    </row>
    <row r="89" spans="1:6" s="1104" customFormat="1" ht="24">
      <c r="A89" s="1153">
        <v>29</v>
      </c>
      <c r="B89" s="3422"/>
      <c r="C89" s="1067" t="s">
        <v>1559</v>
      </c>
      <c r="D89" s="1067" t="s">
        <v>1560</v>
      </c>
      <c r="E89" s="1138">
        <v>0.2</v>
      </c>
      <c r="F89" s="1153">
        <v>30</v>
      </c>
    </row>
    <row r="90" spans="1:6" s="1104" customFormat="1" ht="24">
      <c r="A90" s="1153">
        <v>30</v>
      </c>
      <c r="B90" s="3422"/>
      <c r="C90" s="1067" t="s">
        <v>1561</v>
      </c>
      <c r="D90" s="1067" t="s">
        <v>1562</v>
      </c>
      <c r="E90" s="1138">
        <v>0.2</v>
      </c>
      <c r="F90" s="1153">
        <v>30</v>
      </c>
    </row>
    <row r="91" spans="1:6" s="1104" customFormat="1" ht="36">
      <c r="A91" s="1153">
        <v>31</v>
      </c>
      <c r="B91" s="3422"/>
      <c r="C91" s="1067" t="s">
        <v>1563</v>
      </c>
      <c r="D91" s="1067" t="s">
        <v>1564</v>
      </c>
      <c r="E91" s="1138">
        <v>0.2</v>
      </c>
      <c r="F91" s="1153">
        <v>30</v>
      </c>
    </row>
    <row r="92" spans="1:6" s="1104" customFormat="1" ht="24">
      <c r="A92" s="1153">
        <v>32</v>
      </c>
      <c r="B92" s="3422" t="s">
        <v>1565</v>
      </c>
      <c r="C92" s="1153" t="s">
        <v>1566</v>
      </c>
      <c r="D92" s="1067" t="s">
        <v>1567</v>
      </c>
      <c r="E92" s="1138">
        <v>0.2</v>
      </c>
      <c r="F92" s="1153">
        <v>30</v>
      </c>
    </row>
    <row r="93" spans="1:6" s="1104" customFormat="1" ht="36">
      <c r="A93" s="1153">
        <v>33</v>
      </c>
      <c r="B93" s="3422"/>
      <c r="C93" s="1153" t="s">
        <v>1568</v>
      </c>
      <c r="D93" s="1067" t="s">
        <v>1569</v>
      </c>
      <c r="E93" s="1138">
        <v>0.2</v>
      </c>
      <c r="F93" s="1153">
        <v>30</v>
      </c>
    </row>
    <row r="94" spans="1:6" s="1104" customFormat="1" ht="48">
      <c r="A94" s="1153">
        <v>34</v>
      </c>
      <c r="B94" s="3422"/>
      <c r="C94" s="1153" t="s">
        <v>1570</v>
      </c>
      <c r="D94" s="1067" t="s">
        <v>1571</v>
      </c>
      <c r="E94" s="1138">
        <v>0.2</v>
      </c>
      <c r="F94" s="1153">
        <v>30</v>
      </c>
    </row>
    <row r="95" spans="1:6" s="1104" customFormat="1" ht="36">
      <c r="A95" s="1153">
        <v>35</v>
      </c>
      <c r="B95" s="3422"/>
      <c r="C95" s="1153" t="s">
        <v>1572</v>
      </c>
      <c r="D95" s="1067" t="s">
        <v>1573</v>
      </c>
      <c r="E95" s="1138">
        <v>0.2</v>
      </c>
      <c r="F95" s="1153">
        <v>30</v>
      </c>
    </row>
    <row r="96" spans="1:6" s="1104" customFormat="1" ht="48">
      <c r="A96" s="1153">
        <v>36</v>
      </c>
      <c r="B96" s="3422"/>
      <c r="C96" s="1067" t="s">
        <v>1574</v>
      </c>
      <c r="D96" s="1067" t="s">
        <v>1575</v>
      </c>
      <c r="E96" s="1138">
        <v>0.2</v>
      </c>
      <c r="F96" s="1153">
        <v>30</v>
      </c>
    </row>
    <row r="97" spans="1:6" s="1104" customFormat="1" ht="36">
      <c r="A97" s="1153">
        <v>37</v>
      </c>
      <c r="B97" s="3422"/>
      <c r="C97" s="1153" t="s">
        <v>1576</v>
      </c>
      <c r="D97" s="1067" t="s">
        <v>1577</v>
      </c>
      <c r="E97" s="1138">
        <v>0.2</v>
      </c>
      <c r="F97" s="1153">
        <v>30</v>
      </c>
    </row>
    <row r="98" spans="1:6" s="1104" customFormat="1" ht="36">
      <c r="A98" s="1153">
        <v>38</v>
      </c>
      <c r="B98" s="3422"/>
      <c r="C98" s="1153" t="s">
        <v>1578</v>
      </c>
      <c r="D98" s="1067" t="s">
        <v>1579</v>
      </c>
      <c r="E98" s="1138">
        <v>0.2</v>
      </c>
      <c r="F98" s="1153">
        <v>30</v>
      </c>
    </row>
    <row r="99" spans="1:6" s="1104" customFormat="1" ht="36">
      <c r="A99" s="1153">
        <v>39</v>
      </c>
      <c r="B99" s="3422" t="s">
        <v>1580</v>
      </c>
      <c r="C99" s="1153" t="s">
        <v>1581</v>
      </c>
      <c r="D99" s="1067" t="s">
        <v>1582</v>
      </c>
      <c r="E99" s="1138">
        <v>0.3</v>
      </c>
      <c r="F99" s="1153">
        <v>50</v>
      </c>
    </row>
    <row r="100" spans="1:6" s="1104" customFormat="1" ht="24">
      <c r="A100" s="1153">
        <v>40</v>
      </c>
      <c r="B100" s="3422"/>
      <c r="C100" s="1153" t="s">
        <v>1583</v>
      </c>
      <c r="D100" s="1067" t="s">
        <v>1584</v>
      </c>
      <c r="E100" s="1138">
        <v>0.2</v>
      </c>
      <c r="F100" s="1153">
        <v>30</v>
      </c>
    </row>
    <row r="101" spans="1:6" s="1104" customFormat="1" ht="36">
      <c r="A101" s="1153">
        <v>41</v>
      </c>
      <c r="B101" s="342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2" t="s">
        <v>1595</v>
      </c>
      <c r="C105" s="1153" t="s">
        <v>1596</v>
      </c>
      <c r="D105" s="1067" t="s">
        <v>1597</v>
      </c>
      <c r="E105" s="1138">
        <v>0.2</v>
      </c>
      <c r="F105" s="1153">
        <v>30</v>
      </c>
    </row>
    <row r="106" spans="1:6" s="1104" customFormat="1" ht="36">
      <c r="A106" s="1153">
        <v>46</v>
      </c>
      <c r="B106" s="3422"/>
      <c r="C106" s="1153" t="s">
        <v>1598</v>
      </c>
      <c r="D106" s="1067" t="s">
        <v>1599</v>
      </c>
      <c r="E106" s="1138">
        <v>0.2</v>
      </c>
      <c r="F106" s="1153">
        <v>30</v>
      </c>
    </row>
    <row r="107" spans="1:6" s="1104" customFormat="1" ht="36">
      <c r="A107" s="1153">
        <v>47</v>
      </c>
      <c r="B107" s="3422" t="s">
        <v>1600</v>
      </c>
      <c r="C107" s="1153" t="s">
        <v>1601</v>
      </c>
      <c r="D107" s="1067" t="s">
        <v>1602</v>
      </c>
      <c r="E107" s="1138">
        <v>0.3</v>
      </c>
      <c r="F107" s="1153">
        <v>50</v>
      </c>
    </row>
    <row r="108" spans="1:6" s="1104" customFormat="1" ht="36">
      <c r="A108" s="1153">
        <v>48</v>
      </c>
      <c r="B108" s="342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2" t="s">
        <v>1611</v>
      </c>
      <c r="C111" s="1153" t="s">
        <v>1612</v>
      </c>
      <c r="D111" s="1067" t="s">
        <v>1613</v>
      </c>
      <c r="E111" s="1138">
        <v>0.2</v>
      </c>
      <c r="F111" s="1153">
        <v>30</v>
      </c>
    </row>
    <row r="112" spans="1:6" s="1104" customFormat="1" ht="24">
      <c r="A112" s="1153">
        <v>52</v>
      </c>
      <c r="B112" s="3422"/>
      <c r="C112" s="1153" t="s">
        <v>1614</v>
      </c>
      <c r="D112" s="1067" t="s">
        <v>1615</v>
      </c>
      <c r="E112" s="1138">
        <v>0.2</v>
      </c>
      <c r="F112" s="1153">
        <v>30</v>
      </c>
    </row>
    <row r="113" spans="1:14" s="1104" customFormat="1" ht="24">
      <c r="A113" s="1153">
        <v>53</v>
      </c>
      <c r="B113" s="342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2" t="s">
        <v>1624</v>
      </c>
      <c r="C116" s="1153" t="s">
        <v>1625</v>
      </c>
      <c r="D116" s="1067" t="s">
        <v>1626</v>
      </c>
      <c r="E116" s="1138">
        <v>0.2</v>
      </c>
      <c r="F116" s="1153">
        <v>30</v>
      </c>
    </row>
    <row r="117" spans="1:14" ht="36">
      <c r="A117" s="1153">
        <v>57</v>
      </c>
      <c r="B117" s="342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1" t="s">
        <v>1633</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1039</v>
      </c>
      <c r="B1" s="3426"/>
      <c r="C1" s="3426"/>
      <c r="D1" s="3426"/>
      <c r="E1" s="3426"/>
      <c r="F1" s="342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7" t="s">
        <v>1052</v>
      </c>
      <c r="B2" s="3427"/>
      <c r="C2" s="3427"/>
      <c r="D2" s="3427"/>
      <c r="E2" s="3427"/>
      <c r="F2" s="342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0" t="s">
        <v>2081</v>
      </c>
      <c r="B1" s="3430"/>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2080</v>
      </c>
      <c r="D3" s="3108" t="s">
        <v>2952</v>
      </c>
      <c r="E3" s="3109">
        <f ca="1">SUMIF(E7:E14,"&lt;&gt;#ref!",E7:E14)</f>
        <v>0</v>
      </c>
      <c r="F3" s="3107"/>
    </row>
    <row r="4" spans="1:6" ht="14.25">
      <c r="A4" s="3108" t="s">
        <v>2959</v>
      </c>
      <c r="B4" s="3109" t="e">
        <f ca="1">ROUND(B2*10000/E4,0)</f>
        <v>#DIV/0!</v>
      </c>
      <c r="C4" s="3108" t="s">
        <v>2080</v>
      </c>
      <c r="D4" s="3108" t="s">
        <v>2960</v>
      </c>
      <c r="E4" s="3109">
        <f ca="1">SUMIF(F7:F14,"&lt;&gt;#ref!",F7:F14)</f>
        <v>0</v>
      </c>
      <c r="F4" s="3107"/>
    </row>
    <row r="5" spans="1:6" ht="14.25">
      <c r="A5" s="3110"/>
      <c r="B5" s="1882"/>
      <c r="C5" s="1882"/>
      <c r="D5" s="1882"/>
      <c r="E5" s="1882"/>
      <c r="F5" s="3107"/>
    </row>
    <row r="6" spans="1:6" ht="28.5">
      <c r="A6" s="3111" t="s">
        <v>2956</v>
      </c>
      <c r="B6" s="3108" t="s">
        <v>2953</v>
      </c>
      <c r="C6" s="3109"/>
      <c r="D6" s="1882"/>
      <c r="E6" s="3108" t="s">
        <v>2954</v>
      </c>
      <c r="F6" s="3108" t="s">
        <v>2958</v>
      </c>
    </row>
    <row r="7" spans="1:6" ht="14.25">
      <c r="A7" s="260" t="s">
        <v>2957</v>
      </c>
      <c r="B7" s="3112" t="e">
        <f ca="1">SUMIF(INDIRECT("'"&amp;A7&amp;"'"&amp;"!A:A"),"总价",INDIRECT("'"&amp;A7&amp;"'"&amp;"!B:B"))</f>
        <v>#DIV/0!</v>
      </c>
      <c r="C7" s="3108" t="s">
        <v>2951</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2"/>
      <c r="E9" s="3113" t="e">
        <f t="shared" ca="1" si="1"/>
        <v>#REF!</v>
      </c>
      <c r="F9" s="3113" t="e">
        <f t="shared" ca="1" si="2"/>
        <v>#REF!</v>
      </c>
    </row>
    <row r="10" spans="1:6" ht="14.25">
      <c r="A10" s="260"/>
      <c r="B10" s="3112" t="e">
        <f t="shared" ca="1" si="0"/>
        <v>#REF!</v>
      </c>
      <c r="C10" s="3108" t="s">
        <v>2951</v>
      </c>
      <c r="D10" s="1882"/>
      <c r="E10" s="3113" t="e">
        <f t="shared" ca="1" si="1"/>
        <v>#REF!</v>
      </c>
      <c r="F10" s="3113" t="e">
        <f t="shared" ca="1" si="2"/>
        <v>#REF!</v>
      </c>
    </row>
    <row r="11" spans="1:6" ht="14.25">
      <c r="A11" s="260"/>
      <c r="B11" s="3112" t="e">
        <f t="shared" ca="1" si="0"/>
        <v>#REF!</v>
      </c>
      <c r="C11" s="3108" t="s">
        <v>2951</v>
      </c>
      <c r="D11" s="1882"/>
      <c r="E11" s="3113" t="e">
        <f t="shared" ca="1" si="1"/>
        <v>#REF!</v>
      </c>
      <c r="F11" s="3113" t="e">
        <f t="shared" ca="1" si="2"/>
        <v>#REF!</v>
      </c>
    </row>
    <row r="12" spans="1:6" ht="14.25">
      <c r="A12" s="260"/>
      <c r="B12" s="3112" t="e">
        <f t="shared" ca="1" si="0"/>
        <v>#REF!</v>
      </c>
      <c r="C12" s="3108" t="s">
        <v>2951</v>
      </c>
      <c r="D12" s="1882"/>
      <c r="E12" s="3113" t="e">
        <f t="shared" ca="1" si="1"/>
        <v>#REF!</v>
      </c>
      <c r="F12" s="3113" t="e">
        <f t="shared" ca="1" si="2"/>
        <v>#REF!</v>
      </c>
    </row>
    <row r="13" spans="1:6" ht="14.25">
      <c r="A13" s="260"/>
      <c r="B13" s="3112" t="e">
        <f t="shared" ca="1" si="0"/>
        <v>#REF!</v>
      </c>
      <c r="C13" s="3108" t="s">
        <v>2951</v>
      </c>
      <c r="D13" s="1882"/>
      <c r="E13" s="3113" t="e">
        <f t="shared" ca="1" si="1"/>
        <v>#REF!</v>
      </c>
      <c r="F13" s="3113" t="e">
        <f t="shared" ca="1" si="2"/>
        <v>#REF!</v>
      </c>
    </row>
    <row r="14" spans="1:6" ht="14.25">
      <c r="A14" s="3106"/>
      <c r="B14" s="3112" t="e">
        <f t="shared" ca="1" si="0"/>
        <v>#REF!</v>
      </c>
      <c r="C14" s="3108" t="s">
        <v>2951</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8" t="s">
        <v>2376</v>
      </c>
      <c r="F1" s="2389">
        <f ca="1">J54</f>
        <v>-3</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432" t="s">
        <v>2465</v>
      </c>
      <c r="C8" s="1826">
        <f ca="1">ROUND(F8*F10*F9*(1-F11)/10000,0)</f>
        <v>0</v>
      </c>
      <c r="D8" s="1823" t="s">
        <v>2536</v>
      </c>
      <c r="E8" s="61" t="s">
        <v>636</v>
      </c>
      <c r="F8" s="785">
        <f ca="1">INDIRECT("'数据-取费表'!u"&amp;$G$1)</f>
        <v>0</v>
      </c>
      <c r="G8" s="1592"/>
      <c r="H8" s="2505" t="s">
        <v>1824</v>
      </c>
      <c r="I8" s="3432" t="s">
        <v>2465</v>
      </c>
      <c r="J8" s="783">
        <f ca="1">ROUND(M8*M10*M9*(1-M11)/10000,0)</f>
        <v>0</v>
      </c>
      <c r="K8" s="341" t="s">
        <v>2536</v>
      </c>
      <c r="L8" s="784" t="s">
        <v>1738</v>
      </c>
      <c r="M8" s="785">
        <f ca="1">INDIRECT("'数据-取费表'!z"&amp;$G$1)</f>
        <v>0</v>
      </c>
    </row>
    <row r="9" spans="1:25" ht="18" customHeight="1">
      <c r="A9" s="2501"/>
      <c r="B9" s="3433"/>
      <c r="C9" s="1827"/>
      <c r="D9" s="1824"/>
      <c r="E9" s="61" t="s">
        <v>637</v>
      </c>
      <c r="F9" s="785">
        <f ca="1">IF(INDIRECT("'数据-取费表'!ah"&amp;$G$1)="",INDIRECT("'数据-取费表'!k"&amp;$G$1),INDIRECT("'数据-取费表'!ah"&amp;$G$1))</f>
        <v>0</v>
      </c>
      <c r="G9" s="1592"/>
      <c r="H9" s="2490"/>
      <c r="I9" s="3433"/>
      <c r="J9" s="788"/>
      <c r="K9" s="789"/>
      <c r="L9" s="784" t="s">
        <v>1739</v>
      </c>
      <c r="M9" s="785">
        <f ca="1">F9</f>
        <v>0</v>
      </c>
    </row>
    <row r="10" spans="1:25" ht="18" customHeight="1">
      <c r="A10" s="2494"/>
      <c r="B10" s="3434"/>
      <c r="C10" s="1827"/>
      <c r="D10" s="1824"/>
      <c r="E10" s="61" t="s">
        <v>638</v>
      </c>
      <c r="F10" s="785">
        <f ca="1">INDIRECT("'数据-取费表'!ai"&amp;$G$1)</f>
        <v>0</v>
      </c>
      <c r="G10" s="1592"/>
      <c r="H10" s="2490"/>
      <c r="I10" s="3434"/>
      <c r="J10" s="788"/>
      <c r="K10" s="789"/>
      <c r="L10" s="784" t="s">
        <v>1740</v>
      </c>
      <c r="M10" s="785">
        <f ca="1">INDIRECT("'数据-取费表'!ai"&amp;$G$1)</f>
        <v>0</v>
      </c>
    </row>
    <row r="11" spans="1:25" ht="18" customHeight="1">
      <c r="A11" s="786"/>
      <c r="B11" s="3435"/>
      <c r="C11" s="1827"/>
      <c r="D11" s="1824"/>
      <c r="E11" s="61" t="s">
        <v>639</v>
      </c>
      <c r="F11" s="794">
        <f ca="1">INDIRECT("'数据-取费表'!w"&amp;$G$1)</f>
        <v>0</v>
      </c>
      <c r="G11" s="1592"/>
      <c r="H11" s="2506"/>
      <c r="I11" s="3434"/>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2980</v>
      </c>
      <c r="E12" s="2499" t="s">
        <v>2466</v>
      </c>
      <c r="F12" s="2622"/>
      <c r="G12" s="1592"/>
      <c r="H12" s="2562" t="s">
        <v>1825</v>
      </c>
      <c r="I12" s="2567" t="s">
        <v>2461</v>
      </c>
      <c r="J12" s="783">
        <f ca="1">ROUND(IF(M12="押一",J8/12*M13,IF(M12="押二",J8/12*2*M13,IF(M12="押三",J8/12*3*M13,J13*M13))),0)</f>
        <v>0</v>
      </c>
      <c r="K12" s="2502" t="s">
        <v>2980</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150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10</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3"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677</v>
      </c>
      <c r="F25" s="640">
        <f>'数据-取费表'!B20</f>
        <v>3</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72"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12" t="s">
        <v>2824</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3"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8"/>
      <c r="F32" s="2492"/>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10</v>
      </c>
      <c r="G36" s="2063"/>
      <c r="H36" s="2066"/>
      <c r="I36" s="3431"/>
      <c r="J36" s="2080"/>
      <c r="K36" s="2081"/>
      <c r="L36" s="2080"/>
      <c r="M36" s="2080"/>
    </row>
    <row r="37" spans="1:18" ht="18" customHeight="1">
      <c r="A37" s="815"/>
      <c r="B37" s="793"/>
      <c r="C37" s="69"/>
      <c r="D37" s="816"/>
      <c r="E37" s="784" t="s">
        <v>673</v>
      </c>
      <c r="F37" s="785">
        <f ca="1">INDIRECT("'数据-取费表'!r"&amp;$G$1)</f>
        <v>0</v>
      </c>
      <c r="G37" s="2063"/>
      <c r="H37" s="2066"/>
      <c r="I37" s="3431"/>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61" t="s">
        <v>1879</v>
      </c>
      <c r="B40" s="2547" t="s">
        <v>665</v>
      </c>
      <c r="C40" s="2545">
        <f ca="1">ROUND(C7*F40,1)</f>
        <v>0</v>
      </c>
      <c r="D40" s="2546" t="s">
        <v>682</v>
      </c>
      <c r="E40" s="2547" t="s">
        <v>648</v>
      </c>
      <c r="F40" s="2543">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24" t="s">
        <v>2968</v>
      </c>
      <c r="F43" s="312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39">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2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2" t="str">
        <f ca="1">IF(M48="住宅",0,IF(L49&gt;J52,L61,J61))</f>
        <v>0</v>
      </c>
      <c r="O47" s="2395" t="s">
        <v>2412</v>
      </c>
      <c r="P47" s="1592"/>
      <c r="Q47" s="1604"/>
      <c r="R47" s="1592"/>
    </row>
    <row r="48" spans="1:18" s="2060" customFormat="1" ht="18" customHeight="1" thickBot="1">
      <c r="A48" s="2085"/>
      <c r="C48" s="2088"/>
      <c r="D48" s="2089"/>
      <c r="E48" s="2089"/>
      <c r="F48" s="2090"/>
      <c r="G48" s="2091"/>
      <c r="I48" s="3152" t="s">
        <v>2346</v>
      </c>
      <c r="J48" s="2382"/>
      <c r="K48" s="3159" t="s">
        <v>2351</v>
      </c>
      <c r="L48" s="3163">
        <f ca="1">INDIRECT("'数据-取费表'!d"&amp;$G$1)</f>
        <v>0</v>
      </c>
      <c r="M48" s="3123"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8" t="s">
        <v>2347</v>
      </c>
      <c r="J49" s="2383"/>
      <c r="K49" s="3160"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8" t="s">
        <v>2348</v>
      </c>
      <c r="J50" s="2384"/>
      <c r="K50" s="3161"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8" t="s">
        <v>2349</v>
      </c>
      <c r="J51" s="3156">
        <f>SUMPRODUCT((I64:I66=J48)*(J63:L63=J49)*(J64:L66))</f>
        <v>0</v>
      </c>
      <c r="K51" s="3161" t="s">
        <v>2355</v>
      </c>
      <c r="L51" s="2385"/>
      <c r="O51" s="2402" t="s">
        <v>2385</v>
      </c>
      <c r="P51" s="2400" t="s">
        <v>2409</v>
      </c>
      <c r="Q51" s="2401">
        <f ca="1">C31</f>
        <v>0</v>
      </c>
      <c r="R51" s="2400" t="s">
        <v>2382</v>
      </c>
    </row>
    <row r="52" spans="1:18" s="2060" customFormat="1" ht="18" customHeight="1" thickBot="1">
      <c r="A52" s="2097"/>
      <c r="F52" s="2086"/>
      <c r="I52" s="3153" t="s">
        <v>2350</v>
      </c>
      <c r="J52" s="3157">
        <f>IF(J50="",J51,J50+J51-YEAR('数据-取费表'!B3))</f>
        <v>0</v>
      </c>
      <c r="K52" s="3128" t="s">
        <v>2356</v>
      </c>
      <c r="L52" s="3164">
        <f ca="1">ROUND(-PV(INDIRECT("'数据-取费表'!h"&amp;$G$1),L49,(C40-C14*J36),0),0)</f>
        <v>0</v>
      </c>
      <c r="O52" s="2402" t="s">
        <v>2386</v>
      </c>
      <c r="P52" s="2400" t="s">
        <v>2387</v>
      </c>
      <c r="Q52" s="2403" t="e">
        <f ca="1">J59</f>
        <v>#VALUE!</v>
      </c>
      <c r="R52" s="2404"/>
    </row>
    <row r="53" spans="1:18" s="2060" customFormat="1" ht="18" customHeight="1" thickBot="1">
      <c r="A53" s="2097"/>
      <c r="F53" s="2086"/>
      <c r="I53" s="3154" t="s">
        <v>2423</v>
      </c>
      <c r="J53" s="2386"/>
      <c r="K53" s="3154" t="s">
        <v>2422</v>
      </c>
      <c r="L53" s="2386"/>
      <c r="O53" s="2402" t="s">
        <v>2388</v>
      </c>
      <c r="P53" s="2400" t="s">
        <v>2389</v>
      </c>
      <c r="Q53" s="2403">
        <f>J53</f>
        <v>0</v>
      </c>
      <c r="R53" s="2404"/>
    </row>
    <row r="54" spans="1:18" s="2060" customFormat="1" ht="29.25" thickBot="1">
      <c r="A54" s="2097"/>
      <c r="I54" s="3155" t="s">
        <v>2985</v>
      </c>
      <c r="J54" s="3158">
        <f ca="1">IF(M48="住宅",MAX(J52,L49-'数据-取费表'!B20),MIN(J52,L49-'数据-取费表'!B20))</f>
        <v>-3</v>
      </c>
      <c r="K54" s="3436"/>
      <c r="L54" s="3437"/>
      <c r="O54" s="2402" t="s">
        <v>2390</v>
      </c>
      <c r="P54" s="2400" t="s">
        <v>2391</v>
      </c>
      <c r="Q54" s="2401">
        <f ca="1">J54</f>
        <v>-3</v>
      </c>
      <c r="R54" s="2400" t="s">
        <v>2392</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2393</v>
      </c>
      <c r="P55" s="2400" t="s">
        <v>2410</v>
      </c>
      <c r="Q55" s="2401">
        <f ca="1">Q49+Q50</f>
        <v>0</v>
      </c>
      <c r="R55" s="2404" t="s">
        <v>2394</v>
      </c>
    </row>
    <row r="56" spans="1:18" s="2060" customFormat="1" ht="16.5" thickBot="1">
      <c r="A56" s="2097"/>
      <c r="B56" s="2098"/>
      <c r="C56" s="2098"/>
      <c r="I56" s="3167" t="s">
        <v>2357</v>
      </c>
      <c r="J56" s="3103" t="e">
        <f ca="1">ROUND(IF(J48="钢混",J58/J51,1-(1-2%)*(J51-J58)/J51),3)</f>
        <v>#VALUE!</v>
      </c>
      <c r="K56" s="3168" t="s">
        <v>2358</v>
      </c>
      <c r="L56" s="2387"/>
      <c r="O56" s="2405" t="s">
        <v>2413</v>
      </c>
      <c r="P56" s="1592"/>
      <c r="Q56" s="1604"/>
      <c r="R56" s="1592"/>
    </row>
    <row r="57" spans="1:18" s="2060" customFormat="1" ht="43.5" thickBot="1">
      <c r="A57" s="2097"/>
      <c r="B57" s="2098"/>
      <c r="C57" s="2098"/>
      <c r="I57" s="3169" t="s">
        <v>2359</v>
      </c>
      <c r="J57" s="3179" t="s">
        <v>1678</v>
      </c>
      <c r="K57" s="3128" t="s">
        <v>2364</v>
      </c>
      <c r="L57" s="1909">
        <f ca="1">IF(L49&lt;J52,"——",L49-J52)</f>
        <v>0</v>
      </c>
      <c r="O57" s="2396" t="s">
        <v>2377</v>
      </c>
      <c r="P57" s="2397" t="s">
        <v>2378</v>
      </c>
      <c r="Q57" s="2398" t="s">
        <v>2379</v>
      </c>
      <c r="R57" s="2397" t="s">
        <v>2380</v>
      </c>
    </row>
    <row r="58" spans="1:18" s="2060" customFormat="1" ht="29.25" thickBot="1">
      <c r="A58" s="2097"/>
      <c r="B58" s="2098"/>
      <c r="C58" s="2098"/>
      <c r="I58" s="3170" t="s">
        <v>2360</v>
      </c>
      <c r="J58" s="3171" t="str">
        <f ca="1">IF(OR(M48="住宅",J52&lt;L49,J57="是"),"——",J52-L49)</f>
        <v>——</v>
      </c>
      <c r="K58" s="3128"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70" t="s">
        <v>2361</v>
      </c>
      <c r="J59" s="3104" t="e">
        <f ca="1">IF(J56&lt;0.4,0.4,J56)</f>
        <v>#VALUE!</v>
      </c>
      <c r="K59" s="3128"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70" t="s">
        <v>2362</v>
      </c>
      <c r="J60" s="3171" t="str">
        <f ca="1">IF(OR(M48="住宅",J52&lt;L49,J57="是"),"——",ROUND(C30*J59,0))</f>
        <v>——</v>
      </c>
      <c r="K60" s="3128"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2" t="s">
        <v>2363</v>
      </c>
      <c r="J61" s="3173" t="str">
        <f ca="1">IF(OR(M48="住宅",J52&lt;L49,J57="是"),"0",ROUND(J60/(1+J53)^J54,0))</f>
        <v>0</v>
      </c>
      <c r="K61" s="3174" t="s">
        <v>2368</v>
      </c>
      <c r="L61" s="3173"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5" t="s">
        <v>2369</v>
      </c>
      <c r="J63" s="3176" t="s">
        <v>2370</v>
      </c>
      <c r="K63" s="3176" t="s">
        <v>2371</v>
      </c>
      <c r="L63" s="3176" t="s">
        <v>2352</v>
      </c>
      <c r="M63" s="3177" t="s">
        <v>2948</v>
      </c>
      <c r="O63" s="2402" t="s">
        <v>2390</v>
      </c>
      <c r="P63" s="2400" t="s">
        <v>2398</v>
      </c>
      <c r="Q63" s="2401">
        <f ca="1">L60</f>
        <v>0</v>
      </c>
      <c r="R63" s="2404" t="s">
        <v>2399</v>
      </c>
    </row>
    <row r="64" spans="1:18" s="2060" customFormat="1" ht="15.75" thickBot="1">
      <c r="A64" s="2097"/>
      <c r="B64" s="2098"/>
      <c r="C64" s="2098"/>
      <c r="I64" s="3175" t="s">
        <v>2372</v>
      </c>
      <c r="J64" s="3176">
        <v>70</v>
      </c>
      <c r="K64" s="3176">
        <v>50</v>
      </c>
      <c r="L64" s="3176">
        <v>80</v>
      </c>
      <c r="M64" s="3178">
        <v>0.02</v>
      </c>
      <c r="O64" s="2399" t="s">
        <v>2393</v>
      </c>
      <c r="P64" s="2400" t="s">
        <v>2410</v>
      </c>
      <c r="Q64" s="2401" t="e">
        <f ca="1">Q58+Q59</f>
        <v>#DIV/0!</v>
      </c>
      <c r="R64" s="2404" t="s">
        <v>2394</v>
      </c>
    </row>
    <row r="65" spans="1:18" s="2060" customFormat="1" ht="16.5" thickBot="1">
      <c r="A65" s="2097"/>
      <c r="B65" s="2098"/>
      <c r="C65" s="2098"/>
      <c r="I65" s="3175" t="s">
        <v>2373</v>
      </c>
      <c r="J65" s="3176">
        <v>50</v>
      </c>
      <c r="K65" s="3176">
        <v>35</v>
      </c>
      <c r="L65" s="3176">
        <v>60</v>
      </c>
      <c r="M65" s="846">
        <v>0</v>
      </c>
      <c r="O65" s="2405" t="s">
        <v>2417</v>
      </c>
      <c r="P65" s="1592"/>
      <c r="Q65" s="1604"/>
      <c r="R65" s="1592"/>
    </row>
    <row r="66" spans="1:18" s="2060" customFormat="1" ht="15.75" thickBot="1">
      <c r="A66" s="2097"/>
      <c r="B66" s="2098"/>
      <c r="C66" s="2098"/>
      <c r="I66" s="3175" t="s">
        <v>2374</v>
      </c>
      <c r="J66" s="3176">
        <v>40</v>
      </c>
      <c r="K66" s="3176">
        <v>30</v>
      </c>
      <c r="L66" s="3176">
        <v>50</v>
      </c>
      <c r="M66" s="3178">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4" t="s">
        <v>2578</v>
      </c>
      <c r="C1" s="3444"/>
      <c r="D1" s="3444"/>
      <c r="E1" s="3444"/>
      <c r="F1" s="3444"/>
      <c r="G1" s="3443" t="s">
        <v>2579</v>
      </c>
      <c r="H1" s="3443"/>
      <c r="I1" s="3443"/>
      <c r="J1" s="3443"/>
      <c r="K1" s="3443"/>
      <c r="L1" s="3443"/>
      <c r="N1" s="3443" t="s">
        <v>2580</v>
      </c>
      <c r="O1" s="3443"/>
      <c r="P1" s="3443"/>
      <c r="Q1" s="3443"/>
      <c r="R1" s="2655"/>
      <c r="S1" s="3443" t="s">
        <v>2581</v>
      </c>
      <c r="T1" s="3443"/>
      <c r="U1" s="3443"/>
      <c r="V1" s="3443"/>
      <c r="X1" s="3442" t="s">
        <v>2641</v>
      </c>
      <c r="Y1" s="3443"/>
      <c r="Z1" s="3443"/>
      <c r="AA1" s="3443"/>
      <c r="AB1" s="3443"/>
      <c r="AD1" s="3442" t="s">
        <v>2645</v>
      </c>
      <c r="AE1" s="3443"/>
      <c r="AF1" s="3443"/>
      <c r="AG1" s="3443"/>
      <c r="AH1" s="3443"/>
    </row>
    <row r="2" spans="1:34" s="2757" customFormat="1" ht="14.25" thickBot="1">
      <c r="B2" s="2765" t="s">
        <v>2582</v>
      </c>
      <c r="C2" s="2765" t="s">
        <v>2643</v>
      </c>
      <c r="D2" s="2758" t="s">
        <v>1644</v>
      </c>
      <c r="E2" s="2758" t="s">
        <v>1951</v>
      </c>
      <c r="F2" s="2765" t="s">
        <v>2644</v>
      </c>
      <c r="G2" s="2761"/>
      <c r="H2" s="2760"/>
      <c r="I2" s="2765" t="s">
        <v>2962</v>
      </c>
      <c r="J2" s="2758" t="s">
        <v>2964</v>
      </c>
      <c r="K2" s="2758" t="s">
        <v>2965</v>
      </c>
      <c r="L2" s="2765" t="s">
        <v>2966</v>
      </c>
      <c r="N2" s="2765" t="s">
        <v>2582</v>
      </c>
      <c r="O2" s="2758" t="s">
        <v>2963</v>
      </c>
      <c r="P2" s="2758" t="s">
        <v>1951</v>
      </c>
      <c r="Q2" s="2765" t="s">
        <v>2644</v>
      </c>
      <c r="R2" s="2759"/>
      <c r="S2" s="2765" t="s">
        <v>2582</v>
      </c>
      <c r="T2" s="2758" t="s">
        <v>2963</v>
      </c>
      <c r="U2" s="2758" t="s">
        <v>1951</v>
      </c>
      <c r="V2" s="2765" t="s">
        <v>2644</v>
      </c>
      <c r="X2" s="2765" t="s">
        <v>2582</v>
      </c>
      <c r="Y2" s="2765" t="s">
        <v>2643</v>
      </c>
      <c r="Z2" s="2758" t="s">
        <v>1644</v>
      </c>
      <c r="AA2" s="2758" t="s">
        <v>1951</v>
      </c>
      <c r="AB2" s="2765" t="s">
        <v>2644</v>
      </c>
      <c r="AD2" s="2765" t="s">
        <v>2582</v>
      </c>
      <c r="AE2" s="2765" t="s">
        <v>2643</v>
      </c>
      <c r="AF2" s="2758" t="s">
        <v>1644</v>
      </c>
      <c r="AG2" s="2758" t="s">
        <v>1951</v>
      </c>
      <c r="AH2" s="2765" t="s">
        <v>2644</v>
      </c>
    </row>
    <row r="3" spans="1:34" s="3136" customFormat="1" ht="14.25">
      <c r="A3" s="3148" t="s">
        <v>2975</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2976</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2973</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41">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39"/>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39"/>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40"/>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38">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39"/>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39"/>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40"/>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38">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39"/>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39"/>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40"/>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2585</v>
      </c>
      <c r="B24" s="2662">
        <v>299</v>
      </c>
      <c r="C24" s="2662">
        <v>252</v>
      </c>
      <c r="D24" s="2662">
        <f t="shared" si="45"/>
        <v>252</v>
      </c>
      <c r="E24" s="2662">
        <v>409</v>
      </c>
      <c r="F24" s="2663">
        <v>227</v>
      </c>
      <c r="G24" s="3445">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46"/>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46"/>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47"/>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38">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39"/>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39"/>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40"/>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38">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39">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39">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40">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38">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39">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39">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40">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38">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39">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39">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40">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38">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39">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39">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40">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38">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39">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39">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40">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38">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39">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39">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40">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38">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39">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39">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40">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38">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39">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39">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40">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38">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39">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39">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40">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38">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39">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39">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40">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84475.6平方米。根据《建设工程规划许可证》[]、《出让合同》[]，估价对象规划建筑面积为295664.6平方米。</v>
      </c>
    </row>
    <row r="7" spans="1:4" ht="56.25">
      <c r="A7" s="1796" t="s">
        <v>2749</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2019年6月11日</v>
      </c>
    </row>
    <row r="12" spans="1:4" ht="18.75">
      <c r="A12" s="1798" t="s">
        <v>2027</v>
      </c>
    </row>
    <row r="13" spans="1:4" ht="18.75">
      <c r="A13" s="1792" t="s">
        <v>2947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根据《国有土地使用证》[]，估价对象（分摊）出让国有建设用地使用权面积为84475.6平方米。根据《建设工程规划许可证》[]、《出让合同》[]，估价对象规划建筑面积为295664.6平方米。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33" sqref="C33:C3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27" t="s">
        <v>3146</v>
      </c>
      <c r="E1" s="2388" t="s">
        <v>2376</v>
      </c>
      <c r="F1" s="2389">
        <f ca="1">J53</f>
        <v>35.56</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243328</v>
      </c>
      <c r="C2" s="2058"/>
      <c r="D2" s="2056"/>
      <c r="E2" s="2057"/>
      <c r="F2" s="2057"/>
      <c r="G2" s="1590"/>
      <c r="H2" s="2058"/>
      <c r="I2" s="2058"/>
      <c r="J2" s="2058"/>
      <c r="K2" s="2059"/>
      <c r="L2" s="2058"/>
      <c r="M2" s="2058"/>
    </row>
    <row r="3" spans="1:33" ht="18" customHeight="1" thickBot="1">
      <c r="A3" s="833" t="s">
        <v>1727</v>
      </c>
      <c r="B3" s="834">
        <f ca="1">IF(ISERROR(B2*10000/F43),0,ROUND(B2*10000/F43,0))</f>
        <v>8230</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15949</v>
      </c>
      <c r="D5" s="2497" t="s">
        <v>2463</v>
      </c>
      <c r="E5" s="2491"/>
      <c r="F5" s="2492"/>
      <c r="G5" s="1592"/>
      <c r="H5" s="781">
        <v>1</v>
      </c>
      <c r="I5" s="782" t="s">
        <v>2460</v>
      </c>
      <c r="J5" s="55">
        <f ca="1">J6+J10+J12</f>
        <v>0</v>
      </c>
      <c r="K5" s="2497" t="s">
        <v>2463</v>
      </c>
      <c r="L5" s="2491"/>
      <c r="M5" s="2492"/>
    </row>
    <row r="6" spans="1:33" ht="18" customHeight="1">
      <c r="A6" s="1831" t="s">
        <v>1824</v>
      </c>
      <c r="B6" s="3432" t="s">
        <v>2465</v>
      </c>
      <c r="C6" s="783">
        <f ca="1">ROUND(F6*F8*F7*(1-F9)/10000,0)</f>
        <v>15929</v>
      </c>
      <c r="D6" s="2498" t="s">
        <v>2464</v>
      </c>
      <c r="E6" s="784" t="s">
        <v>1738</v>
      </c>
      <c r="F6" s="785">
        <f ca="1">INDIRECT("'数据-取费表'!u"&amp;$G$1)</f>
        <v>1.64</v>
      </c>
      <c r="G6" s="1592"/>
      <c r="H6" s="2505" t="s">
        <v>2470</v>
      </c>
      <c r="I6" s="3432" t="s">
        <v>2465</v>
      </c>
      <c r="J6" s="783">
        <f ca="1">ROUND(M6*M8*M7*(1-M9)/10000,0)</f>
        <v>0</v>
      </c>
      <c r="K6" s="341" t="s">
        <v>1737</v>
      </c>
      <c r="L6" s="784" t="s">
        <v>1738</v>
      </c>
      <c r="M6" s="785">
        <f ca="1">INDIRECT("'数据-取费表'!z"&amp;$G$1)</f>
        <v>0</v>
      </c>
    </row>
    <row r="7" spans="1:33" ht="18" customHeight="1">
      <c r="A7" s="2501"/>
      <c r="B7" s="3433"/>
      <c r="C7" s="788"/>
      <c r="D7" s="789"/>
      <c r="E7" s="784" t="s">
        <v>1739</v>
      </c>
      <c r="F7" s="785">
        <f ca="1">IF(INDIRECT("'数据-取费表'!ah"&amp;$G$1)="",INDIRECT("'数据-取费表'!k"&amp;$G$1),INDIRECT("'数据-取费表'!ah"&amp;$G$1))</f>
        <v>295664.59999999998</v>
      </c>
      <c r="G7" s="1592"/>
      <c r="H7" s="2490"/>
      <c r="I7" s="3433"/>
      <c r="J7" s="788"/>
      <c r="K7" s="789"/>
      <c r="L7" s="784" t="s">
        <v>1739</v>
      </c>
      <c r="M7" s="785">
        <f ca="1">F7</f>
        <v>295664.59999999998</v>
      </c>
    </row>
    <row r="8" spans="1:33" ht="18" customHeight="1">
      <c r="A8" s="2494"/>
      <c r="B8" s="3434"/>
      <c r="C8" s="788"/>
      <c r="D8" s="789"/>
      <c r="E8" s="784" t="s">
        <v>1740</v>
      </c>
      <c r="F8" s="785">
        <f ca="1">INDIRECT("'数据-取费表'!ai"&amp;$G$1)</f>
        <v>365</v>
      </c>
      <c r="G8" s="1592"/>
      <c r="H8" s="2490"/>
      <c r="I8" s="3434"/>
      <c r="J8" s="788"/>
      <c r="K8" s="789"/>
      <c r="L8" s="784" t="s">
        <v>1740</v>
      </c>
      <c r="M8" s="785">
        <f ca="1">INDIRECT("'数据-取费表'!ai"&amp;$G$1)</f>
        <v>365</v>
      </c>
    </row>
    <row r="9" spans="1:33" ht="18" customHeight="1">
      <c r="A9" s="786"/>
      <c r="B9" s="3435"/>
      <c r="C9" s="788"/>
      <c r="D9" s="789"/>
      <c r="E9" s="784" t="s">
        <v>1741</v>
      </c>
      <c r="F9" s="794">
        <f ca="1">INDIRECT("'数据-取费表'!w"&amp;$G$1)</f>
        <v>0.1</v>
      </c>
      <c r="G9" s="1592"/>
      <c r="H9" s="2506"/>
      <c r="I9" s="3434"/>
      <c r="J9" s="788"/>
      <c r="K9" s="789"/>
      <c r="L9" s="795" t="s">
        <v>1741</v>
      </c>
      <c r="M9" s="796">
        <f ca="1">INDIRECT("'数据-取费表'!ab"&amp;$G$1)</f>
        <v>0</v>
      </c>
    </row>
    <row r="10" spans="1:33" ht="18" customHeight="1">
      <c r="A10" s="1831" t="s">
        <v>2468</v>
      </c>
      <c r="B10" s="2495" t="s">
        <v>2461</v>
      </c>
      <c r="C10" s="799">
        <f ca="1">ROUND(IF(F10="押一",C6/12*F11,IF(F10="押二",C6/12*2*F11,IF(F10="押三",C6/12*3*F11,C11*F11))),0)</f>
        <v>20</v>
      </c>
      <c r="D10" s="2502" t="s">
        <v>2980</v>
      </c>
      <c r="E10" s="2499" t="s">
        <v>2466</v>
      </c>
      <c r="F10" s="2622" t="s">
        <v>3147</v>
      </c>
      <c r="G10" s="1592"/>
      <c r="H10" s="2562" t="s">
        <v>2471</v>
      </c>
      <c r="I10" s="2567" t="s">
        <v>2461</v>
      </c>
      <c r="J10" s="783">
        <f ca="1">ROUND(IF(M10="押一",J6/12*M11,IF(M10="押二",J6/12*2*M11,IF(M10="押三",J6/12*3*M11,J11*M11))),0)</f>
        <v>0</v>
      </c>
      <c r="K10" s="2502" t="s">
        <v>2980</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141710</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644</v>
      </c>
      <c r="C14" s="804">
        <f ca="1">INDIRECT("'数据-取费表'!m"&amp;$G$1)+INDIRECT("'数据-取费表'!t"&amp;$G$1)</f>
        <v>96091</v>
      </c>
      <c r="D14" s="1980" t="s">
        <v>1745</v>
      </c>
      <c r="E14" s="1981"/>
      <c r="F14" s="805"/>
      <c r="G14" s="1592"/>
      <c r="H14" s="1649" t="s">
        <v>1830</v>
      </c>
      <c r="I14" s="2232" t="s">
        <v>2828</v>
      </c>
      <c r="J14" s="53">
        <f ca="1">C29</f>
        <v>141710</v>
      </c>
      <c r="K14" s="26"/>
      <c r="L14" s="801"/>
      <c r="M14" s="802"/>
    </row>
    <row r="15" spans="1:33" s="2065" customFormat="1" ht="18" customHeight="1" thickBot="1">
      <c r="A15" s="1648" t="s">
        <v>1885</v>
      </c>
      <c r="B15" s="784" t="s">
        <v>646</v>
      </c>
      <c r="C15" s="53">
        <f ca="1">ROUND(C14*F15,0)</f>
        <v>2883</v>
      </c>
      <c r="D15" s="806" t="s">
        <v>1746</v>
      </c>
      <c r="E15" s="806" t="s">
        <v>1747</v>
      </c>
      <c r="F15" s="807">
        <f>'数据-取费表'!B33</f>
        <v>0.03</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14114</v>
      </c>
      <c r="K16" s="1822" t="s">
        <v>1750</v>
      </c>
      <c r="L16" s="2487"/>
      <c r="M16" s="2492"/>
    </row>
    <row r="17" spans="1:33" s="2065" customFormat="1" ht="18" customHeight="1">
      <c r="A17" s="1648" t="s">
        <v>1887</v>
      </c>
      <c r="B17" s="784" t="s">
        <v>652</v>
      </c>
      <c r="C17" s="53">
        <f ca="1">ROUND(F17*(F43+INDIRECT("'数据-取费表'!S"&amp;$G$1))/10000,0)</f>
        <v>4435</v>
      </c>
      <c r="D17" s="784" t="s">
        <v>1751</v>
      </c>
      <c r="E17" s="784" t="s">
        <v>1752</v>
      </c>
      <c r="F17" s="56">
        <f>'数据-取费表'!B35</f>
        <v>150</v>
      </c>
      <c r="G17" s="1593"/>
      <c r="H17" s="1649" t="s">
        <v>1830</v>
      </c>
      <c r="I17" s="784" t="s">
        <v>655</v>
      </c>
      <c r="J17" s="53">
        <f ca="1">ROUND(IF(项目基本情况!B11="自然人",J5*M17,J18+J19+J20),0)</f>
        <v>11988</v>
      </c>
      <c r="K17" s="2486" t="s">
        <v>1753</v>
      </c>
      <c r="L17" s="2485" t="s">
        <v>1754</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1441</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104850</v>
      </c>
      <c r="D19" s="261" t="s">
        <v>1757</v>
      </c>
      <c r="E19" s="1983"/>
      <c r="F19" s="56"/>
      <c r="G19" s="1592"/>
      <c r="H19" s="1648" t="s">
        <v>1885</v>
      </c>
      <c r="I19" s="784" t="s">
        <v>1758</v>
      </c>
      <c r="J19" s="53">
        <f ca="1">IF(K19="按租金收入计税",ROUND(J5*M19,1),ROUND(C29*F33*0.7,1))</f>
        <v>11903.6</v>
      </c>
      <c r="K19" s="811" t="s">
        <v>664</v>
      </c>
      <c r="L19" s="784" t="s">
        <v>1747</v>
      </c>
      <c r="M19" s="809">
        <f>IF(K19="按租金收入计税",'数据-取费表'!B51,'数据-取费表'!B50)</f>
        <v>1.2E-2</v>
      </c>
    </row>
    <row r="20" spans="1:33" s="2065" customFormat="1" ht="18" customHeight="1">
      <c r="A20" s="1649" t="s">
        <v>1889</v>
      </c>
      <c r="B20" s="784" t="s">
        <v>665</v>
      </c>
      <c r="C20" s="53">
        <f ca="1">ROUND(C19*F20,0)</f>
        <v>2097</v>
      </c>
      <c r="D20" s="812" t="s">
        <v>1759</v>
      </c>
      <c r="E20" s="784" t="s">
        <v>1747</v>
      </c>
      <c r="F20" s="809">
        <f>'数据-取费表'!B37</f>
        <v>0.02</v>
      </c>
      <c r="G20" s="1593"/>
      <c r="H20" s="1651" t="s">
        <v>1880</v>
      </c>
      <c r="I20" s="341" t="s">
        <v>1760</v>
      </c>
      <c r="J20" s="54">
        <f ca="1">ROUND(M20*M21/10000,0)</f>
        <v>84</v>
      </c>
      <c r="K20" s="814" t="s">
        <v>1761</v>
      </c>
      <c r="L20" s="784" t="s">
        <v>1762</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07"/>
      <c r="I21" s="793"/>
      <c r="J21" s="69"/>
      <c r="K21" s="816"/>
      <c r="L21" s="784" t="s">
        <v>1766</v>
      </c>
      <c r="M21" s="785">
        <f ca="1">INDIRECT("'数据-取费表'!r"&amp;$G$1)</f>
        <v>84475.6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2126</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7710</v>
      </c>
      <c r="D23" s="2572"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1773</v>
      </c>
      <c r="F24" s="819">
        <f ca="1">'数据-取费表'!B40</f>
        <v>4.7500000000000001E-2</v>
      </c>
      <c r="G24" s="1593"/>
      <c r="H24" s="2552" t="s">
        <v>1891</v>
      </c>
      <c r="I24" s="2547" t="s">
        <v>665</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11" t="s">
        <v>2824</v>
      </c>
      <c r="J25" s="792">
        <f ca="1">J5-J16</f>
        <v>-14114</v>
      </c>
      <c r="K25" s="2549" t="s">
        <v>1777</v>
      </c>
      <c r="L25" s="2550"/>
      <c r="M25" s="2551"/>
    </row>
    <row r="26" spans="1:33" ht="18" customHeight="1">
      <c r="A26" s="1648" t="s">
        <v>1831</v>
      </c>
      <c r="B26" s="784" t="s">
        <v>2440</v>
      </c>
      <c r="C26" s="53">
        <f ca="1">ROUND((C19+C20)*F26,0)</f>
        <v>16042</v>
      </c>
      <c r="D26" s="812" t="s">
        <v>1778</v>
      </c>
      <c r="E26" s="795" t="s">
        <v>1779</v>
      </c>
      <c r="F26" s="794">
        <f ca="1">INDIRECT("'数据-取费表'!q"&amp;$G$1)</f>
        <v>0.15</v>
      </c>
      <c r="G26" s="1592"/>
      <c r="H26" s="2503" t="s">
        <v>1780</v>
      </c>
      <c r="I26" s="2233" t="s">
        <v>2829</v>
      </c>
      <c r="J26" s="783">
        <f ca="1">IF(J5&lt;&gt;0,ROUND(J25*(1-((1+M28)/(1+M26))^M27)/(M26-M28),0),0)</f>
        <v>0</v>
      </c>
      <c r="K26" s="814" t="s">
        <v>1781</v>
      </c>
      <c r="L26" s="784" t="s">
        <v>2421</v>
      </c>
      <c r="M26" s="794">
        <f ca="1">INDIRECT("'数据-取费表'!I"&amp;$G$1)</f>
        <v>5.5E-2</v>
      </c>
    </row>
    <row r="27" spans="1:33" ht="18" customHeight="1">
      <c r="A27" s="1648" t="s">
        <v>1832</v>
      </c>
      <c r="B27" s="784" t="s">
        <v>685</v>
      </c>
      <c r="C27" s="53">
        <f ca="1">ROUND(F21*F26,4)</f>
        <v>3.0000000000000001E-3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141710</v>
      </c>
      <c r="D29" s="2546"/>
      <c r="E29" s="2547"/>
      <c r="F29" s="2548"/>
      <c r="G29" s="1593"/>
      <c r="H29" s="823" t="s">
        <v>1787</v>
      </c>
      <c r="I29" s="824" t="s">
        <v>1788</v>
      </c>
      <c r="J29" s="825">
        <f ca="1">ROUND(J26/(1+F40)^F41,0)</f>
        <v>0</v>
      </c>
      <c r="K29" s="826" t="s">
        <v>1789</v>
      </c>
      <c r="L29" s="827"/>
      <c r="M29" s="828">
        <f ca="1">INDIRECT("'数据-取费表'!k"&amp;$G$1)</f>
        <v>295664.59999999998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5347</v>
      </c>
      <c r="D30" s="1822" t="s">
        <v>1791</v>
      </c>
      <c r="E30" s="2487"/>
      <c r="F30" s="2492"/>
      <c r="G30" s="2063"/>
      <c r="H30" s="2066"/>
      <c r="I30" s="2067"/>
      <c r="J30" s="2068"/>
      <c r="K30" s="2069"/>
      <c r="L30" s="2070"/>
      <c r="M30" s="2071"/>
    </row>
    <row r="31" spans="1:33" ht="18" customHeight="1">
      <c r="A31" s="1649" t="s">
        <v>1830</v>
      </c>
      <c r="B31" s="784" t="s">
        <v>655</v>
      </c>
      <c r="C31" s="53">
        <f ca="1">ROUND(IF(项目基本情况!B11="自然人",C5*F31,C32+C33+C34),1)</f>
        <v>2849</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850.6</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1913.9</v>
      </c>
      <c r="D33" s="811" t="s">
        <v>3148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84.5</v>
      </c>
      <c r="D34" s="814" t="s">
        <v>1799</v>
      </c>
      <c r="E34" s="784" t="s">
        <v>1800</v>
      </c>
      <c r="F34" s="640">
        <f>'数据-取费表'!B52</f>
        <v>10</v>
      </c>
      <c r="G34" s="2063"/>
      <c r="H34" s="2066"/>
      <c r="I34" s="835" t="s">
        <v>1813</v>
      </c>
      <c r="J34" s="836"/>
      <c r="K34" s="2081"/>
      <c r="L34" s="2080"/>
      <c r="M34" s="2080"/>
    </row>
    <row r="35" spans="1:18" ht="18" customHeight="1">
      <c r="A35" s="815"/>
      <c r="B35" s="793"/>
      <c r="C35" s="69"/>
      <c r="D35" s="816"/>
      <c r="E35" s="784" t="s">
        <v>1801</v>
      </c>
      <c r="F35" s="785">
        <f ca="1">INDIRECT("'数据-取费表'!r"&amp;$G$1)</f>
        <v>84475.6</v>
      </c>
      <c r="G35" s="2063"/>
      <c r="H35" s="2066"/>
      <c r="I35" s="837" t="s">
        <v>1814</v>
      </c>
      <c r="J35" s="838">
        <f ca="1">ROUND(C13*J36,0)</f>
        <v>12045</v>
      </c>
      <c r="K35" s="2079"/>
      <c r="L35" s="2078"/>
      <c r="M35" s="2078"/>
    </row>
    <row r="36" spans="1:18" ht="18" customHeight="1">
      <c r="A36" s="1649" t="s">
        <v>1889</v>
      </c>
      <c r="B36" s="784" t="s">
        <v>1802</v>
      </c>
      <c r="C36" s="53">
        <f ca="1">ROUND(C29*F36,1)</f>
        <v>2125.6999999999998</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212.6</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665</v>
      </c>
      <c r="C38" s="2545">
        <f ca="1">ROUND(C5*F38,1)</f>
        <v>159.5</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2824</v>
      </c>
      <c r="C39" s="792">
        <f ca="1">C5-C30</f>
        <v>10602</v>
      </c>
      <c r="D39" s="2549" t="s">
        <v>1806</v>
      </c>
      <c r="E39" s="2550"/>
      <c r="F39" s="2551"/>
      <c r="G39" s="2063"/>
      <c r="H39" s="2078"/>
      <c r="I39" s="837" t="s">
        <v>1818</v>
      </c>
      <c r="J39" s="845">
        <f ca="1">ROUND(J35/C39,3)</f>
        <v>1.1359999999999999</v>
      </c>
      <c r="K39" s="2084"/>
      <c r="L39" s="2078"/>
      <c r="M39" s="2078"/>
    </row>
    <row r="40" spans="1:18" ht="18" customHeight="1">
      <c r="A40" s="781" t="s">
        <v>1895</v>
      </c>
      <c r="B40" s="2233" t="s">
        <v>2303</v>
      </c>
      <c r="C40" s="783">
        <f ca="1">ROUND(C39*(1-((1+F42)/(1+F40))^F41)/(F40-F42),0)</f>
        <v>243328</v>
      </c>
      <c r="D40" s="814" t="s">
        <v>1807</v>
      </c>
      <c r="E40" s="784" t="s">
        <v>2421</v>
      </c>
      <c r="F40" s="794">
        <f ca="1">INDIRECT("'数据-取费表'!I"&amp;$G$1)</f>
        <v>5.5E-2</v>
      </c>
      <c r="G40" s="2063"/>
      <c r="H40" s="2063"/>
      <c r="I40" s="837" t="s">
        <v>1819</v>
      </c>
      <c r="J40" s="845">
        <f ca="1">1-J39</f>
        <v>-0.1359999999999999</v>
      </c>
      <c r="K40" s="2084"/>
      <c r="L40" s="2063"/>
      <c r="M40" s="2063"/>
    </row>
    <row r="41" spans="1:18" ht="18" customHeight="1">
      <c r="A41" s="786"/>
      <c r="B41" s="787"/>
      <c r="C41" s="788"/>
      <c r="D41" s="821" t="s">
        <v>1808</v>
      </c>
      <c r="E41" s="784" t="s">
        <v>2970</v>
      </c>
      <c r="F41" s="822">
        <f ca="1">IF(INDIRECT("'数据-取费表'!af"&amp;$G$1)=0,INDIRECT("'数据-取费表'!ae"&amp;$G$1),INDIRECT("'数据-取费表'!af"&amp;$G$1))</f>
        <v>35.56</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0.58199999999999996</v>
      </c>
      <c r="K42" s="2083"/>
      <c r="L42" s="1989"/>
      <c r="M42" s="1989"/>
    </row>
    <row r="43" spans="1:18" ht="18" customHeight="1" thickBot="1">
      <c r="A43" s="823" t="s">
        <v>1787</v>
      </c>
      <c r="B43" s="824" t="s">
        <v>1810</v>
      </c>
      <c r="C43" s="825">
        <f ca="1">ROUND(C40*10000/F43,0)</f>
        <v>8230</v>
      </c>
      <c r="D43" s="826" t="s">
        <v>1811</v>
      </c>
      <c r="E43" s="827" t="s">
        <v>1812</v>
      </c>
      <c r="F43" s="828">
        <f ca="1">INDIRECT("'数据-取费表'!k"&amp;$G$1)</f>
        <v>295664.59999999998</v>
      </c>
      <c r="G43" s="2063"/>
      <c r="H43" s="1989"/>
      <c r="I43" s="847" t="s">
        <v>1822</v>
      </c>
      <c r="J43" s="848">
        <f ca="1">1-J42</f>
        <v>0.41800000000000004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-280819</v>
      </c>
      <c r="D46" s="2086"/>
      <c r="E46" s="2086"/>
      <c r="F46" s="2086"/>
      <c r="I46" s="2379" t="s">
        <v>2345</v>
      </c>
      <c r="J46" s="2380"/>
      <c r="K46" s="2381"/>
      <c r="L46" s="3162">
        <f>IF(OR(M47="住宅",D1="土地（套用方法）"),0,IF(L48&gt;J51,L60,J60))</f>
        <v>0</v>
      </c>
      <c r="O46" s="2395" t="s">
        <v>2412</v>
      </c>
      <c r="P46" s="1592"/>
      <c r="Q46" s="1604"/>
      <c r="R46" s="1592"/>
    </row>
    <row r="47" spans="1:18" s="2060" customFormat="1" ht="18" customHeight="1" thickBot="1">
      <c r="A47" s="2373">
        <v>1</v>
      </c>
      <c r="B47" s="2374" t="s">
        <v>634</v>
      </c>
      <c r="C47" s="2575">
        <f ca="1">C48+C52+C54</f>
        <v>0</v>
      </c>
      <c r="D47" s="2086"/>
      <c r="E47" s="2086"/>
      <c r="F47" s="2086"/>
      <c r="I47" s="3152" t="s">
        <v>2346</v>
      </c>
      <c r="J47" s="2382" t="s">
        <v>3149</v>
      </c>
      <c r="K47" s="3159" t="s">
        <v>2351</v>
      </c>
      <c r="L47" s="3163">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635</v>
      </c>
      <c r="E48" s="2377" t="s">
        <v>2298</v>
      </c>
      <c r="F48" s="2378"/>
      <c r="G48" s="2091"/>
      <c r="I48" s="3128" t="s">
        <v>2347</v>
      </c>
      <c r="J48" s="2383" t="s">
        <v>2352</v>
      </c>
      <c r="K48" s="3160" t="s">
        <v>2353</v>
      </c>
      <c r="L48" s="1909">
        <f ca="1">INDIRECT("'数据-取费表'!f"&amp;$G$1)</f>
        <v>38.56</v>
      </c>
      <c r="O48" s="2399" t="s">
        <v>2381</v>
      </c>
      <c r="P48" s="2400" t="s">
        <v>2407</v>
      </c>
      <c r="Q48" s="2401">
        <f ca="1">C40+J29</f>
        <v>243328</v>
      </c>
      <c r="R48" s="2400" t="s">
        <v>2382</v>
      </c>
    </row>
    <row r="49" spans="1:18" s="2060" customFormat="1" ht="18" customHeight="1" thickBot="1">
      <c r="A49" s="786"/>
      <c r="B49" s="787"/>
      <c r="C49" s="788"/>
      <c r="D49" s="789"/>
      <c r="E49" s="784" t="s">
        <v>1739</v>
      </c>
      <c r="F49" s="785">
        <f ca="1">F7</f>
        <v>295664.59999999998</v>
      </c>
      <c r="G49" s="2091"/>
      <c r="H49" s="2094"/>
      <c r="I49" s="3128" t="s">
        <v>2348</v>
      </c>
      <c r="J49" s="2384">
        <v>2020</v>
      </c>
      <c r="K49" s="3161" t="s">
        <v>2354</v>
      </c>
      <c r="L49" s="2385"/>
      <c r="O49" s="2399" t="s">
        <v>2383</v>
      </c>
      <c r="P49" s="2400" t="s">
        <v>2408</v>
      </c>
      <c r="Q49" s="2401" t="str">
        <f ca="1">J60</f>
        <v>0</v>
      </c>
      <c r="R49" s="2400" t="s">
        <v>2384</v>
      </c>
    </row>
    <row r="50" spans="1:18" s="2060" customFormat="1" ht="18" customHeight="1" thickBot="1">
      <c r="A50" s="786"/>
      <c r="B50" s="787"/>
      <c r="C50" s="788"/>
      <c r="D50" s="789"/>
      <c r="E50" s="784" t="s">
        <v>1740</v>
      </c>
      <c r="F50" s="785">
        <f ca="1">F8</f>
        <v>365</v>
      </c>
      <c r="G50" s="2096"/>
      <c r="H50" s="2094"/>
      <c r="I50" s="3128" t="s">
        <v>2349</v>
      </c>
      <c r="J50" s="3156">
        <f>SUMPRODUCT((I63:I65=J47)*(J62:L62=J48)*(J63:L65))</f>
        <v>60</v>
      </c>
      <c r="K50" s="3161" t="s">
        <v>2355</v>
      </c>
      <c r="L50" s="2385"/>
      <c r="O50" s="2402" t="s">
        <v>2385</v>
      </c>
      <c r="P50" s="2400" t="s">
        <v>2409</v>
      </c>
      <c r="Q50" s="2401">
        <f ca="1">C29</f>
        <v>141710</v>
      </c>
      <c r="R50" s="2400" t="s">
        <v>2382</v>
      </c>
    </row>
    <row r="51" spans="1:18" s="2060" customFormat="1" ht="18" customHeight="1" thickBot="1">
      <c r="A51" s="786"/>
      <c r="B51" s="787"/>
      <c r="C51" s="788"/>
      <c r="D51" s="789"/>
      <c r="E51" s="784" t="s">
        <v>639</v>
      </c>
      <c r="F51" s="2372"/>
      <c r="H51" s="2094"/>
      <c r="I51" s="3153" t="s">
        <v>2350</v>
      </c>
      <c r="J51" s="3157">
        <f>IF(J49="",J50,J49+J50-YEAR('数据-取费表'!B2))</f>
        <v>61</v>
      </c>
      <c r="K51" s="3128" t="s">
        <v>2356</v>
      </c>
      <c r="L51" s="3164">
        <f ca="1">ROUND(-PV(INDIRECT("'数据-取费表'!h"&amp;$G$1),L48,(C39-C13*J36),0),0)</f>
        <v>-24468</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2981</v>
      </c>
      <c r="E52" s="2499" t="s">
        <v>2466</v>
      </c>
      <c r="F52" s="2622"/>
      <c r="I52" s="3154" t="s">
        <v>2423</v>
      </c>
      <c r="J52" s="2386">
        <v>0.09</v>
      </c>
      <c r="K52" s="3154"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5" t="s">
        <v>2985</v>
      </c>
      <c r="J53" s="3158">
        <f ca="1">IF(M47="住宅",IF(D1="——",MAX(J51,L48),MAX(J51,L48-'数据-取费表'!B20)),IF(D1="——",MIN(J51,L48),MIN(J51,L48-'数据-取费表'!B20)))</f>
        <v>35.56</v>
      </c>
      <c r="K53" s="3448" t="s">
        <v>2972</v>
      </c>
      <c r="L53" s="3449"/>
      <c r="O53" s="2402" t="s">
        <v>2390</v>
      </c>
      <c r="P53" s="2400" t="s">
        <v>2391</v>
      </c>
      <c r="Q53" s="2401">
        <f ca="1">J53</f>
        <v>35.56</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243328</v>
      </c>
      <c r="R54" s="2404" t="s">
        <v>2394</v>
      </c>
    </row>
    <row r="55" spans="1:18" s="2060" customFormat="1" ht="18" customHeight="1" thickTop="1" thickBot="1">
      <c r="A55" s="797">
        <v>2</v>
      </c>
      <c r="B55" s="798" t="s">
        <v>643</v>
      </c>
      <c r="C55" s="799">
        <f ca="1">C13</f>
        <v>141710</v>
      </c>
      <c r="D55" s="795"/>
      <c r="E55" s="795"/>
      <c r="F55" s="800"/>
      <c r="I55" s="3167" t="s">
        <v>2357</v>
      </c>
      <c r="J55" s="3103" t="e">
        <f ca="1">ROUND(IF(J47="钢混",J57/J50,1-(1-2%)*(J50-J57)/J50),3)</f>
        <v>#VALUE!</v>
      </c>
      <c r="K55" s="3168" t="s">
        <v>2358</v>
      </c>
      <c r="L55" s="2387"/>
      <c r="O55" s="2405" t="s">
        <v>2413</v>
      </c>
      <c r="P55" s="1592"/>
      <c r="Q55" s="1604"/>
      <c r="R55" s="1592"/>
    </row>
    <row r="56" spans="1:18" s="2060" customFormat="1" ht="42.75" customHeight="1" thickBot="1">
      <c r="A56" s="1650"/>
      <c r="B56" s="2232" t="s">
        <v>2304</v>
      </c>
      <c r="C56" s="53">
        <f ca="1">C29</f>
        <v>141710</v>
      </c>
      <c r="D56" s="2640"/>
      <c r="E56" s="784"/>
      <c r="F56" s="809"/>
      <c r="I56" s="3169" t="s">
        <v>2359</v>
      </c>
      <c r="J56" s="3179" t="s">
        <v>1678</v>
      </c>
      <c r="K56" s="3128" t="s">
        <v>2364</v>
      </c>
      <c r="L56" s="1909" t="str">
        <f ca="1">IF(L48&lt;J51,"——",L48-J51)</f>
        <v>——</v>
      </c>
      <c r="O56" s="2396" t="s">
        <v>2377</v>
      </c>
      <c r="P56" s="2397" t="s">
        <v>2378</v>
      </c>
      <c r="Q56" s="2398" t="s">
        <v>2379</v>
      </c>
      <c r="R56" s="2397" t="s">
        <v>2380</v>
      </c>
    </row>
    <row r="57" spans="1:18" s="2060" customFormat="1" ht="28.5" customHeight="1" thickBot="1">
      <c r="A57" s="797" t="s">
        <v>1748</v>
      </c>
      <c r="B57" s="798" t="s">
        <v>650</v>
      </c>
      <c r="C57" s="799">
        <f ca="1">ROUND(C58+C63+C64+C65,0)</f>
        <v>2423</v>
      </c>
      <c r="D57" s="26" t="s">
        <v>1750</v>
      </c>
      <c r="E57" s="2641"/>
      <c r="F57" s="56"/>
      <c r="I57" s="3170" t="s">
        <v>2360</v>
      </c>
      <c r="J57" s="3171" t="str">
        <f ca="1">IF(OR(M47="住宅",J51&lt;L48,J56="是"),"——",J51-L48)</f>
        <v>——</v>
      </c>
      <c r="K57" s="3128" t="s">
        <v>2365</v>
      </c>
      <c r="L57" s="1909" t="str">
        <f ca="1">IF(L48&lt;J51,"——",IF(L55="比较法",L49,IF(L55="基准地价",L50,L51)))</f>
        <v>——</v>
      </c>
      <c r="O57" s="2399" t="s">
        <v>2381</v>
      </c>
      <c r="P57" s="2400" t="s">
        <v>2411</v>
      </c>
      <c r="Q57" s="2401">
        <f ca="1">C40+J29</f>
        <v>243328</v>
      </c>
      <c r="R57" s="2400" t="s">
        <v>2382</v>
      </c>
    </row>
    <row r="58" spans="1:18" s="2060" customFormat="1" ht="28.5" customHeight="1" thickBot="1">
      <c r="A58" s="1649" t="s">
        <v>1824</v>
      </c>
      <c r="B58" s="784" t="s">
        <v>655</v>
      </c>
      <c r="C58" s="53">
        <f ca="1">ROUND(IF(项目基本情况!B11="自然人",C47*F58,C59+C60+C61),1)</f>
        <v>84.5</v>
      </c>
      <c r="D58" s="2639" t="s">
        <v>656</v>
      </c>
      <c r="E58" s="2640" t="s">
        <v>689</v>
      </c>
      <c r="F58" s="810">
        <f ca="1">IF(项目基本情况!B11="企业","",IF(INDIRECT("'数据-取费表'!c"&amp;$G$1)="住宅",5%,IF(F48*F49*F50/12/(1+'数据-取费表'!C42)&gt;20000,12%,7%)))</f>
        <v>7.0000000000000007E-2</v>
      </c>
      <c r="I58" s="3170" t="s">
        <v>2361</v>
      </c>
      <c r="J58" s="3104" t="e">
        <f ca="1">IF(J55&lt;0.4,0.4,J55)</f>
        <v>#VALUE!</v>
      </c>
      <c r="K58" s="3128"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659</v>
      </c>
      <c r="C59" s="53">
        <f ca="1">ROUND(C47*F59/1.05,1)</f>
        <v>0</v>
      </c>
      <c r="D59" s="2640" t="s">
        <v>1756</v>
      </c>
      <c r="E59" s="784" t="s">
        <v>1747</v>
      </c>
      <c r="F59" s="809">
        <f t="shared" ref="F59:F65" si="0">F32</f>
        <v>5.6000000000000001E-2</v>
      </c>
      <c r="I59" s="3170" t="s">
        <v>2362</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2363</v>
      </c>
      <c r="J60" s="3173" t="str">
        <f ca="1">IF(OR(M47="住宅",J51&lt;L48,J56="是"),"0",ROUND(J59/(1+J52)^J53,0))</f>
        <v>0</v>
      </c>
      <c r="K60" s="3174" t="s">
        <v>2368</v>
      </c>
      <c r="L60" s="3173">
        <f ca="1">IF(OR(M47="住宅",L48&lt;J51),0,ROUND(L57*(L58/L59-1),0))</f>
        <v>0</v>
      </c>
      <c r="O60" s="2402" t="s">
        <v>2386</v>
      </c>
      <c r="P60" s="2400" t="s">
        <v>2395</v>
      </c>
      <c r="Q60" s="2403">
        <f>L52</f>
        <v>0</v>
      </c>
      <c r="R60" s="2404"/>
    </row>
    <row r="61" spans="1:18" s="2060" customFormat="1" ht="18" customHeight="1" thickBot="1">
      <c r="A61" s="1651" t="s">
        <v>1833</v>
      </c>
      <c r="B61" s="341" t="s">
        <v>667</v>
      </c>
      <c r="C61" s="54">
        <f ca="1">ROUND(F61*F62/10000,1)</f>
        <v>84.5</v>
      </c>
      <c r="D61" s="814" t="s">
        <v>668</v>
      </c>
      <c r="E61" s="784" t="s">
        <v>669</v>
      </c>
      <c r="F61" s="640">
        <f t="shared" si="0"/>
        <v>10</v>
      </c>
      <c r="K61" s="2087"/>
      <c r="O61" s="2402" t="s">
        <v>2388</v>
      </c>
      <c r="P61" s="2400" t="s">
        <v>2396</v>
      </c>
      <c r="Q61" s="2401" t="e">
        <f ca="1">L58</f>
        <v>#DIV/0!</v>
      </c>
      <c r="R61" s="2404" t="s">
        <v>2397</v>
      </c>
    </row>
    <row r="62" spans="1:18" s="2060" customFormat="1" ht="15.75" thickBot="1">
      <c r="A62" s="815"/>
      <c r="B62" s="793"/>
      <c r="C62" s="69"/>
      <c r="D62" s="816"/>
      <c r="E62" s="784" t="s">
        <v>673</v>
      </c>
      <c r="F62" s="785">
        <f t="shared" ca="1" si="0"/>
        <v>84475.6</v>
      </c>
      <c r="I62" s="3175" t="s">
        <v>2369</v>
      </c>
      <c r="J62" s="3176" t="s">
        <v>2370</v>
      </c>
      <c r="K62" s="3176" t="s">
        <v>2371</v>
      </c>
      <c r="L62" s="3176" t="s">
        <v>2352</v>
      </c>
      <c r="M62" s="3177" t="s">
        <v>2948</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675</v>
      </c>
      <c r="C63" s="53">
        <f ca="1">ROUND(C56*F63,1)</f>
        <v>2125.6999999999998</v>
      </c>
      <c r="D63" s="2640" t="s">
        <v>1803</v>
      </c>
      <c r="E63" s="784" t="s">
        <v>1747</v>
      </c>
      <c r="F63" s="817">
        <f t="shared" ca="1" si="0"/>
        <v>1.4999999999999999E-2</v>
      </c>
      <c r="I63" s="3175" t="s">
        <v>2372</v>
      </c>
      <c r="J63" s="3176">
        <v>70</v>
      </c>
      <c r="K63" s="3176">
        <v>50</v>
      </c>
      <c r="L63" s="3176">
        <v>80</v>
      </c>
      <c r="M63" s="3178">
        <v>0.02</v>
      </c>
      <c r="O63" s="2399" t="s">
        <v>2393</v>
      </c>
      <c r="P63" s="2400" t="s">
        <v>2410</v>
      </c>
      <c r="Q63" s="2401">
        <f ca="1">Q57+Q58</f>
        <v>243328</v>
      </c>
      <c r="R63" s="2404" t="s">
        <v>2394</v>
      </c>
    </row>
    <row r="64" spans="1:18" s="2060" customFormat="1" ht="16.5" thickBot="1">
      <c r="A64" s="1649" t="s">
        <v>1890</v>
      </c>
      <c r="B64" s="784" t="s">
        <v>678</v>
      </c>
      <c r="C64" s="53">
        <f ca="1">ROUND(C55*F64,1)</f>
        <v>212.6</v>
      </c>
      <c r="D64" s="2640" t="s">
        <v>679</v>
      </c>
      <c r="E64" s="784" t="s">
        <v>1747</v>
      </c>
      <c r="F64" s="818">
        <f t="shared" ca="1" si="0"/>
        <v>1.5E-3</v>
      </c>
      <c r="I64" s="3175" t="s">
        <v>2373</v>
      </c>
      <c r="J64" s="3176">
        <v>50</v>
      </c>
      <c r="K64" s="3176">
        <v>35</v>
      </c>
      <c r="L64" s="3176">
        <v>60</v>
      </c>
      <c r="M64" s="846">
        <v>0</v>
      </c>
      <c r="O64" s="2405" t="s">
        <v>2417</v>
      </c>
      <c r="P64" s="1592"/>
      <c r="Q64" s="1604"/>
      <c r="R64" s="1592"/>
    </row>
    <row r="65" spans="1:18" s="2060" customFormat="1" ht="15.75" thickBot="1">
      <c r="A65" s="1649" t="s">
        <v>1891</v>
      </c>
      <c r="B65" s="784" t="s">
        <v>665</v>
      </c>
      <c r="C65" s="53">
        <f ca="1">ROUND(C47*F65,1)</f>
        <v>0</v>
      </c>
      <c r="D65" s="2640" t="s">
        <v>682</v>
      </c>
      <c r="E65" s="784" t="s">
        <v>1747</v>
      </c>
      <c r="F65" s="794">
        <f t="shared" ca="1" si="0"/>
        <v>0.01</v>
      </c>
      <c r="I65" s="3175" t="s">
        <v>2374</v>
      </c>
      <c r="J65" s="3176">
        <v>40</v>
      </c>
      <c r="K65" s="3176">
        <v>30</v>
      </c>
      <c r="L65" s="3176">
        <v>50</v>
      </c>
      <c r="M65" s="3178">
        <v>0.02</v>
      </c>
      <c r="O65" s="2396" t="s">
        <v>2377</v>
      </c>
      <c r="P65" s="2397" t="s">
        <v>2378</v>
      </c>
      <c r="Q65" s="2398" t="s">
        <v>2379</v>
      </c>
      <c r="R65" s="2397" t="s">
        <v>2380</v>
      </c>
    </row>
    <row r="66" spans="1:18" s="2060" customFormat="1" ht="24.75" thickBot="1">
      <c r="A66" s="797" t="s">
        <v>1776</v>
      </c>
      <c r="B66" s="3012" t="s">
        <v>2824</v>
      </c>
      <c r="C66" s="799">
        <f ca="1">C47-C57</f>
        <v>-2423</v>
      </c>
      <c r="D66" s="2639" t="s">
        <v>699</v>
      </c>
      <c r="E66" s="2638"/>
      <c r="F66" s="820"/>
      <c r="K66" s="2087"/>
      <c r="O66" s="2399" t="s">
        <v>2381</v>
      </c>
      <c r="P66" s="2400" t="s">
        <v>2411</v>
      </c>
      <c r="Q66" s="2401">
        <f ca="1">C40+J29</f>
        <v>243328</v>
      </c>
      <c r="R66" s="2400" t="s">
        <v>2382</v>
      </c>
    </row>
    <row r="67" spans="1:18" s="2060" customFormat="1" ht="20.25" thickBot="1">
      <c r="A67" s="781" t="s">
        <v>1780</v>
      </c>
      <c r="B67" s="2233" t="s">
        <v>2303</v>
      </c>
      <c r="C67" s="783">
        <f ca="1">ROUND(C66*(1-((1+F69)/(1+F67))^F68)/(F67-F69),0)</f>
        <v>-37491</v>
      </c>
      <c r="D67" s="814" t="s">
        <v>703</v>
      </c>
      <c r="E67" s="784" t="s">
        <v>704</v>
      </c>
      <c r="F67" s="794">
        <f ca="1">F40</f>
        <v>5.5E-2</v>
      </c>
      <c r="K67" s="2087"/>
      <c r="O67" s="2399" t="s">
        <v>2383</v>
      </c>
      <c r="P67" s="2400" t="s">
        <v>2414</v>
      </c>
      <c r="Q67" s="2401">
        <f ca="1">L60</f>
        <v>0</v>
      </c>
      <c r="R67" s="2404" t="s">
        <v>2416</v>
      </c>
    </row>
    <row r="68" spans="1:18" ht="21.75" thickBot="1">
      <c r="A68" s="786"/>
      <c r="B68" s="787"/>
      <c r="C68" s="788"/>
      <c r="D68" s="821" t="s">
        <v>1808</v>
      </c>
      <c r="E68" s="784" t="s">
        <v>1784</v>
      </c>
      <c r="F68" s="822">
        <f ca="1">F41</f>
        <v>35.56</v>
      </c>
      <c r="O68" s="2402" t="s">
        <v>2385</v>
      </c>
      <c r="P68" s="2400" t="s">
        <v>2415</v>
      </c>
      <c r="Q68" s="2406">
        <f ca="1">L51</f>
        <v>-24468</v>
      </c>
      <c r="R68" s="2407" t="s">
        <v>2418</v>
      </c>
    </row>
    <row r="69" spans="1:18" ht="20.25" thickBot="1">
      <c r="A69" s="790"/>
      <c r="B69" s="791"/>
      <c r="C69" s="792"/>
      <c r="D69" s="816"/>
      <c r="E69" s="784" t="s">
        <v>709</v>
      </c>
      <c r="F69" s="2372"/>
      <c r="O69" s="2402" t="s">
        <v>2386</v>
      </c>
      <c r="P69" s="2408" t="s">
        <v>2400</v>
      </c>
      <c r="Q69" s="2401">
        <f ca="1">ROUND(Q70-Q71*Q72,0)</f>
        <v>-1443</v>
      </c>
      <c r="R69" s="2404"/>
    </row>
    <row r="70" spans="1:18" ht="15.75" thickBot="1">
      <c r="A70" s="823" t="s">
        <v>1787</v>
      </c>
      <c r="B70" s="824" t="s">
        <v>1810</v>
      </c>
      <c r="C70" s="825">
        <f ca="1">ROUND(C67*10000/F70,0)</f>
        <v>-1268</v>
      </c>
      <c r="D70" s="826" t="s">
        <v>1811</v>
      </c>
      <c r="E70" s="827" t="s">
        <v>1812</v>
      </c>
      <c r="F70" s="828">
        <f ca="1">F43</f>
        <v>295664.59999999998</v>
      </c>
      <c r="O70" s="2402" t="s">
        <v>2401</v>
      </c>
      <c r="P70" s="2408" t="s">
        <v>2402</v>
      </c>
      <c r="Q70" s="2401">
        <f ca="1">C39</f>
        <v>10602</v>
      </c>
      <c r="R70" s="2400" t="s">
        <v>2382</v>
      </c>
    </row>
    <row r="71" spans="1:18" ht="15.75" thickBot="1">
      <c r="O71" s="2402" t="s">
        <v>2403</v>
      </c>
      <c r="P71" s="2408" t="s">
        <v>2404</v>
      </c>
      <c r="Q71" s="2401">
        <f ca="1">C13</f>
        <v>141710</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243328</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0" t="s">
        <v>2473</v>
      </c>
      <c r="B1" s="3451"/>
      <c r="C1" s="3452"/>
      <c r="D1" s="3453">
        <f>SUM(I10,I15,I20,I21,I23)</f>
        <v>0</v>
      </c>
      <c r="E1" s="3453"/>
      <c r="F1" s="3453"/>
      <c r="G1" s="3453"/>
      <c r="H1" s="3453"/>
      <c r="I1" s="3454"/>
    </row>
    <row r="2" spans="1:9">
      <c r="A2" s="3455" t="s">
        <v>2474</v>
      </c>
      <c r="B2" s="3456" t="s">
        <v>2475</v>
      </c>
      <c r="C2" s="3456"/>
      <c r="D2" s="2508" t="s">
        <v>2476</v>
      </c>
      <c r="E2" s="2508" t="s">
        <v>2477</v>
      </c>
      <c r="F2" s="2508" t="s">
        <v>2478</v>
      </c>
      <c r="G2" s="2508" t="s">
        <v>2479</v>
      </c>
      <c r="H2" s="2508" t="s">
        <v>2480</v>
      </c>
      <c r="I2" s="2509" t="s">
        <v>2481</v>
      </c>
    </row>
    <row r="3" spans="1:9">
      <c r="A3" s="3455"/>
      <c r="B3" s="3456" t="s">
        <v>2482</v>
      </c>
      <c r="C3" s="3456"/>
      <c r="D3" s="2510"/>
      <c r="E3" s="2508"/>
      <c r="F3" s="2511"/>
      <c r="G3" s="2511"/>
      <c r="H3" s="2512"/>
      <c r="I3" s="2513">
        <f>ROUND(D3*E3*F3*G3*H3/10000,0)</f>
        <v>0</v>
      </c>
    </row>
    <row r="4" spans="1:9">
      <c r="A4" s="3455"/>
      <c r="B4" s="3456" t="s">
        <v>2483</v>
      </c>
      <c r="C4" s="3456"/>
      <c r="D4" s="2510"/>
      <c r="E4" s="2508"/>
      <c r="F4" s="2511"/>
      <c r="G4" s="2511"/>
      <c r="H4" s="2512"/>
      <c r="I4" s="2513">
        <f t="shared" ref="I4:I9" si="0">ROUND(D4*E4*F4*G4*H4/10000,0)</f>
        <v>0</v>
      </c>
    </row>
    <row r="5" spans="1:9">
      <c r="A5" s="3455"/>
      <c r="B5" s="3456" t="s">
        <v>2484</v>
      </c>
      <c r="C5" s="3456"/>
      <c r="D5" s="2510"/>
      <c r="E5" s="2508"/>
      <c r="F5" s="2511"/>
      <c r="G5" s="2511"/>
      <c r="H5" s="2512"/>
      <c r="I5" s="2513">
        <f t="shared" si="0"/>
        <v>0</v>
      </c>
    </row>
    <row r="6" spans="1:9">
      <c r="A6" s="3455"/>
      <c r="B6" s="3456" t="s">
        <v>2485</v>
      </c>
      <c r="C6" s="3456"/>
      <c r="D6" s="2510"/>
      <c r="E6" s="2508"/>
      <c r="F6" s="2511"/>
      <c r="G6" s="2511"/>
      <c r="H6" s="2512"/>
      <c r="I6" s="2513">
        <f t="shared" si="0"/>
        <v>0</v>
      </c>
    </row>
    <row r="7" spans="1:9">
      <c r="A7" s="3455"/>
      <c r="B7" s="3456" t="s">
        <v>2486</v>
      </c>
      <c r="C7" s="3456"/>
      <c r="D7" s="2510"/>
      <c r="E7" s="2508"/>
      <c r="F7" s="2511"/>
      <c r="G7" s="2511"/>
      <c r="H7" s="2512"/>
      <c r="I7" s="2513">
        <f t="shared" si="0"/>
        <v>0</v>
      </c>
    </row>
    <row r="8" spans="1:9">
      <c r="A8" s="3455"/>
      <c r="B8" s="3456" t="s">
        <v>2487</v>
      </c>
      <c r="C8" s="3456"/>
      <c r="D8" s="2510"/>
      <c r="E8" s="2508"/>
      <c r="F8" s="2511"/>
      <c r="G8" s="2511"/>
      <c r="H8" s="2512"/>
      <c r="I8" s="2513">
        <f t="shared" si="0"/>
        <v>0</v>
      </c>
    </row>
    <row r="9" spans="1:9">
      <c r="A9" s="3455"/>
      <c r="B9" s="3456" t="s">
        <v>2488</v>
      </c>
      <c r="C9" s="3456"/>
      <c r="D9" s="2510"/>
      <c r="E9" s="2508"/>
      <c r="F9" s="2511"/>
      <c r="G9" s="2511"/>
      <c r="H9" s="2512"/>
      <c r="I9" s="2513">
        <f t="shared" si="0"/>
        <v>0</v>
      </c>
    </row>
    <row r="10" spans="1:9">
      <c r="A10" s="3455"/>
      <c r="B10" s="3457" t="s">
        <v>2489</v>
      </c>
      <c r="C10" s="3457"/>
      <c r="D10" s="2514">
        <v>527</v>
      </c>
      <c r="E10" s="2514" t="e">
        <f>ROUND(D1*10000/D10/H9,0)</f>
        <v>#DIV/0!</v>
      </c>
      <c r="F10" s="2515"/>
      <c r="G10" s="2515"/>
      <c r="H10" s="2516"/>
      <c r="I10" s="2517">
        <f>SUM(I3:I9)</f>
        <v>0</v>
      </c>
    </row>
    <row r="11" spans="1:9" ht="14.25">
      <c r="A11" s="3455" t="s">
        <v>2490</v>
      </c>
      <c r="B11" s="3456" t="s">
        <v>2491</v>
      </c>
      <c r="C11" s="3456"/>
      <c r="D11" s="2510" t="s">
        <v>2492</v>
      </c>
      <c r="E11" s="2510" t="s">
        <v>2493</v>
      </c>
      <c r="F11" s="2511" t="s">
        <v>2494</v>
      </c>
      <c r="G11" s="2511" t="s">
        <v>2495</v>
      </c>
      <c r="H11" s="2518" t="s">
        <v>2496</v>
      </c>
      <c r="I11" s="2509" t="s">
        <v>2497</v>
      </c>
    </row>
    <row r="12" spans="1:9">
      <c r="A12" s="3455"/>
      <c r="B12" s="3456" t="s">
        <v>2498</v>
      </c>
      <c r="C12" s="3456"/>
      <c r="D12" s="2510"/>
      <c r="E12" s="2510"/>
      <c r="F12" s="2511"/>
      <c r="G12" s="2512"/>
      <c r="H12" s="2519"/>
      <c r="I12" s="2509">
        <f>ROUND(D12*E12*F12*G12/10000,0)</f>
        <v>0</v>
      </c>
    </row>
    <row r="13" spans="1:9">
      <c r="A13" s="3455"/>
      <c r="B13" s="3456" t="s">
        <v>2499</v>
      </c>
      <c r="C13" s="3456"/>
      <c r="D13" s="2510"/>
      <c r="E13" s="2510"/>
      <c r="F13" s="2511"/>
      <c r="G13" s="2512"/>
      <c r="H13" s="2519"/>
      <c r="I13" s="2509">
        <f>ROUND(D13*E13*F13*G13/10000,0)</f>
        <v>0</v>
      </c>
    </row>
    <row r="14" spans="1:9">
      <c r="A14" s="3455"/>
      <c r="B14" s="3456" t="s">
        <v>2500</v>
      </c>
      <c r="C14" s="3456"/>
      <c r="D14" s="2510"/>
      <c r="E14" s="2510"/>
      <c r="F14" s="2511"/>
      <c r="G14" s="2512"/>
      <c r="H14" s="2519"/>
      <c r="I14" s="2509">
        <f>ROUND(D14*E14*F14*G14/10000,0)</f>
        <v>0</v>
      </c>
    </row>
    <row r="15" spans="1:9">
      <c r="A15" s="3455"/>
      <c r="B15" s="3457" t="s">
        <v>2489</v>
      </c>
      <c r="C15" s="3457"/>
      <c r="D15" s="2514"/>
      <c r="E15" s="2514">
        <f>SUM(E12:E14)</f>
        <v>0</v>
      </c>
      <c r="F15" s="2515"/>
      <c r="G15" s="2512"/>
      <c r="H15" s="2519"/>
      <c r="I15" s="2520">
        <f>SUM(I12:I14)</f>
        <v>0</v>
      </c>
    </row>
    <row r="16" spans="1:9" ht="24">
      <c r="A16" s="3455" t="s">
        <v>2501</v>
      </c>
      <c r="B16" s="3456" t="s">
        <v>2502</v>
      </c>
      <c r="C16" s="3456"/>
      <c r="D16" s="2510" t="s">
        <v>2503</v>
      </c>
      <c r="E16" s="2521" t="s">
        <v>2504</v>
      </c>
      <c r="F16" s="2511" t="s">
        <v>2505</v>
      </c>
      <c r="G16" s="2512" t="s">
        <v>2495</v>
      </c>
      <c r="H16" s="2518" t="s">
        <v>2496</v>
      </c>
      <c r="I16" s="2509" t="s">
        <v>2497</v>
      </c>
    </row>
    <row r="17" spans="1:9" ht="14.25">
      <c r="A17" s="3455"/>
      <c r="B17" s="3456" t="s">
        <v>2506</v>
      </c>
      <c r="C17" s="3456"/>
      <c r="D17" s="2510"/>
      <c r="E17" s="2510"/>
      <c r="F17" s="2511"/>
      <c r="G17" s="2512"/>
      <c r="H17" s="2522"/>
      <c r="I17" s="2523">
        <f>ROUND(D17*E17*F17*G17/10000,0)</f>
        <v>0</v>
      </c>
    </row>
    <row r="18" spans="1:9" ht="14.25">
      <c r="A18" s="3455"/>
      <c r="B18" s="3456" t="s">
        <v>2507</v>
      </c>
      <c r="C18" s="3456"/>
      <c r="D18" s="2510"/>
      <c r="E18" s="2510"/>
      <c r="F18" s="2511"/>
      <c r="G18" s="2512"/>
      <c r="H18" s="2522"/>
      <c r="I18" s="2523">
        <f>ROUND(D18*E18*F18*G18/10000,0)</f>
        <v>0</v>
      </c>
    </row>
    <row r="19" spans="1:9" ht="14.25">
      <c r="A19" s="3455"/>
      <c r="B19" s="3456" t="s">
        <v>2508</v>
      </c>
      <c r="C19" s="3456"/>
      <c r="D19" s="2510"/>
      <c r="E19" s="2510"/>
      <c r="F19" s="2511"/>
      <c r="G19" s="2512"/>
      <c r="H19" s="2522"/>
      <c r="I19" s="2523">
        <f>ROUND(D19*E19*F19*G19/10000,0)</f>
        <v>0</v>
      </c>
    </row>
    <row r="20" spans="1:9">
      <c r="A20" s="3455"/>
      <c r="B20" s="3457" t="s">
        <v>2489</v>
      </c>
      <c r="C20" s="3457"/>
      <c r="D20" s="2514">
        <f>SUM(D17:D19)</f>
        <v>0</v>
      </c>
      <c r="E20" s="2514"/>
      <c r="F20" s="2515"/>
      <c r="G20" s="2512"/>
      <c r="H20" s="2519"/>
      <c r="I20" s="2520">
        <f>SUM(I17:I19)</f>
        <v>0</v>
      </c>
    </row>
    <row r="21" spans="1:9">
      <c r="A21" s="3455" t="s">
        <v>2509</v>
      </c>
      <c r="B21" s="3459"/>
      <c r="C21" s="3459"/>
      <c r="D21" s="3459"/>
      <c r="E21" s="3459"/>
      <c r="F21" s="3459"/>
      <c r="G21" s="3459"/>
      <c r="H21" s="2524">
        <v>0.1</v>
      </c>
      <c r="I21" s="2517">
        <f>ROUND(I10*H21,0)</f>
        <v>0</v>
      </c>
    </row>
    <row r="22" spans="1:9" ht="14.25">
      <c r="A22" s="3460" t="s">
        <v>2510</v>
      </c>
      <c r="B22" s="3461"/>
      <c r="C22" s="3462"/>
      <c r="D22" s="2525" t="s">
        <v>2511</v>
      </c>
      <c r="E22" s="2525" t="s">
        <v>2512</v>
      </c>
      <c r="F22" s="2526" t="s">
        <v>2513</v>
      </c>
      <c r="G22" s="2526" t="s">
        <v>2514</v>
      </c>
      <c r="H22" s="2518" t="s">
        <v>2515</v>
      </c>
      <c r="I22" s="2509" t="s">
        <v>2516</v>
      </c>
    </row>
    <row r="23" spans="1:9" ht="14.25" thickBot="1">
      <c r="A23" s="3463"/>
      <c r="B23" s="3464"/>
      <c r="C23" s="3465"/>
      <c r="D23" s="2527"/>
      <c r="E23" s="2527"/>
      <c r="F23" s="2527"/>
      <c r="G23" s="2528"/>
      <c r="H23" s="2529"/>
      <c r="I23" s="2530">
        <f>ROUND(E23*D23*F23*(1-G23)/10000,0)</f>
        <v>0</v>
      </c>
    </row>
    <row r="26" spans="1:9">
      <c r="A26" s="2531" t="s">
        <v>2517</v>
      </c>
      <c r="B26" s="2531"/>
      <c r="C26" s="2531"/>
      <c r="D26" s="2531"/>
      <c r="E26" s="3466">
        <f>C27-C30-C31-C32</f>
        <v>0</v>
      </c>
      <c r="F26" s="3466"/>
      <c r="G26" s="3466"/>
      <c r="H26" s="3045" t="s">
        <v>2845</v>
      </c>
    </row>
    <row r="27" spans="1:9">
      <c r="A27" s="2532">
        <v>1</v>
      </c>
      <c r="B27" s="2533" t="s">
        <v>2518</v>
      </c>
      <c r="C27" s="2533"/>
      <c r="D27" s="2533"/>
      <c r="E27" s="3467"/>
      <c r="F27" s="3467"/>
      <c r="G27" s="3467"/>
    </row>
    <row r="28" spans="1:9">
      <c r="A28" s="2534" t="s">
        <v>2519</v>
      </c>
      <c r="B28" s="2533" t="s">
        <v>2520</v>
      </c>
      <c r="C28" s="2533"/>
      <c r="D28" s="2533"/>
      <c r="E28" s="3467"/>
      <c r="F28" s="3467"/>
      <c r="G28" s="3467"/>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58"/>
      <c r="F32" s="3458"/>
      <c r="G32" s="3458"/>
    </row>
    <row r="33" spans="1:7" hidden="1">
      <c r="A33" s="3468" t="s">
        <v>2528</v>
      </c>
      <c r="B33" s="3469"/>
      <c r="C33" s="3469"/>
      <c r="D33" s="3470"/>
      <c r="E33" s="3466"/>
      <c r="F33" s="3466"/>
      <c r="G33" s="3466"/>
    </row>
    <row r="34" spans="1:7" hidden="1">
      <c r="A34" s="2536">
        <v>1</v>
      </c>
      <c r="B34" s="2533" t="s">
        <v>2529</v>
      </c>
      <c r="C34" s="2533"/>
      <c r="D34" s="2533"/>
      <c r="E34" s="3467"/>
      <c r="F34" s="3467"/>
      <c r="G34" s="3467"/>
    </row>
    <row r="35" spans="1:7" hidden="1">
      <c r="A35" s="2536">
        <v>2</v>
      </c>
      <c r="B35" s="2533" t="s">
        <v>2530</v>
      </c>
      <c r="C35" s="2533"/>
      <c r="D35" s="2533"/>
      <c r="E35" s="3467"/>
      <c r="F35" s="3467"/>
      <c r="G35" s="3467"/>
    </row>
    <row r="36" spans="1:7" hidden="1">
      <c r="A36" s="2536">
        <v>3</v>
      </c>
      <c r="B36" s="2533" t="s">
        <v>2531</v>
      </c>
      <c r="C36" s="2533"/>
      <c r="D36" s="2533"/>
      <c r="E36" s="3467"/>
      <c r="F36" s="3467"/>
      <c r="G36" s="3467"/>
    </row>
    <row r="37" spans="1:7" hidden="1">
      <c r="A37" s="2536">
        <v>4</v>
      </c>
      <c r="B37" s="2533" t="s">
        <v>2532</v>
      </c>
      <c r="C37" s="2533"/>
      <c r="D37" s="2533"/>
      <c r="E37" s="3467"/>
      <c r="F37" s="3467"/>
      <c r="G37" s="3467"/>
    </row>
    <row r="38" spans="1:7" hidden="1">
      <c r="A38" s="3468" t="s">
        <v>2533</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70">
        <v>1</v>
      </c>
      <c r="B7" s="748" t="s">
        <v>608</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612</v>
      </c>
      <c r="C10" s="749">
        <f>C11+C14+C15</f>
        <v>0</v>
      </c>
      <c r="D10" s="760">
        <f>'数据-汇总表'!E3</f>
        <v>295664.59999999998</v>
      </c>
      <c r="E10" s="749">
        <f>'数据-取费表'!B31</f>
        <v>90</v>
      </c>
      <c r="F10" s="761"/>
      <c r="G10" s="759" t="s">
        <v>613</v>
      </c>
    </row>
    <row r="11" spans="1:25" s="2184" customFormat="1" ht="13.5" customHeight="1">
      <c r="A11" s="2470" t="s">
        <v>2442</v>
      </c>
      <c r="B11" s="752" t="s">
        <v>609</v>
      </c>
      <c r="C11" s="753">
        <f>'数据-取费表'!B29</f>
        <v>0</v>
      </c>
      <c r="D11" s="754"/>
      <c r="E11" s="753"/>
      <c r="F11" s="755"/>
      <c r="G11" s="2479" t="s">
        <v>2453</v>
      </c>
    </row>
    <row r="12" spans="1:25" s="2184" customFormat="1" ht="13.5" customHeight="1">
      <c r="A12" s="2477" t="s">
        <v>2450</v>
      </c>
      <c r="B12" s="756" t="s">
        <v>610</v>
      </c>
      <c r="C12" s="757">
        <f>ROUND(D12*E12/10000,0)</f>
        <v>0</v>
      </c>
      <c r="D12" s="758">
        <f>'数据-汇总表'!E5</f>
        <v>0</v>
      </c>
      <c r="E12" s="757">
        <f>'数据-取费表'!B27</f>
        <v>50</v>
      </c>
      <c r="F12" s="755"/>
      <c r="G12" s="759"/>
    </row>
    <row r="13" spans="1:25" s="2184" customFormat="1" ht="13.5" customHeight="1">
      <c r="A13" s="2477" t="s">
        <v>2449</v>
      </c>
      <c r="B13" s="756" t="s">
        <v>611</v>
      </c>
      <c r="C13" s="757">
        <f>ROUND(D13*E13/10000,0)</f>
        <v>2661</v>
      </c>
      <c r="D13" s="758">
        <f>'数据-汇总表'!E6</f>
        <v>295664.59999999998</v>
      </c>
      <c r="E13" s="757">
        <f>'数据-取费表'!B28</f>
        <v>90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614</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615</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616</v>
      </c>
      <c r="C18" s="749">
        <f>ROUND((C7+C10+C16)*F18,0)</f>
        <v>0</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624</v>
      </c>
      <c r="C22" s="749">
        <f ca="1">ROUND(C21*F22,0)</f>
        <v>0</v>
      </c>
      <c r="D22" s="760"/>
      <c r="E22" s="749"/>
      <c r="F22" s="766">
        <f>'数据-取费表'!AP16</f>
        <v>0.84799999999999998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4" t="s">
        <v>718</v>
      </c>
      <c r="C1" s="2625" t="s">
        <v>719</v>
      </c>
      <c r="D1" s="2626"/>
      <c r="E1" s="2627"/>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365" t="s">
        <v>521</v>
      </c>
      <c r="D4" s="3366"/>
      <c r="E4" s="3399" t="s">
        <v>522</v>
      </c>
      <c r="F4" s="3400"/>
      <c r="G4" s="3365" t="s">
        <v>523</v>
      </c>
      <c r="H4" s="3366"/>
      <c r="I4" s="3365" t="s">
        <v>524</v>
      </c>
      <c r="J4" s="3366"/>
      <c r="K4" s="853" t="s">
        <v>525</v>
      </c>
      <c r="L4" s="2134"/>
      <c r="M4" s="2135"/>
      <c r="N4" s="2135"/>
      <c r="O4" s="2135"/>
      <c r="P4" s="3367" t="s">
        <v>526</v>
      </c>
      <c r="Q4" s="3368"/>
      <c r="R4" s="3373" t="s">
        <v>522</v>
      </c>
      <c r="S4" s="3374"/>
      <c r="T4" s="3373" t="s">
        <v>523</v>
      </c>
      <c r="U4" s="3374"/>
      <c r="V4" s="3360" t="s">
        <v>524</v>
      </c>
      <c r="W4" s="3360"/>
      <c r="X4" s="1567"/>
      <c r="Y4" s="3373" t="s">
        <v>526</v>
      </c>
      <c r="Z4" s="3374"/>
      <c r="AA4" s="3362" t="s">
        <v>522</v>
      </c>
      <c r="AB4" s="3362" t="s">
        <v>523</v>
      </c>
      <c r="AC4" s="3362" t="s">
        <v>524</v>
      </c>
    </row>
    <row r="5" spans="1:29" ht="15">
      <c r="A5" s="515"/>
      <c r="B5" s="516"/>
      <c r="C5" s="3381" t="s">
        <v>2933</v>
      </c>
      <c r="D5" s="3382"/>
      <c r="E5" s="3401" t="s">
        <v>2934</v>
      </c>
      <c r="F5" s="3402"/>
      <c r="G5" s="3381" t="s">
        <v>2935</v>
      </c>
      <c r="H5" s="3382"/>
      <c r="I5" s="3381" t="s">
        <v>2936</v>
      </c>
      <c r="J5" s="3382"/>
      <c r="K5" s="85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85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43627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0" t="s">
        <v>529</v>
      </c>
      <c r="Q7" s="3392"/>
      <c r="R7" s="1568" t="s">
        <v>13</v>
      </c>
      <c r="S7" s="1569">
        <f t="shared" ref="S7:S15" si="0">F7</f>
        <v>0</v>
      </c>
      <c r="T7" s="1568" t="s">
        <v>13</v>
      </c>
      <c r="U7" s="1569">
        <f t="shared" ref="U7:U15" si="1">H7</f>
        <v>0</v>
      </c>
      <c r="V7" s="1568" t="s">
        <v>13</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0" t="s">
        <v>532</v>
      </c>
      <c r="Q8" s="3391"/>
      <c r="R8" s="1568" t="s">
        <v>13</v>
      </c>
      <c r="S8" s="1569">
        <f t="shared" si="0"/>
        <v>0</v>
      </c>
      <c r="T8" s="1568" t="s">
        <v>13</v>
      </c>
      <c r="U8" s="1569">
        <f t="shared" si="1"/>
        <v>0</v>
      </c>
      <c r="V8" s="1568" t="s">
        <v>13</v>
      </c>
      <c r="W8" s="1569">
        <f t="shared" si="2"/>
        <v>0</v>
      </c>
      <c r="X8" s="1570"/>
      <c r="Y8" s="3390" t="s">
        <v>532</v>
      </c>
      <c r="Z8" s="3391"/>
      <c r="AA8" s="1571" t="e">
        <f t="shared" ref="AA8:AA46" si="3">D8/F8</f>
        <v>#DIV/0!</v>
      </c>
      <c r="AB8" s="1571" t="e">
        <f t="shared" ref="AB8:AB46" si="4">D8/H8</f>
        <v>#DIV/0!</v>
      </c>
      <c r="AC8" s="1571" t="e">
        <f t="shared" ref="AC8:AC46" si="5">D8/J8</f>
        <v>#DIV/0!</v>
      </c>
    </row>
    <row r="9" spans="1:29" s="1219" customFormat="1" ht="15">
      <c r="A9" s="2915"/>
      <c r="B9" s="2922" t="s">
        <v>2758</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9"/>
      <c r="Q11" s="1150" t="str">
        <f t="shared" si="6"/>
        <v>容积率</v>
      </c>
      <c r="R11" s="1568" t="s">
        <v>11</v>
      </c>
      <c r="S11" s="1569" t="e">
        <f t="shared" si="0"/>
        <v>#N/A</v>
      </c>
      <c r="T11" s="1568" t="s">
        <v>11</v>
      </c>
      <c r="U11" s="1569" t="e">
        <f t="shared" si="1"/>
        <v>#N/A</v>
      </c>
      <c r="V11" s="1568" t="s">
        <v>11</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9"/>
      <c r="Q12" s="1150">
        <f t="shared" si="6"/>
        <v>111</v>
      </c>
      <c r="R12" s="1568" t="s">
        <v>11</v>
      </c>
      <c r="S12" s="1569">
        <f t="shared" si="0"/>
        <v>100</v>
      </c>
      <c r="T12" s="1568" t="s">
        <v>11</v>
      </c>
      <c r="U12" s="1569">
        <f t="shared" si="1"/>
        <v>100</v>
      </c>
      <c r="V12" s="1568" t="s">
        <v>11</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9"/>
      <c r="Q13" s="1150">
        <f t="shared" si="6"/>
        <v>111</v>
      </c>
      <c r="R13" s="1568" t="s">
        <v>11</v>
      </c>
      <c r="S13" s="1569">
        <f t="shared" si="0"/>
        <v>100</v>
      </c>
      <c r="T13" s="1568" t="s">
        <v>11</v>
      </c>
      <c r="U13" s="1569">
        <f t="shared" si="1"/>
        <v>100</v>
      </c>
      <c r="V13" s="1568" t="s">
        <v>11</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9"/>
      <c r="Q14" s="1150">
        <f t="shared" si="6"/>
        <v>111</v>
      </c>
      <c r="R14" s="1568" t="s">
        <v>11</v>
      </c>
      <c r="S14" s="1569">
        <f t="shared" si="0"/>
        <v>100</v>
      </c>
      <c r="T14" s="1568" t="s">
        <v>11</v>
      </c>
      <c r="U14" s="1569">
        <f t="shared" si="1"/>
        <v>100</v>
      </c>
      <c r="V14" s="1568" t="s">
        <v>11</v>
      </c>
      <c r="W14" s="1569">
        <f t="shared" si="2"/>
        <v>100</v>
      </c>
      <c r="X14" s="1570"/>
      <c r="Y14" s="3305"/>
      <c r="Z14" s="1149">
        <f t="shared" si="7"/>
        <v>111</v>
      </c>
      <c r="AA14" s="1571">
        <f t="shared" si="3"/>
        <v>1</v>
      </c>
      <c r="AB14" s="1571">
        <f t="shared" si="4"/>
        <v>1</v>
      </c>
      <c r="AC14" s="1571">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3" t="s">
        <v>539</v>
      </c>
      <c r="Q15" s="1572" t="str">
        <f t="shared" si="6"/>
        <v>居住社区成熟度</v>
      </c>
      <c r="R15" s="1573" t="s">
        <v>11</v>
      </c>
      <c r="S15" s="1574">
        <f t="shared" si="0"/>
        <v>100</v>
      </c>
      <c r="T15" s="1573" t="s">
        <v>11</v>
      </c>
      <c r="U15" s="1574">
        <f t="shared" si="1"/>
        <v>100</v>
      </c>
      <c r="V15" s="1573" t="s">
        <v>11</v>
      </c>
      <c r="W15" s="1574">
        <f t="shared" si="2"/>
        <v>100</v>
      </c>
      <c r="X15" s="1567"/>
      <c r="Y15" s="3393"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94"/>
      <c r="Q16" s="1572"/>
      <c r="R16" s="1573"/>
      <c r="S16" s="1574"/>
      <c r="T16" s="1573"/>
      <c r="U16" s="1574"/>
      <c r="V16" s="1573"/>
      <c r="W16" s="1574"/>
      <c r="X16" s="1567"/>
      <c r="Y16" s="339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4"/>
      <c r="Q17" s="1572" t="str">
        <f>B17</f>
        <v>交通便捷度</v>
      </c>
      <c r="R17" s="1573" t="s">
        <v>11</v>
      </c>
      <c r="S17" s="1574">
        <f>F17</f>
        <v>100</v>
      </c>
      <c r="T17" s="1573" t="s">
        <v>11</v>
      </c>
      <c r="U17" s="1574">
        <f>H17</f>
        <v>100</v>
      </c>
      <c r="V17" s="1573" t="s">
        <v>11</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94"/>
      <c r="Q18" s="1572"/>
      <c r="R18" s="1573"/>
      <c r="S18" s="1574"/>
      <c r="T18" s="1573"/>
      <c r="U18" s="1574"/>
      <c r="V18" s="1573"/>
      <c r="W18" s="1574"/>
      <c r="X18" s="1567"/>
      <c r="Y18" s="3394"/>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4"/>
      <c r="Q19" s="1572" t="str">
        <f>B19</f>
        <v>公共配套设施</v>
      </c>
      <c r="R19" s="1573" t="s">
        <v>11</v>
      </c>
      <c r="S19" s="1574">
        <f>F19</f>
        <v>100</v>
      </c>
      <c r="T19" s="1573" t="s">
        <v>11</v>
      </c>
      <c r="U19" s="1574">
        <f>H19</f>
        <v>100</v>
      </c>
      <c r="V19" s="1573" t="s">
        <v>11</v>
      </c>
      <c r="W19" s="1574">
        <f>J19</f>
        <v>100</v>
      </c>
      <c r="X19" s="1567"/>
      <c r="Y19" s="33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4"/>
      <c r="Q21" s="2580" t="str">
        <f>B21</f>
        <v>基础设施水平</v>
      </c>
      <c r="R21" s="1573" t="s">
        <v>11</v>
      </c>
      <c r="S21" s="1574">
        <f>F21</f>
        <v>100</v>
      </c>
      <c r="T21" s="1573" t="s">
        <v>11</v>
      </c>
      <c r="U21" s="1574">
        <f>H21</f>
        <v>100</v>
      </c>
      <c r="V21" s="1573" t="s">
        <v>11</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394"/>
      <c r="Q22" s="2580"/>
      <c r="R22" s="1573"/>
      <c r="S22" s="1574"/>
      <c r="T22" s="1573"/>
      <c r="U22" s="1574"/>
      <c r="V22" s="1573"/>
      <c r="W22" s="1574"/>
      <c r="X22" s="2582"/>
      <c r="Y22" s="3394"/>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4"/>
      <c r="Q23" s="1572" t="str">
        <f>B23</f>
        <v>自然及人文环境</v>
      </c>
      <c r="R23" s="1573" t="s">
        <v>11</v>
      </c>
      <c r="S23" s="1574">
        <f>F23</f>
        <v>100</v>
      </c>
      <c r="T23" s="1573" t="s">
        <v>11</v>
      </c>
      <c r="U23" s="1574">
        <f>H23</f>
        <v>100</v>
      </c>
      <c r="V23" s="1573" t="s">
        <v>11</v>
      </c>
      <c r="W23" s="1574">
        <f>J23</f>
        <v>100</v>
      </c>
      <c r="X23" s="1567"/>
      <c r="Y23" s="33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4"/>
      <c r="Q25" s="1572" t="str">
        <f t="shared" ref="Q25:Q46" si="11">B25</f>
        <v>楼层-1</v>
      </c>
      <c r="R25" s="1573" t="s">
        <v>11</v>
      </c>
      <c r="S25" s="1574">
        <f>F25</f>
        <v>100</v>
      </c>
      <c r="T25" s="1573" t="s">
        <v>11</v>
      </c>
      <c r="U25" s="1574">
        <f>H25</f>
        <v>100</v>
      </c>
      <c r="V25" s="1573" t="s">
        <v>11</v>
      </c>
      <c r="W25" s="1574">
        <f>J25</f>
        <v>100</v>
      </c>
      <c r="X25" s="1567"/>
      <c r="Y25" s="3394"/>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4"/>
      <c r="Q26" s="1572" t="str">
        <f t="shared" si="11"/>
        <v>朝向</v>
      </c>
      <c r="R26" s="1573" t="s">
        <v>11</v>
      </c>
      <c r="S26" s="1574">
        <f>F26</f>
        <v>100</v>
      </c>
      <c r="T26" s="1573" t="s">
        <v>11</v>
      </c>
      <c r="U26" s="1574">
        <f>H26</f>
        <v>100</v>
      </c>
      <c r="V26" s="1573" t="s">
        <v>11</v>
      </c>
      <c r="W26" s="1574">
        <f>J26</f>
        <v>100</v>
      </c>
      <c r="X26" s="1567"/>
      <c r="Y26" s="3394"/>
      <c r="Z26" s="1575" t="str">
        <f>Q26</f>
        <v>朝向</v>
      </c>
      <c r="AA26" s="1576">
        <f t="shared" si="3"/>
        <v>1</v>
      </c>
      <c r="AB26" s="1576">
        <f t="shared" si="4"/>
        <v>1</v>
      </c>
      <c r="AC26" s="1576">
        <f t="shared" si="5"/>
        <v>1</v>
      </c>
    </row>
    <row r="27" spans="1:29" s="1219"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4"/>
      <c r="Q27" s="1150" t="str">
        <f t="shared" si="11"/>
        <v>道路级别</v>
      </c>
      <c r="R27" s="1568" t="s">
        <v>11</v>
      </c>
      <c r="S27" s="1569">
        <f>F27</f>
        <v>100</v>
      </c>
      <c r="T27" s="1568" t="s">
        <v>11</v>
      </c>
      <c r="U27" s="1569">
        <f>H27</f>
        <v>100</v>
      </c>
      <c r="V27" s="1568" t="s">
        <v>11</v>
      </c>
      <c r="W27" s="1569">
        <f>J27</f>
        <v>100</v>
      </c>
      <c r="X27" s="1570"/>
      <c r="Y27" s="3394"/>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4"/>
      <c r="Q29" s="1572">
        <f t="shared" si="11"/>
        <v>111</v>
      </c>
      <c r="R29" s="1573" t="s">
        <v>11</v>
      </c>
      <c r="S29" s="1574">
        <f t="shared" si="12"/>
        <v>100</v>
      </c>
      <c r="T29" s="1573" t="s">
        <v>11</v>
      </c>
      <c r="U29" s="1574">
        <f t="shared" si="13"/>
        <v>100</v>
      </c>
      <c r="V29" s="1573" t="s">
        <v>11</v>
      </c>
      <c r="W29" s="1574">
        <f t="shared" si="14"/>
        <v>100</v>
      </c>
      <c r="X29" s="1567"/>
      <c r="Y29" s="33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4"/>
      <c r="Q30" s="1572">
        <f t="shared" si="11"/>
        <v>111</v>
      </c>
      <c r="R30" s="1573" t="s">
        <v>11</v>
      </c>
      <c r="S30" s="1574">
        <f t="shared" si="12"/>
        <v>100</v>
      </c>
      <c r="T30" s="1573" t="s">
        <v>11</v>
      </c>
      <c r="U30" s="1574">
        <f t="shared" si="13"/>
        <v>100</v>
      </c>
      <c r="V30" s="1573" t="s">
        <v>11</v>
      </c>
      <c r="W30" s="1574">
        <f t="shared" si="14"/>
        <v>100</v>
      </c>
      <c r="X30" s="1567"/>
      <c r="Y30" s="339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4"/>
      <c r="Q31" s="1572">
        <f t="shared" si="11"/>
        <v>111</v>
      </c>
      <c r="R31" s="1573" t="s">
        <v>11</v>
      </c>
      <c r="S31" s="1574">
        <f t="shared" si="12"/>
        <v>100</v>
      </c>
      <c r="T31" s="1573" t="s">
        <v>11</v>
      </c>
      <c r="U31" s="1574">
        <f t="shared" si="13"/>
        <v>100</v>
      </c>
      <c r="V31" s="1573" t="s">
        <v>11</v>
      </c>
      <c r="W31" s="1574">
        <f t="shared" si="14"/>
        <v>100</v>
      </c>
      <c r="X31" s="1567"/>
      <c r="Y31" s="3394"/>
      <c r="Z31" s="1575">
        <f t="shared" si="15"/>
        <v>111</v>
      </c>
      <c r="AA31" s="1576">
        <f t="shared" si="3"/>
        <v>1</v>
      </c>
      <c r="AB31" s="1576">
        <f t="shared" si="4"/>
        <v>1</v>
      </c>
      <c r="AC31" s="1576">
        <f t="shared" si="5"/>
        <v>1</v>
      </c>
    </row>
    <row r="32" spans="1:29" ht="15">
      <c r="A32" s="2908" t="s">
        <v>2757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5" t="s">
        <v>549</v>
      </c>
      <c r="Q32" s="1572" t="str">
        <f t="shared" si="11"/>
        <v>建筑类型</v>
      </c>
      <c r="R32" s="1573" t="s">
        <v>11</v>
      </c>
      <c r="S32" s="1574">
        <f t="shared" si="12"/>
        <v>100</v>
      </c>
      <c r="T32" s="1573" t="s">
        <v>11</v>
      </c>
      <c r="U32" s="1574">
        <f t="shared" si="13"/>
        <v>100</v>
      </c>
      <c r="V32" s="1573" t="s">
        <v>11</v>
      </c>
      <c r="W32" s="1574">
        <f t="shared" si="14"/>
        <v>100</v>
      </c>
      <c r="X32" s="1567"/>
      <c r="Y32" s="3396" t="s">
        <v>549</v>
      </c>
      <c r="Z32" s="1575" t="str">
        <f t="shared" si="15"/>
        <v>建筑类型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6"/>
      <c r="Q33" s="1605" t="str">
        <f t="shared" si="11"/>
        <v>项目建筑规模</v>
      </c>
      <c r="R33" s="1577" t="s">
        <v>11</v>
      </c>
      <c r="S33" s="1578" t="e">
        <f t="shared" si="12"/>
        <v>#N/A</v>
      </c>
      <c r="T33" s="1577" t="s">
        <v>11</v>
      </c>
      <c r="U33" s="1578" t="e">
        <f t="shared" si="13"/>
        <v>#N/A</v>
      </c>
      <c r="V33" s="1577" t="s">
        <v>11</v>
      </c>
      <c r="W33" s="1578" t="e">
        <f t="shared" si="14"/>
        <v>#N/A</v>
      </c>
      <c r="X33" s="1579"/>
      <c r="Y33" s="339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6"/>
      <c r="Q34" s="1572" t="str">
        <f t="shared" si="11"/>
        <v>建筑结构</v>
      </c>
      <c r="R34" s="1573" t="s">
        <v>11</v>
      </c>
      <c r="S34" s="1574">
        <f t="shared" si="12"/>
        <v>100</v>
      </c>
      <c r="T34" s="1573" t="s">
        <v>11</v>
      </c>
      <c r="U34" s="1574">
        <f t="shared" si="13"/>
        <v>100</v>
      </c>
      <c r="V34" s="1573" t="s">
        <v>11</v>
      </c>
      <c r="W34" s="1574">
        <f t="shared" si="14"/>
        <v>100</v>
      </c>
      <c r="X34" s="1567"/>
      <c r="Y34" s="3396"/>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6"/>
      <c r="Q35" s="1572" t="str">
        <f t="shared" si="11"/>
        <v>建筑品质</v>
      </c>
      <c r="R35" s="1573" t="s">
        <v>11</v>
      </c>
      <c r="S35" s="1574">
        <f t="shared" si="12"/>
        <v>100</v>
      </c>
      <c r="T35" s="1573" t="s">
        <v>11</v>
      </c>
      <c r="U35" s="1574">
        <f t="shared" si="13"/>
        <v>100</v>
      </c>
      <c r="V35" s="1573" t="s">
        <v>11</v>
      </c>
      <c r="W35" s="1574">
        <f t="shared" si="14"/>
        <v>100</v>
      </c>
      <c r="X35" s="1567"/>
      <c r="Y35" s="3396"/>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6"/>
      <c r="Q36" s="1572" t="str">
        <f t="shared" si="11"/>
        <v>公共部分装修</v>
      </c>
      <c r="R36" s="1573" t="s">
        <v>11</v>
      </c>
      <c r="S36" s="1574">
        <f t="shared" si="12"/>
        <v>100</v>
      </c>
      <c r="T36" s="1573" t="s">
        <v>11</v>
      </c>
      <c r="U36" s="1574">
        <f t="shared" si="13"/>
        <v>100</v>
      </c>
      <c r="V36" s="1573" t="s">
        <v>11</v>
      </c>
      <c r="W36" s="1574">
        <f t="shared" si="14"/>
        <v>100</v>
      </c>
      <c r="X36" s="1567"/>
      <c r="Y36" s="3396"/>
      <c r="Z36" s="1575" t="str">
        <f t="shared" si="15"/>
        <v>公共部分装修</v>
      </c>
      <c r="AA36" s="1576">
        <f t="shared" si="3"/>
        <v>1</v>
      </c>
      <c r="AB36" s="1576">
        <f t="shared" si="4"/>
        <v>1</v>
      </c>
      <c r="AC36" s="1576">
        <f t="shared" si="5"/>
        <v>1</v>
      </c>
    </row>
    <row r="37" spans="1:29" s="1219"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6"/>
      <c r="Q37" s="1150" t="str">
        <f t="shared" si="11"/>
        <v>成新度</v>
      </c>
      <c r="R37" s="1568" t="s">
        <v>11</v>
      </c>
      <c r="S37" s="1569" t="e">
        <f t="shared" si="12"/>
        <v>#N/A</v>
      </c>
      <c r="T37" s="1568" t="s">
        <v>11</v>
      </c>
      <c r="U37" s="1569" t="e">
        <f t="shared" si="13"/>
        <v>#N/A</v>
      </c>
      <c r="V37" s="1568" t="s">
        <v>11</v>
      </c>
      <c r="W37" s="1569" t="e">
        <f t="shared" si="14"/>
        <v>#N/A</v>
      </c>
      <c r="X37" s="1570"/>
      <c r="Y37" s="3396"/>
      <c r="Z37" s="1149"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6" t="s">
        <v>549</v>
      </c>
      <c r="Q38" s="1572" t="str">
        <f t="shared" si="11"/>
        <v>物业管理</v>
      </c>
      <c r="R38" s="1573" t="s">
        <v>11</v>
      </c>
      <c r="S38" s="1574">
        <f t="shared" si="12"/>
        <v>100</v>
      </c>
      <c r="T38" s="1573" t="s">
        <v>11</v>
      </c>
      <c r="U38" s="1574">
        <f t="shared" si="13"/>
        <v>100</v>
      </c>
      <c r="V38" s="1573" t="s">
        <v>11</v>
      </c>
      <c r="W38" s="1574">
        <f t="shared" si="14"/>
        <v>100</v>
      </c>
      <c r="X38" s="1567"/>
      <c r="Y38" s="3396" t="s">
        <v>549</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6"/>
      <c r="Q39" s="1572" t="str">
        <f t="shared" si="11"/>
        <v>市政基础设施</v>
      </c>
      <c r="R39" s="1573" t="s">
        <v>11</v>
      </c>
      <c r="S39" s="1574">
        <f t="shared" si="12"/>
        <v>100</v>
      </c>
      <c r="T39" s="1573" t="s">
        <v>11</v>
      </c>
      <c r="U39" s="1574">
        <f t="shared" si="13"/>
        <v>100</v>
      </c>
      <c r="V39" s="1573" t="s">
        <v>11</v>
      </c>
      <c r="W39" s="1574">
        <f t="shared" si="14"/>
        <v>100</v>
      </c>
      <c r="X39" s="1567"/>
      <c r="Y39" s="3396"/>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6"/>
      <c r="Q40" s="1572" t="str">
        <f t="shared" si="11"/>
        <v>房型</v>
      </c>
      <c r="R40" s="1573" t="s">
        <v>11</v>
      </c>
      <c r="S40" s="1574">
        <f t="shared" si="12"/>
        <v>100</v>
      </c>
      <c r="T40" s="1573" t="s">
        <v>11</v>
      </c>
      <c r="U40" s="1574">
        <f t="shared" si="13"/>
        <v>100</v>
      </c>
      <c r="V40" s="1573" t="s">
        <v>11</v>
      </c>
      <c r="W40" s="1574">
        <f t="shared" si="14"/>
        <v>100</v>
      </c>
      <c r="X40" s="1567"/>
      <c r="Y40" s="3396"/>
      <c r="Z40" s="1575" t="str">
        <f t="shared" si="15"/>
        <v>房型</v>
      </c>
      <c r="AA40" s="1576">
        <f t="shared" si="3"/>
        <v>1</v>
      </c>
      <c r="AB40" s="1576">
        <f t="shared" si="4"/>
        <v>1</v>
      </c>
      <c r="AC40" s="1576">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6"/>
      <c r="Q41" s="1605" t="str">
        <f t="shared" si="11"/>
        <v>单套/主力户型建筑面积</v>
      </c>
      <c r="R41" s="1577" t="s">
        <v>11</v>
      </c>
      <c r="S41" s="1578">
        <f t="shared" si="12"/>
        <v>100</v>
      </c>
      <c r="T41" s="1577" t="s">
        <v>11</v>
      </c>
      <c r="U41" s="1578">
        <f t="shared" si="13"/>
        <v>100</v>
      </c>
      <c r="V41" s="1577" t="s">
        <v>11</v>
      </c>
      <c r="W41" s="1578">
        <f t="shared" si="14"/>
        <v>100</v>
      </c>
      <c r="X41" s="1579"/>
      <c r="Y41" s="3396"/>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6"/>
      <c r="Q42" s="1572" t="str">
        <f t="shared" si="11"/>
        <v>内部装修</v>
      </c>
      <c r="R42" s="1573" t="s">
        <v>11</v>
      </c>
      <c r="S42" s="1574">
        <f t="shared" si="12"/>
        <v>100</v>
      </c>
      <c r="T42" s="1573" t="s">
        <v>11</v>
      </c>
      <c r="U42" s="1574">
        <f t="shared" si="13"/>
        <v>100</v>
      </c>
      <c r="V42" s="1573" t="s">
        <v>11</v>
      </c>
      <c r="W42" s="1574">
        <f t="shared" si="14"/>
        <v>100</v>
      </c>
      <c r="X42" s="1567"/>
      <c r="Y42" s="3396"/>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6"/>
      <c r="Q43" s="1572" t="str">
        <f t="shared" si="11"/>
        <v>内部装修维护情况</v>
      </c>
      <c r="R43" s="1573" t="s">
        <v>11</v>
      </c>
      <c r="S43" s="1574">
        <f t="shared" si="12"/>
        <v>100</v>
      </c>
      <c r="T43" s="1573" t="s">
        <v>11</v>
      </c>
      <c r="U43" s="1574">
        <f t="shared" si="13"/>
        <v>100</v>
      </c>
      <c r="V43" s="1573" t="s">
        <v>11</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6"/>
      <c r="Q44" s="1150">
        <f t="shared" si="11"/>
        <v>111</v>
      </c>
      <c r="R44" s="1568" t="s">
        <v>11</v>
      </c>
      <c r="S44" s="1569">
        <f t="shared" si="12"/>
        <v>100</v>
      </c>
      <c r="T44" s="1568" t="s">
        <v>11</v>
      </c>
      <c r="U44" s="1569">
        <f t="shared" si="13"/>
        <v>100</v>
      </c>
      <c r="V44" s="1568" t="s">
        <v>11</v>
      </c>
      <c r="W44" s="1569">
        <f t="shared" si="14"/>
        <v>100</v>
      </c>
      <c r="X44" s="1570"/>
      <c r="Y44" s="33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6"/>
      <c r="Q45" s="1572">
        <f t="shared" si="11"/>
        <v>111</v>
      </c>
      <c r="R45" s="1573" t="s">
        <v>11</v>
      </c>
      <c r="S45" s="1574">
        <f t="shared" si="12"/>
        <v>100</v>
      </c>
      <c r="T45" s="1573" t="s">
        <v>11</v>
      </c>
      <c r="U45" s="1574">
        <f t="shared" si="13"/>
        <v>100</v>
      </c>
      <c r="V45" s="1573" t="s">
        <v>11</v>
      </c>
      <c r="W45" s="1574">
        <f t="shared" si="14"/>
        <v>100</v>
      </c>
      <c r="X45" s="1567"/>
      <c r="Y45" s="339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3"/>
      <c r="Q46" s="1572">
        <f t="shared" si="11"/>
        <v>111</v>
      </c>
      <c r="R46" s="1573" t="s">
        <v>10</v>
      </c>
      <c r="S46" s="1574">
        <f t="shared" si="12"/>
        <v>100</v>
      </c>
      <c r="T46" s="1573" t="s">
        <v>10</v>
      </c>
      <c r="U46" s="1574">
        <f t="shared" si="13"/>
        <v>100</v>
      </c>
      <c r="V46" s="1573" t="s">
        <v>10</v>
      </c>
      <c r="W46" s="1574">
        <f t="shared" si="14"/>
        <v>100</v>
      </c>
      <c r="X46" s="1567"/>
      <c r="Y46" s="3473"/>
      <c r="Z46" s="1575">
        <f t="shared" si="15"/>
        <v>111</v>
      </c>
      <c r="AA46" s="1576">
        <f t="shared" si="3"/>
        <v>1</v>
      </c>
      <c r="AB46" s="1576">
        <f t="shared" si="4"/>
        <v>1</v>
      </c>
      <c r="AC46" s="1576">
        <f t="shared" si="5"/>
        <v>1</v>
      </c>
    </row>
    <row r="47" spans="1:29" ht="15">
      <c r="A47" s="607" t="s">
        <v>735</v>
      </c>
      <c r="B47" s="887"/>
      <c r="C47" s="2628" t="s">
        <v>9</v>
      </c>
      <c r="D47" s="2629"/>
      <c r="E47" s="2630"/>
      <c r="F47" s="2631"/>
      <c r="G47" s="2632"/>
      <c r="H47" s="2633"/>
      <c r="I47" s="2630"/>
      <c r="J47" s="2633"/>
      <c r="K47" s="1606"/>
      <c r="L47" s="2145"/>
      <c r="M47" s="2146"/>
      <c r="N47" s="2135"/>
      <c r="O47" s="2146"/>
      <c r="P47" s="3359" t="str">
        <f>A47</f>
        <v>成交单价（元/平方米）</v>
      </c>
      <c r="Q47" s="3359"/>
      <c r="R47" s="3472">
        <f>E47</f>
        <v>0</v>
      </c>
      <c r="S47" s="3472"/>
      <c r="T47" s="3472">
        <f>G47</f>
        <v>0</v>
      </c>
      <c r="U47" s="3472"/>
      <c r="V47" s="3472">
        <f>I47</f>
        <v>0</v>
      </c>
      <c r="W47" s="347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07"/>
      <c r="L48" s="2145"/>
      <c r="M48" s="2146"/>
      <c r="N48" s="2146"/>
      <c r="O48" s="2146"/>
      <c r="P48" s="3359" t="str">
        <f>A48</f>
        <v>比较价格（元/平方米）</v>
      </c>
      <c r="Q48" s="335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356" t="str">
        <f>A49</f>
        <v>估价对象XX用房的比较价格（楼面单价，元/平方米）</v>
      </c>
      <c r="Q49" s="3357"/>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05" t="str">
        <f>YEAR(C7)&amp;"-"&amp;MONTH(C7)</f>
        <v>2019-6</v>
      </c>
      <c r="D58" s="2805">
        <f>EDATE(C58,-1)</f>
        <v>43586</v>
      </c>
      <c r="E58" s="2805">
        <f t="shared" ref="E58:O58" si="16">EDATE(D58,-1)</f>
        <v>43556</v>
      </c>
      <c r="F58" s="2805">
        <f t="shared" si="16"/>
        <v>43525</v>
      </c>
      <c r="G58" s="2805">
        <f t="shared" si="16"/>
        <v>43497</v>
      </c>
      <c r="H58" s="2805">
        <f t="shared" si="16"/>
        <v>43466</v>
      </c>
      <c r="I58" s="2805">
        <f t="shared" si="16"/>
        <v>43435</v>
      </c>
      <c r="J58" s="2805">
        <f t="shared" si="16"/>
        <v>43405</v>
      </c>
      <c r="K58" s="2805">
        <f t="shared" si="16"/>
        <v>43374</v>
      </c>
      <c r="L58" s="2805">
        <f t="shared" si="16"/>
        <v>43344</v>
      </c>
      <c r="M58" s="2805">
        <f t="shared" si="16"/>
        <v>43313</v>
      </c>
      <c r="N58" s="2805">
        <f t="shared" si="16"/>
        <v>43282</v>
      </c>
      <c r="O58" s="2805">
        <f t="shared" si="16"/>
        <v>43252</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365" t="s">
        <v>521</v>
      </c>
      <c r="D4" s="3366"/>
      <c r="E4" s="3399" t="s">
        <v>522</v>
      </c>
      <c r="F4" s="3400"/>
      <c r="G4" s="3365" t="s">
        <v>523</v>
      </c>
      <c r="H4" s="3366"/>
      <c r="I4" s="3365" t="s">
        <v>524</v>
      </c>
      <c r="J4" s="3366"/>
      <c r="K4" s="514" t="s">
        <v>525</v>
      </c>
      <c r="L4" s="2134"/>
      <c r="M4" s="2135"/>
      <c r="N4" s="2135"/>
      <c r="O4" s="2135"/>
      <c r="P4" s="3367" t="s">
        <v>526</v>
      </c>
      <c r="Q4" s="3368"/>
      <c r="R4" s="3373" t="s">
        <v>522</v>
      </c>
      <c r="S4" s="3374"/>
      <c r="T4" s="3373" t="s">
        <v>523</v>
      </c>
      <c r="U4" s="3374"/>
      <c r="V4" s="3360" t="s">
        <v>524</v>
      </c>
      <c r="W4" s="3360"/>
      <c r="X4" s="1567"/>
      <c r="Y4" s="3373" t="s">
        <v>526</v>
      </c>
      <c r="Z4" s="3374"/>
      <c r="AA4" s="3362" t="s">
        <v>522</v>
      </c>
      <c r="AB4" s="3360" t="s">
        <v>523</v>
      </c>
      <c r="AC4" s="3362" t="s">
        <v>524</v>
      </c>
    </row>
    <row r="5" spans="1:29" ht="15">
      <c r="A5" s="515"/>
      <c r="B5" s="516"/>
      <c r="C5" s="3381" t="s">
        <v>2933</v>
      </c>
      <c r="D5" s="3382"/>
      <c r="E5" s="3401" t="s">
        <v>2934</v>
      </c>
      <c r="F5" s="340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0"/>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0"/>
      <c r="AC6" s="3364"/>
    </row>
    <row r="7" spans="1:29" s="1219" customFormat="1" ht="15.75" thickBot="1">
      <c r="A7" s="2913"/>
      <c r="B7" s="2920" t="s">
        <v>528</v>
      </c>
      <c r="C7" s="519">
        <f>'数据-取费表'!B2</f>
        <v>43627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0" t="s">
        <v>529</v>
      </c>
      <c r="Q7" s="3392"/>
      <c r="R7" s="1568" t="s">
        <v>8</v>
      </c>
      <c r="S7" s="1569">
        <f t="shared" ref="S7:S15" si="0">F7</f>
        <v>0</v>
      </c>
      <c r="T7" s="1568" t="s">
        <v>8</v>
      </c>
      <c r="U7" s="1569">
        <f t="shared" ref="U7:U15" si="1">H7</f>
        <v>0</v>
      </c>
      <c r="V7" s="1568" t="s">
        <v>8</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46" si="3">D8/F8</f>
        <v>#DIV/0!</v>
      </c>
      <c r="AB8" s="1571" t="e">
        <f t="shared" ref="AB8:AB46" si="4">D8/H8</f>
        <v>#DIV/0!</v>
      </c>
      <c r="AC8" s="1571" t="e">
        <f t="shared" ref="AC8:AC46" si="5">D8/J8</f>
        <v>#DIV/0!</v>
      </c>
    </row>
    <row r="9" spans="1:29" s="1219"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71.25">
      <c r="A15" s="2911"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3" t="s">
        <v>539</v>
      </c>
      <c r="Q15" s="1572" t="str">
        <f t="shared" si="6"/>
        <v>商业繁华度</v>
      </c>
      <c r="R15" s="1573" t="s">
        <v>8</v>
      </c>
      <c r="S15" s="1574">
        <f t="shared" si="0"/>
        <v>100</v>
      </c>
      <c r="T15" s="1573" t="s">
        <v>8</v>
      </c>
      <c r="U15" s="1574">
        <f t="shared" si="1"/>
        <v>100</v>
      </c>
      <c r="V15" s="1573" t="s">
        <v>8</v>
      </c>
      <c r="W15" s="1574">
        <f t="shared" si="2"/>
        <v>100</v>
      </c>
      <c r="X15" s="1567"/>
      <c r="Y15" s="3393"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4"/>
      <c r="Q16" s="1572"/>
      <c r="R16" s="1573"/>
      <c r="S16" s="1574"/>
      <c r="T16" s="1573"/>
      <c r="U16" s="1574"/>
      <c r="V16" s="1573"/>
      <c r="W16" s="1574"/>
      <c r="X16" s="1567"/>
      <c r="Y16" s="339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4"/>
      <c r="Q18" s="1572"/>
      <c r="R18" s="1573"/>
      <c r="S18" s="1574"/>
      <c r="T18" s="1573"/>
      <c r="U18" s="1574"/>
      <c r="V18" s="1573"/>
      <c r="W18" s="1574"/>
      <c r="X18" s="1567"/>
      <c r="Y18" s="3394"/>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4"/>
      <c r="Q21" s="2580" t="str">
        <f>B21</f>
        <v>基础设施水平</v>
      </c>
      <c r="R21" s="1573" t="s">
        <v>8</v>
      </c>
      <c r="S21" s="1574">
        <f>F21</f>
        <v>100</v>
      </c>
      <c r="T21" s="1573" t="s">
        <v>8</v>
      </c>
      <c r="U21" s="1574">
        <f>H21</f>
        <v>100</v>
      </c>
      <c r="V21" s="1573" t="s">
        <v>8</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94"/>
      <c r="Q22" s="2580"/>
      <c r="R22" s="1573"/>
      <c r="S22" s="1574"/>
      <c r="T22" s="1573"/>
      <c r="U22" s="1574"/>
      <c r="V22" s="1573"/>
      <c r="W22" s="1574"/>
      <c r="X22" s="2582"/>
      <c r="Y22" s="3394"/>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4"/>
      <c r="Q23" s="1572" t="str">
        <f>B23</f>
        <v>自然及人文环境</v>
      </c>
      <c r="R23" s="1573" t="s">
        <v>8</v>
      </c>
      <c r="S23" s="1574">
        <f>F23</f>
        <v>100</v>
      </c>
      <c r="T23" s="1573" t="s">
        <v>8</v>
      </c>
      <c r="U23" s="1574">
        <f>H23</f>
        <v>100</v>
      </c>
      <c r="V23" s="1573" t="s">
        <v>8</v>
      </c>
      <c r="W23" s="1574">
        <f>J23</f>
        <v>100</v>
      </c>
      <c r="X23" s="1567"/>
      <c r="Y23" s="33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4"/>
      <c r="Q25" s="1572" t="str">
        <f t="shared" ref="Q25:Q46" si="11">B25</f>
        <v>临街状况</v>
      </c>
      <c r="R25" s="1573" t="s">
        <v>8</v>
      </c>
      <c r="S25" s="1574">
        <f>F25</f>
        <v>100</v>
      </c>
      <c r="T25" s="1573" t="s">
        <v>8</v>
      </c>
      <c r="U25" s="1574">
        <f>H25</f>
        <v>100</v>
      </c>
      <c r="V25" s="1573" t="s">
        <v>8</v>
      </c>
      <c r="W25" s="1574">
        <f>J25</f>
        <v>100</v>
      </c>
      <c r="X25" s="1567"/>
      <c r="Y25" s="3394"/>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4"/>
      <c r="Q26" s="1572" t="str">
        <f t="shared" si="11"/>
        <v>平面位置/可视性</v>
      </c>
      <c r="R26" s="1573" t="s">
        <v>8</v>
      </c>
      <c r="S26" s="1574">
        <f>F26</f>
        <v>100</v>
      </c>
      <c r="T26" s="1573" t="s">
        <v>8</v>
      </c>
      <c r="U26" s="1574">
        <f>H26</f>
        <v>100</v>
      </c>
      <c r="V26" s="1573" t="s">
        <v>8</v>
      </c>
      <c r="W26" s="1574">
        <f>J26</f>
        <v>100</v>
      </c>
      <c r="X26" s="1567"/>
      <c r="Y26" s="3394"/>
      <c r="Z26" s="1575" t="str">
        <f>Q26</f>
        <v>平面位置/可视性</v>
      </c>
      <c r="AA26" s="1576">
        <f t="shared" si="3"/>
        <v>1</v>
      </c>
      <c r="AB26" s="1576">
        <f t="shared" si="4"/>
        <v>1</v>
      </c>
      <c r="AC26" s="1576">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4"/>
      <c r="Q27" s="1150" t="str">
        <f t="shared" si="11"/>
        <v>人流量</v>
      </c>
      <c r="R27" s="1568" t="s">
        <v>8</v>
      </c>
      <c r="S27" s="1569">
        <f>F27</f>
        <v>100</v>
      </c>
      <c r="T27" s="1568" t="s">
        <v>8</v>
      </c>
      <c r="U27" s="1569">
        <f>H27</f>
        <v>100</v>
      </c>
      <c r="V27" s="1568" t="s">
        <v>8</v>
      </c>
      <c r="W27" s="1569">
        <f>J27</f>
        <v>100</v>
      </c>
      <c r="X27" s="1570"/>
      <c r="Y27" s="3394"/>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4"/>
      <c r="Q29" s="1572">
        <f t="shared" si="11"/>
        <v>111</v>
      </c>
      <c r="R29" s="1573" t="s">
        <v>8</v>
      </c>
      <c r="S29" s="1574">
        <f t="shared" si="12"/>
        <v>100</v>
      </c>
      <c r="T29" s="1573" t="s">
        <v>8</v>
      </c>
      <c r="U29" s="1574">
        <f t="shared" si="13"/>
        <v>100</v>
      </c>
      <c r="V29" s="1573" t="s">
        <v>8</v>
      </c>
      <c r="W29" s="1574">
        <f t="shared" si="14"/>
        <v>100</v>
      </c>
      <c r="X29" s="1567"/>
      <c r="Y29" s="33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
      <c r="A32" s="2908"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5" t="s">
        <v>549</v>
      </c>
      <c r="Q32" s="1572" t="str">
        <f t="shared" si="11"/>
        <v>商业类型</v>
      </c>
      <c r="R32" s="1573" t="s">
        <v>8</v>
      </c>
      <c r="S32" s="1574">
        <f t="shared" si="12"/>
        <v>100</v>
      </c>
      <c r="T32" s="1573" t="s">
        <v>8</v>
      </c>
      <c r="U32" s="1574">
        <f t="shared" si="13"/>
        <v>100</v>
      </c>
      <c r="V32" s="1573" t="s">
        <v>8</v>
      </c>
      <c r="W32" s="1574">
        <f t="shared" si="14"/>
        <v>100</v>
      </c>
      <c r="X32" s="1567"/>
      <c r="Y32" s="3396" t="s">
        <v>549</v>
      </c>
      <c r="Z32" s="1575" t="str">
        <f t="shared" si="15"/>
        <v>商业类型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6"/>
      <c r="Q33" s="1605" t="str">
        <f t="shared" si="11"/>
        <v>项目建筑规模</v>
      </c>
      <c r="R33" s="1577" t="s">
        <v>8</v>
      </c>
      <c r="S33" s="1578" t="e">
        <f t="shared" si="12"/>
        <v>#N/A</v>
      </c>
      <c r="T33" s="1577" t="s">
        <v>8</v>
      </c>
      <c r="U33" s="1578" t="e">
        <f t="shared" si="13"/>
        <v>#N/A</v>
      </c>
      <c r="V33" s="1577" t="s">
        <v>8</v>
      </c>
      <c r="W33" s="1578" t="e">
        <f t="shared" si="14"/>
        <v>#N/A</v>
      </c>
      <c r="X33" s="1579"/>
      <c r="Y33" s="339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6"/>
      <c r="Q34" s="1572" t="str">
        <f t="shared" si="11"/>
        <v>建筑结构</v>
      </c>
      <c r="R34" s="1573" t="s">
        <v>8</v>
      </c>
      <c r="S34" s="1574">
        <f t="shared" si="12"/>
        <v>100</v>
      </c>
      <c r="T34" s="1573" t="s">
        <v>8</v>
      </c>
      <c r="U34" s="1574">
        <f t="shared" si="13"/>
        <v>100</v>
      </c>
      <c r="V34" s="1573" t="s">
        <v>8</v>
      </c>
      <c r="W34" s="1574">
        <f t="shared" si="14"/>
        <v>100</v>
      </c>
      <c r="X34" s="1567"/>
      <c r="Y34" s="3396"/>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6"/>
      <c r="Q35" s="1572" t="str">
        <f t="shared" si="11"/>
        <v>公共部分装修</v>
      </c>
      <c r="R35" s="1573" t="s">
        <v>8</v>
      </c>
      <c r="S35" s="1574">
        <f t="shared" si="12"/>
        <v>100</v>
      </c>
      <c r="T35" s="1573" t="s">
        <v>8</v>
      </c>
      <c r="U35" s="1574">
        <f t="shared" si="13"/>
        <v>100</v>
      </c>
      <c r="V35" s="1573" t="s">
        <v>8</v>
      </c>
      <c r="W35" s="1574">
        <f t="shared" si="14"/>
        <v>100</v>
      </c>
      <c r="X35" s="1567"/>
      <c r="Y35" s="3396"/>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6"/>
      <c r="Q36" s="1572" t="str">
        <f t="shared" si="11"/>
        <v>成新度</v>
      </c>
      <c r="R36" s="1573" t="s">
        <v>8</v>
      </c>
      <c r="S36" s="1574" t="e">
        <f t="shared" si="12"/>
        <v>#N/A</v>
      </c>
      <c r="T36" s="1573" t="s">
        <v>8</v>
      </c>
      <c r="U36" s="1574" t="e">
        <f t="shared" si="13"/>
        <v>#N/A</v>
      </c>
      <c r="V36" s="1573" t="s">
        <v>8</v>
      </c>
      <c r="W36" s="1574" t="e">
        <f t="shared" si="14"/>
        <v>#N/A</v>
      </c>
      <c r="X36" s="1567"/>
      <c r="Y36" s="3396"/>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6"/>
      <c r="Q37" s="1150" t="str">
        <f t="shared" si="11"/>
        <v>市政基础设施</v>
      </c>
      <c r="R37" s="1568" t="s">
        <v>8</v>
      </c>
      <c r="S37" s="1569">
        <f t="shared" si="12"/>
        <v>100</v>
      </c>
      <c r="T37" s="1568" t="s">
        <v>8</v>
      </c>
      <c r="U37" s="1569">
        <f t="shared" si="13"/>
        <v>100</v>
      </c>
      <c r="V37" s="1568" t="s">
        <v>8</v>
      </c>
      <c r="W37" s="1569">
        <f t="shared" si="14"/>
        <v>100</v>
      </c>
      <c r="X37" s="1570"/>
      <c r="Y37" s="3396"/>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6" t="s">
        <v>765</v>
      </c>
      <c r="Q38" s="1572" t="str">
        <f t="shared" si="11"/>
        <v>业态</v>
      </c>
      <c r="R38" s="1573" t="s">
        <v>8</v>
      </c>
      <c r="S38" s="1574">
        <f t="shared" si="12"/>
        <v>100</v>
      </c>
      <c r="T38" s="1573" t="s">
        <v>8</v>
      </c>
      <c r="U38" s="1574">
        <f t="shared" si="13"/>
        <v>100</v>
      </c>
      <c r="V38" s="1573" t="s">
        <v>8</v>
      </c>
      <c r="W38" s="1574">
        <f t="shared" si="14"/>
        <v>100</v>
      </c>
      <c r="X38" s="1567"/>
      <c r="Y38" s="3396"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c r="Q39" s="1572" t="str">
        <f t="shared" si="11"/>
        <v>层高</v>
      </c>
      <c r="R39" s="1573" t="s">
        <v>8</v>
      </c>
      <c r="S39" s="1574">
        <f t="shared" si="12"/>
        <v>100</v>
      </c>
      <c r="T39" s="1573" t="s">
        <v>8</v>
      </c>
      <c r="U39" s="1574">
        <f t="shared" si="13"/>
        <v>100</v>
      </c>
      <c r="V39" s="1573" t="s">
        <v>8</v>
      </c>
      <c r="W39" s="1574">
        <f t="shared" si="14"/>
        <v>100</v>
      </c>
      <c r="X39" s="1567"/>
      <c r="Y39" s="3396"/>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6"/>
      <c r="Q40" s="1572" t="str">
        <f t="shared" si="11"/>
        <v>单套建筑面积</v>
      </c>
      <c r="R40" s="1573" t="s">
        <v>8</v>
      </c>
      <c r="S40" s="1574">
        <f t="shared" si="12"/>
        <v>100</v>
      </c>
      <c r="T40" s="1573" t="s">
        <v>8</v>
      </c>
      <c r="U40" s="1574">
        <f t="shared" si="13"/>
        <v>100</v>
      </c>
      <c r="V40" s="1573" t="s">
        <v>8</v>
      </c>
      <c r="W40" s="1574">
        <f t="shared" si="14"/>
        <v>100</v>
      </c>
      <c r="X40" s="1567"/>
      <c r="Y40" s="3396"/>
      <c r="Z40" s="1575" t="str">
        <f t="shared" si="15"/>
        <v>单套建筑面积</v>
      </c>
      <c r="AA40" s="1576">
        <f t="shared" si="3"/>
        <v>1</v>
      </c>
      <c r="AB40" s="1576">
        <f t="shared" si="4"/>
        <v>1</v>
      </c>
      <c r="AC40" s="1576">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6"/>
      <c r="Q41" s="1605" t="str">
        <f t="shared" si="11"/>
        <v>进深比</v>
      </c>
      <c r="R41" s="1577" t="s">
        <v>8</v>
      </c>
      <c r="S41" s="1578">
        <f t="shared" si="12"/>
        <v>100</v>
      </c>
      <c r="T41" s="1577" t="s">
        <v>8</v>
      </c>
      <c r="U41" s="1578">
        <f t="shared" si="13"/>
        <v>100</v>
      </c>
      <c r="V41" s="1577" t="s">
        <v>8</v>
      </c>
      <c r="W41" s="1578">
        <f t="shared" si="14"/>
        <v>100</v>
      </c>
      <c r="X41" s="1579"/>
      <c r="Y41" s="3396"/>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6"/>
      <c r="Q42" s="1572" t="str">
        <f t="shared" si="11"/>
        <v>内部装修</v>
      </c>
      <c r="R42" s="1573" t="s">
        <v>8</v>
      </c>
      <c r="S42" s="1574">
        <f t="shared" si="12"/>
        <v>100</v>
      </c>
      <c r="T42" s="1573" t="s">
        <v>8</v>
      </c>
      <c r="U42" s="1574">
        <f t="shared" si="13"/>
        <v>100</v>
      </c>
      <c r="V42" s="1573" t="s">
        <v>8</v>
      </c>
      <c r="W42" s="1574">
        <f t="shared" si="14"/>
        <v>100</v>
      </c>
      <c r="X42" s="1567"/>
      <c r="Y42" s="3396"/>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6"/>
      <c r="Q43" s="1572" t="str">
        <f t="shared" si="11"/>
        <v>内部装修维护情况</v>
      </c>
      <c r="R43" s="1573" t="s">
        <v>8</v>
      </c>
      <c r="S43" s="1574">
        <f t="shared" si="12"/>
        <v>100</v>
      </c>
      <c r="T43" s="1573" t="s">
        <v>8</v>
      </c>
      <c r="U43" s="1574">
        <f t="shared" si="13"/>
        <v>100</v>
      </c>
      <c r="V43" s="1573" t="s">
        <v>8</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6"/>
      <c r="Q44" s="1150">
        <f t="shared" si="11"/>
        <v>111</v>
      </c>
      <c r="R44" s="1568" t="s">
        <v>8</v>
      </c>
      <c r="S44" s="1569">
        <f t="shared" si="12"/>
        <v>100</v>
      </c>
      <c r="T44" s="1568" t="s">
        <v>8</v>
      </c>
      <c r="U44" s="1569">
        <f t="shared" si="13"/>
        <v>100</v>
      </c>
      <c r="V44" s="1568" t="s">
        <v>8</v>
      </c>
      <c r="W44" s="1569">
        <f t="shared" si="14"/>
        <v>100</v>
      </c>
      <c r="X44" s="1570"/>
      <c r="Y44" s="33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6"/>
      <c r="Q45" s="1572">
        <f t="shared" si="11"/>
        <v>111</v>
      </c>
      <c r="R45" s="1573" t="s">
        <v>8</v>
      </c>
      <c r="S45" s="1574">
        <f t="shared" si="12"/>
        <v>100</v>
      </c>
      <c r="T45" s="1573" t="s">
        <v>8</v>
      </c>
      <c r="U45" s="1574">
        <f t="shared" si="13"/>
        <v>100</v>
      </c>
      <c r="V45" s="1573" t="s">
        <v>8</v>
      </c>
      <c r="W45" s="1574">
        <f t="shared" si="14"/>
        <v>100</v>
      </c>
      <c r="X45" s="1567"/>
      <c r="Y45" s="339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3"/>
      <c r="Q46" s="1572">
        <f t="shared" si="11"/>
        <v>111</v>
      </c>
      <c r="R46" s="1573" t="s">
        <v>8</v>
      </c>
      <c r="S46" s="1574">
        <f t="shared" si="12"/>
        <v>100</v>
      </c>
      <c r="T46" s="1573" t="s">
        <v>8</v>
      </c>
      <c r="U46" s="1574">
        <f t="shared" si="13"/>
        <v>100</v>
      </c>
      <c r="V46" s="1573" t="s">
        <v>8</v>
      </c>
      <c r="W46" s="1574">
        <f t="shared" si="14"/>
        <v>100</v>
      </c>
      <c r="X46" s="1567"/>
      <c r="Y46" s="3473"/>
      <c r="Z46" s="1575">
        <f t="shared" si="15"/>
        <v>111</v>
      </c>
      <c r="AA46" s="1576">
        <f t="shared" si="3"/>
        <v>1</v>
      </c>
      <c r="AB46" s="1576">
        <f t="shared" si="4"/>
        <v>1</v>
      </c>
      <c r="AC46" s="1576">
        <f t="shared" si="5"/>
        <v>1</v>
      </c>
    </row>
    <row r="47" spans="1:29" ht="15">
      <c r="A47" s="607" t="s">
        <v>735</v>
      </c>
      <c r="B47" s="887"/>
      <c r="C47" s="2628" t="s">
        <v>1</v>
      </c>
      <c r="D47" s="2629"/>
      <c r="E47" s="2630"/>
      <c r="F47" s="2631"/>
      <c r="G47" s="2632"/>
      <c r="H47" s="2633"/>
      <c r="I47" s="2630"/>
      <c r="J47" s="2633"/>
      <c r="K47" s="1611"/>
      <c r="L47" s="2145"/>
      <c r="M47" s="2146"/>
      <c r="N47" s="2135"/>
      <c r="O47" s="2146"/>
      <c r="P47" s="3359" t="str">
        <f>A47</f>
        <v>成交单价（元/平方米）</v>
      </c>
      <c r="Q47" s="3359"/>
      <c r="R47" s="3472">
        <f>E47</f>
        <v>0</v>
      </c>
      <c r="S47" s="3472"/>
      <c r="T47" s="3472">
        <f>G47</f>
        <v>0</v>
      </c>
      <c r="U47" s="3472"/>
      <c r="V47" s="3472">
        <f>I47</f>
        <v>0</v>
      </c>
      <c r="W47" s="347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59" t="str">
        <f>A48</f>
        <v>比较价格（元/平方米）</v>
      </c>
      <c r="Q48" s="335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356" t="str">
        <f>A49</f>
        <v>估价对象XX用房的比较价格（楼面单价，元/平方米）</v>
      </c>
      <c r="Q49" s="3357"/>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03" t="str">
        <f>YEAR(C7)&amp;"-"&amp;MONTH(C7)</f>
        <v>2019-6</v>
      </c>
      <c r="D58" s="2805">
        <f>EDATE(C58,-1)</f>
        <v>43586</v>
      </c>
      <c r="E58" s="2805">
        <f t="shared" ref="E58:O58" si="16">EDATE(D58,-1)</f>
        <v>43556</v>
      </c>
      <c r="F58" s="2805">
        <f t="shared" si="16"/>
        <v>43525</v>
      </c>
      <c r="G58" s="2805">
        <f t="shared" si="16"/>
        <v>43497</v>
      </c>
      <c r="H58" s="2805">
        <f t="shared" si="16"/>
        <v>43466</v>
      </c>
      <c r="I58" s="2805">
        <f t="shared" si="16"/>
        <v>43435</v>
      </c>
      <c r="J58" s="2805">
        <f t="shared" si="16"/>
        <v>43405</v>
      </c>
      <c r="K58" s="2805">
        <f t="shared" si="16"/>
        <v>43374</v>
      </c>
      <c r="L58" s="2805">
        <f t="shared" si="16"/>
        <v>43344</v>
      </c>
      <c r="M58" s="2805">
        <f t="shared" si="16"/>
        <v>43313</v>
      </c>
      <c r="N58" s="2805">
        <f t="shared" si="16"/>
        <v>43282</v>
      </c>
      <c r="O58" s="2805">
        <f t="shared" si="16"/>
        <v>43252</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8"/>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365" t="s">
        <v>521</v>
      </c>
      <c r="D4" s="3366"/>
      <c r="E4" s="3399" t="s">
        <v>522</v>
      </c>
      <c r="F4" s="3400"/>
      <c r="G4" s="3365" t="s">
        <v>523</v>
      </c>
      <c r="H4" s="3366"/>
      <c r="I4" s="3365" t="s">
        <v>524</v>
      </c>
      <c r="J4" s="3366"/>
      <c r="K4" s="514" t="s">
        <v>525</v>
      </c>
      <c r="L4" s="2134"/>
      <c r="M4" s="2135"/>
      <c r="N4" s="2135"/>
      <c r="O4" s="2135"/>
      <c r="P4" s="3475" t="s">
        <v>526</v>
      </c>
      <c r="Q4" s="3368"/>
      <c r="R4" s="3373" t="s">
        <v>522</v>
      </c>
      <c r="S4" s="3374"/>
      <c r="T4" s="3373" t="s">
        <v>523</v>
      </c>
      <c r="U4" s="3374"/>
      <c r="V4" s="3360" t="s">
        <v>524</v>
      </c>
      <c r="W4" s="3360"/>
      <c r="X4" s="1567"/>
      <c r="Y4" s="3373" t="s">
        <v>526</v>
      </c>
      <c r="Z4" s="3374"/>
      <c r="AA4" s="3362" t="s">
        <v>522</v>
      </c>
      <c r="AB4" s="3362" t="s">
        <v>523</v>
      </c>
      <c r="AC4" s="3362" t="s">
        <v>524</v>
      </c>
    </row>
    <row r="5" spans="1:29" ht="15">
      <c r="A5" s="515"/>
      <c r="B5" s="516"/>
      <c r="C5" s="3381" t="s">
        <v>2933</v>
      </c>
      <c r="D5" s="3382"/>
      <c r="E5" s="3401" t="s">
        <v>2934</v>
      </c>
      <c r="F5" s="3402"/>
      <c r="G5" s="3381" t="s">
        <v>2935</v>
      </c>
      <c r="H5" s="3382"/>
      <c r="I5" s="3381" t="s">
        <v>2936</v>
      </c>
      <c r="J5" s="3382"/>
      <c r="K5" s="514"/>
      <c r="L5" s="2134"/>
      <c r="M5" s="2135"/>
      <c r="N5" s="2135"/>
      <c r="O5" s="2135"/>
      <c r="P5" s="3476"/>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477"/>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43627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2" t="s">
        <v>529</v>
      </c>
      <c r="Q7" s="3392"/>
      <c r="R7" s="1568" t="s">
        <v>8</v>
      </c>
      <c r="S7" s="1569">
        <f t="shared" ref="S7:S15" si="0">F7</f>
        <v>0</v>
      </c>
      <c r="T7" s="1568" t="s">
        <v>8</v>
      </c>
      <c r="U7" s="1569">
        <f t="shared" ref="U7:U15" si="1">H7</f>
        <v>0</v>
      </c>
      <c r="V7" s="1568" t="s">
        <v>8</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2" t="s">
        <v>532</v>
      </c>
      <c r="Q8" s="3391"/>
      <c r="R8" s="1568" t="s">
        <v>8</v>
      </c>
      <c r="S8" s="1569">
        <f t="shared" si="0"/>
        <v>0</v>
      </c>
      <c r="T8" s="1568" t="s">
        <v>8</v>
      </c>
      <c r="U8" s="1569">
        <f t="shared" si="1"/>
        <v>0</v>
      </c>
      <c r="V8" s="1568" t="s">
        <v>8</v>
      </c>
      <c r="W8" s="1569">
        <f t="shared" si="2"/>
        <v>0</v>
      </c>
      <c r="X8" s="1570"/>
      <c r="Y8" s="3390" t="s">
        <v>532</v>
      </c>
      <c r="Z8" s="3391"/>
      <c r="AA8" s="1571" t="e">
        <f t="shared" ref="AA8:AA47" si="3">D8/F8</f>
        <v>#DIV/0!</v>
      </c>
      <c r="AB8" s="1571" t="e">
        <f t="shared" ref="AB8:AB47" si="4">D8/H8</f>
        <v>#DIV/0!</v>
      </c>
      <c r="AC8" s="1571" t="e">
        <f t="shared" ref="AC8:AC47" si="5">D8/J8</f>
        <v>#DIV/0!</v>
      </c>
    </row>
    <row r="9" spans="1:29" s="1219"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71.25">
      <c r="A15" s="2911"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3" t="s">
        <v>539</v>
      </c>
      <c r="Q15" s="1572" t="str">
        <f t="shared" si="6"/>
        <v>办公集聚程度</v>
      </c>
      <c r="R15" s="1573" t="s">
        <v>8</v>
      </c>
      <c r="S15" s="1574">
        <f t="shared" si="0"/>
        <v>100</v>
      </c>
      <c r="T15" s="1573" t="s">
        <v>8</v>
      </c>
      <c r="U15" s="1574">
        <f t="shared" si="1"/>
        <v>100</v>
      </c>
      <c r="V15" s="1573" t="s">
        <v>8</v>
      </c>
      <c r="W15" s="1574">
        <f t="shared" si="2"/>
        <v>100</v>
      </c>
      <c r="X15" s="1567"/>
      <c r="Y15" s="3393"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4"/>
      <c r="Q16" s="1572"/>
      <c r="R16" s="1573"/>
      <c r="S16" s="1574"/>
      <c r="T16" s="1573"/>
      <c r="U16" s="1574"/>
      <c r="V16" s="1573"/>
      <c r="W16" s="1574"/>
      <c r="X16" s="1567"/>
      <c r="Y16" s="339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4"/>
      <c r="Q18" s="1572"/>
      <c r="R18" s="1573"/>
      <c r="S18" s="1574"/>
      <c r="T18" s="1573"/>
      <c r="U18" s="1574"/>
      <c r="V18" s="1573"/>
      <c r="W18" s="1574"/>
      <c r="X18" s="1567"/>
      <c r="Y18" s="3394"/>
      <c r="Z18" s="1575"/>
      <c r="AA18" s="1576">
        <v>1</v>
      </c>
      <c r="AB18" s="1576">
        <v>1</v>
      </c>
      <c r="AC18" s="1576">
        <v>1</v>
      </c>
    </row>
    <row r="19" spans="1:29" ht="42.75">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4"/>
      <c r="Q20" s="1572"/>
      <c r="R20" s="1573"/>
      <c r="S20" s="1574"/>
      <c r="T20" s="1573"/>
      <c r="U20" s="1574"/>
      <c r="V20" s="1573"/>
      <c r="W20" s="1574"/>
      <c r="X20" s="1567"/>
      <c r="Y20" s="3394"/>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4"/>
      <c r="Q21" s="2580" t="str">
        <f>B21</f>
        <v>基础设施水平</v>
      </c>
      <c r="R21" s="1573" t="s">
        <v>8</v>
      </c>
      <c r="S21" s="1574">
        <f>F21</f>
        <v>100</v>
      </c>
      <c r="T21" s="1573" t="s">
        <v>8</v>
      </c>
      <c r="U21" s="1574">
        <f>H21</f>
        <v>100</v>
      </c>
      <c r="V21" s="1573" t="s">
        <v>8</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94"/>
      <c r="Q22" s="2580"/>
      <c r="R22" s="1573"/>
      <c r="S22" s="1574"/>
      <c r="T22" s="1573"/>
      <c r="U22" s="1574"/>
      <c r="V22" s="1573"/>
      <c r="W22" s="1574"/>
      <c r="X22" s="2582"/>
      <c r="Y22" s="3394"/>
      <c r="Z22" s="2581"/>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4"/>
      <c r="Q24" s="1572"/>
      <c r="R24" s="1573"/>
      <c r="S24" s="1574"/>
      <c r="T24" s="1573"/>
      <c r="U24" s="1574"/>
      <c r="V24" s="1573"/>
      <c r="W24" s="1574"/>
      <c r="X24" s="1567"/>
      <c r="Y24" s="3394"/>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4"/>
      <c r="Q25" s="1572" t="str">
        <f>B25</f>
        <v>毗邻道路的类型与等级</v>
      </c>
      <c r="R25" s="1573" t="s">
        <v>8</v>
      </c>
      <c r="S25" s="1574">
        <f>F25</f>
        <v>100</v>
      </c>
      <c r="T25" s="1573" t="s">
        <v>8</v>
      </c>
      <c r="U25" s="1574">
        <f>H25</f>
        <v>100</v>
      </c>
      <c r="V25" s="1573" t="s">
        <v>8</v>
      </c>
      <c r="W25" s="1574">
        <f>J25</f>
        <v>100</v>
      </c>
      <c r="X25" s="1567"/>
      <c r="Y25" s="339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4"/>
      <c r="Q26" s="1572"/>
      <c r="R26" s="1573"/>
      <c r="S26" s="1574"/>
      <c r="T26" s="1573"/>
      <c r="U26" s="1574"/>
      <c r="V26" s="1573"/>
      <c r="W26" s="1574"/>
      <c r="X26" s="1567"/>
      <c r="Y26" s="3394"/>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4"/>
      <c r="Q27" s="1572" t="str">
        <f t="shared" ref="Q27:Q47" si="11">B27</f>
        <v>楼层</v>
      </c>
      <c r="R27" s="1573" t="s">
        <v>8</v>
      </c>
      <c r="S27" s="1574">
        <f>F27</f>
        <v>100</v>
      </c>
      <c r="T27" s="1573" t="s">
        <v>8</v>
      </c>
      <c r="U27" s="1574">
        <f>H27</f>
        <v>100</v>
      </c>
      <c r="V27" s="1573" t="s">
        <v>8</v>
      </c>
      <c r="W27" s="1574">
        <f>J27</f>
        <v>100</v>
      </c>
      <c r="X27" s="1567"/>
      <c r="Y27" s="3394"/>
      <c r="Z27" s="1575" t="str">
        <f>Q27</f>
        <v>楼层</v>
      </c>
      <c r="AA27" s="1576">
        <f t="shared" si="3"/>
        <v>1</v>
      </c>
      <c r="AB27" s="1576">
        <f t="shared" si="4"/>
        <v>1</v>
      </c>
      <c r="AC27" s="1576">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4"/>
      <c r="Q28" s="1150" t="str">
        <f t="shared" si="11"/>
        <v>朝向</v>
      </c>
      <c r="R28" s="1568" t="s">
        <v>8</v>
      </c>
      <c r="S28" s="1569">
        <f>F28</f>
        <v>100</v>
      </c>
      <c r="T28" s="1568" t="s">
        <v>8</v>
      </c>
      <c r="U28" s="1569">
        <f>H28</f>
        <v>100</v>
      </c>
      <c r="V28" s="1568" t="s">
        <v>8</v>
      </c>
      <c r="W28" s="1569">
        <f>J28</f>
        <v>100</v>
      </c>
      <c r="X28" s="1570"/>
      <c r="Y28" s="3394"/>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4"/>
      <c r="Q29" s="1572">
        <f t="shared" si="11"/>
        <v>111</v>
      </c>
      <c r="R29" s="1573" t="s">
        <v>8</v>
      </c>
      <c r="S29" s="1574">
        <f t="shared" ref="S29:S47" si="12">F29</f>
        <v>100</v>
      </c>
      <c r="T29" s="1573" t="s">
        <v>8</v>
      </c>
      <c r="U29" s="1574">
        <f t="shared" ref="U29:U47" si="13">H29</f>
        <v>100</v>
      </c>
      <c r="V29" s="1573" t="s">
        <v>8</v>
      </c>
      <c r="W29" s="1574">
        <f t="shared" ref="W29:W47" si="14">J29</f>
        <v>100</v>
      </c>
      <c r="X29" s="1567"/>
      <c r="Y29" s="339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4"/>
      <c r="Q32" s="1572">
        <f t="shared" si="11"/>
        <v>111</v>
      </c>
      <c r="R32" s="1573" t="s">
        <v>8</v>
      </c>
      <c r="S32" s="1574">
        <f t="shared" si="12"/>
        <v>100</v>
      </c>
      <c r="T32" s="1573" t="s">
        <v>8</v>
      </c>
      <c r="U32" s="1574">
        <f t="shared" si="13"/>
        <v>100</v>
      </c>
      <c r="V32" s="1573" t="s">
        <v>8</v>
      </c>
      <c r="W32" s="1574">
        <f t="shared" si="14"/>
        <v>100</v>
      </c>
      <c r="X32" s="1567"/>
      <c r="Y32" s="3394"/>
      <c r="Z32" s="1575">
        <f t="shared" si="15"/>
        <v>111</v>
      </c>
      <c r="AA32" s="1576">
        <f t="shared" si="3"/>
        <v>1</v>
      </c>
      <c r="AB32" s="1576">
        <f t="shared" si="4"/>
        <v>1</v>
      </c>
      <c r="AC32" s="1576">
        <f t="shared" si="5"/>
        <v>1</v>
      </c>
    </row>
    <row r="33" spans="1:29" ht="15">
      <c r="A33" s="2908"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5" t="s">
        <v>549</v>
      </c>
      <c r="Q33" s="1572" t="str">
        <f t="shared" si="11"/>
        <v>建筑类型</v>
      </c>
      <c r="R33" s="1573" t="s">
        <v>8</v>
      </c>
      <c r="S33" s="1574">
        <f t="shared" si="12"/>
        <v>100</v>
      </c>
      <c r="T33" s="1573" t="s">
        <v>8</v>
      </c>
      <c r="U33" s="1574">
        <f t="shared" si="13"/>
        <v>100</v>
      </c>
      <c r="V33" s="1573" t="s">
        <v>8</v>
      </c>
      <c r="W33" s="1574">
        <f t="shared" si="14"/>
        <v>100</v>
      </c>
      <c r="X33" s="1567"/>
      <c r="Y33" s="3396" t="s">
        <v>549</v>
      </c>
      <c r="Z33" s="1575" t="str">
        <f t="shared" si="15"/>
        <v>建筑类型</v>
      </c>
      <c r="AA33" s="1576">
        <f t="shared" si="3"/>
        <v>1</v>
      </c>
      <c r="AB33" s="1576">
        <f t="shared" si="4"/>
        <v>1</v>
      </c>
      <c r="AC33" s="1576">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6"/>
      <c r="Q34" s="1605" t="str">
        <f t="shared" si="11"/>
        <v>项目建筑规模</v>
      </c>
      <c r="R34" s="1577" t="s">
        <v>8</v>
      </c>
      <c r="S34" s="1578" t="e">
        <f t="shared" si="12"/>
        <v>#N/A</v>
      </c>
      <c r="T34" s="1577" t="s">
        <v>8</v>
      </c>
      <c r="U34" s="1578" t="e">
        <f t="shared" si="13"/>
        <v>#N/A</v>
      </c>
      <c r="V34" s="1577" t="s">
        <v>8</v>
      </c>
      <c r="W34" s="1578" t="e">
        <f t="shared" si="14"/>
        <v>#N/A</v>
      </c>
      <c r="X34" s="1579"/>
      <c r="Y34" s="3396"/>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6"/>
      <c r="Q35" s="1572" t="str">
        <f t="shared" si="11"/>
        <v>建筑结构</v>
      </c>
      <c r="R35" s="1573" t="s">
        <v>8</v>
      </c>
      <c r="S35" s="1574">
        <f t="shared" si="12"/>
        <v>100</v>
      </c>
      <c r="T35" s="1573" t="s">
        <v>8</v>
      </c>
      <c r="U35" s="1574">
        <f t="shared" si="13"/>
        <v>100</v>
      </c>
      <c r="V35" s="1573" t="s">
        <v>8</v>
      </c>
      <c r="W35" s="1574">
        <f t="shared" si="14"/>
        <v>100</v>
      </c>
      <c r="X35" s="1567"/>
      <c r="Y35" s="3396"/>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6"/>
      <c r="Q36" s="1572" t="str">
        <f t="shared" si="11"/>
        <v>公共部分装修</v>
      </c>
      <c r="R36" s="1573" t="s">
        <v>8</v>
      </c>
      <c r="S36" s="1574">
        <f t="shared" si="12"/>
        <v>100</v>
      </c>
      <c r="T36" s="1573" t="s">
        <v>8</v>
      </c>
      <c r="U36" s="1574">
        <f t="shared" si="13"/>
        <v>100</v>
      </c>
      <c r="V36" s="1573" t="s">
        <v>8</v>
      </c>
      <c r="W36" s="1574">
        <f t="shared" si="14"/>
        <v>100</v>
      </c>
      <c r="X36" s="1567"/>
      <c r="Y36" s="3396"/>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6"/>
      <c r="Q37" s="1572" t="str">
        <f t="shared" si="11"/>
        <v>成新度</v>
      </c>
      <c r="R37" s="1573" t="s">
        <v>8</v>
      </c>
      <c r="S37" s="1574" t="e">
        <f t="shared" si="12"/>
        <v>#N/A</v>
      </c>
      <c r="T37" s="1573" t="s">
        <v>8</v>
      </c>
      <c r="U37" s="1574" t="e">
        <f t="shared" si="13"/>
        <v>#N/A</v>
      </c>
      <c r="V37" s="1573" t="s">
        <v>8</v>
      </c>
      <c r="W37" s="1574" t="e">
        <f t="shared" si="14"/>
        <v>#N/A</v>
      </c>
      <c r="X37" s="1567"/>
      <c r="Y37" s="3396"/>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6"/>
      <c r="Q38" s="1150" t="str">
        <f t="shared" si="11"/>
        <v>写字楼等级</v>
      </c>
      <c r="R38" s="1568" t="s">
        <v>8</v>
      </c>
      <c r="S38" s="1569">
        <f t="shared" si="12"/>
        <v>100</v>
      </c>
      <c r="T38" s="1568" t="s">
        <v>8</v>
      </c>
      <c r="U38" s="1569">
        <f t="shared" si="13"/>
        <v>100</v>
      </c>
      <c r="V38" s="1568" t="s">
        <v>8</v>
      </c>
      <c r="W38" s="1569">
        <f t="shared" si="14"/>
        <v>100</v>
      </c>
      <c r="X38" s="1570"/>
      <c r="Y38" s="3396"/>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6" t="s">
        <v>549</v>
      </c>
      <c r="Q39" s="1572" t="str">
        <f t="shared" si="11"/>
        <v>物业管理</v>
      </c>
      <c r="R39" s="1573" t="s">
        <v>8</v>
      </c>
      <c r="S39" s="1574">
        <f t="shared" si="12"/>
        <v>100</v>
      </c>
      <c r="T39" s="1573" t="s">
        <v>8</v>
      </c>
      <c r="U39" s="1574">
        <f t="shared" si="13"/>
        <v>100</v>
      </c>
      <c r="V39" s="1573" t="s">
        <v>8</v>
      </c>
      <c r="W39" s="1574">
        <f t="shared" si="14"/>
        <v>100</v>
      </c>
      <c r="X39" s="1567"/>
      <c r="Y39" s="3396" t="s">
        <v>549</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6"/>
      <c r="Q40" s="1572" t="str">
        <f t="shared" si="11"/>
        <v>市政基础设施</v>
      </c>
      <c r="R40" s="1573" t="s">
        <v>8</v>
      </c>
      <c r="S40" s="1574">
        <f t="shared" si="12"/>
        <v>100</v>
      </c>
      <c r="T40" s="1573" t="s">
        <v>8</v>
      </c>
      <c r="U40" s="1574">
        <f t="shared" si="13"/>
        <v>100</v>
      </c>
      <c r="V40" s="1573" t="s">
        <v>8</v>
      </c>
      <c r="W40" s="1574">
        <f t="shared" si="14"/>
        <v>100</v>
      </c>
      <c r="X40" s="1567"/>
      <c r="Y40" s="3396"/>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6"/>
      <c r="Q41" s="1572" t="str">
        <f t="shared" si="11"/>
        <v>层高</v>
      </c>
      <c r="R41" s="1573" t="s">
        <v>8</v>
      </c>
      <c r="S41" s="1574">
        <f t="shared" si="12"/>
        <v>100</v>
      </c>
      <c r="T41" s="1573" t="s">
        <v>8</v>
      </c>
      <c r="U41" s="1574">
        <f t="shared" si="13"/>
        <v>100</v>
      </c>
      <c r="V41" s="1573" t="s">
        <v>8</v>
      </c>
      <c r="W41" s="1574">
        <f t="shared" si="14"/>
        <v>100</v>
      </c>
      <c r="X41" s="1567"/>
      <c r="Y41" s="3396"/>
      <c r="Z41" s="1575" t="str">
        <f t="shared" si="15"/>
        <v>层高</v>
      </c>
      <c r="AA41" s="1576">
        <f t="shared" si="3"/>
        <v>1</v>
      </c>
      <c r="AB41" s="1576">
        <f t="shared" si="4"/>
        <v>1</v>
      </c>
      <c r="AC41" s="1576">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6"/>
      <c r="Q42" s="1605" t="str">
        <f t="shared" si="11"/>
        <v>单套建筑面积</v>
      </c>
      <c r="R42" s="1577" t="s">
        <v>8</v>
      </c>
      <c r="S42" s="1578">
        <f t="shared" si="12"/>
        <v>100</v>
      </c>
      <c r="T42" s="1577" t="s">
        <v>8</v>
      </c>
      <c r="U42" s="1578">
        <f t="shared" si="13"/>
        <v>100</v>
      </c>
      <c r="V42" s="1577" t="s">
        <v>8</v>
      </c>
      <c r="W42" s="1578">
        <f t="shared" si="14"/>
        <v>100</v>
      </c>
      <c r="X42" s="1579"/>
      <c r="Y42" s="3396"/>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6"/>
      <c r="Q43" s="1572" t="str">
        <f t="shared" si="11"/>
        <v>内部装修</v>
      </c>
      <c r="R43" s="1573" t="s">
        <v>8</v>
      </c>
      <c r="S43" s="1574">
        <f t="shared" si="12"/>
        <v>100</v>
      </c>
      <c r="T43" s="1573" t="s">
        <v>8</v>
      </c>
      <c r="U43" s="1574">
        <f t="shared" si="13"/>
        <v>100</v>
      </c>
      <c r="V43" s="1573" t="s">
        <v>8</v>
      </c>
      <c r="W43" s="1574">
        <f t="shared" si="14"/>
        <v>100</v>
      </c>
      <c r="X43" s="1567"/>
      <c r="Y43" s="3396"/>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6"/>
      <c r="Q44" s="1572" t="str">
        <f t="shared" si="11"/>
        <v>内部装修维护情况</v>
      </c>
      <c r="R44" s="1573" t="s">
        <v>8</v>
      </c>
      <c r="S44" s="1574">
        <f t="shared" si="12"/>
        <v>100</v>
      </c>
      <c r="T44" s="1573" t="s">
        <v>8</v>
      </c>
      <c r="U44" s="1574">
        <f t="shared" si="13"/>
        <v>100</v>
      </c>
      <c r="V44" s="1573" t="s">
        <v>8</v>
      </c>
      <c r="W44" s="1574">
        <f t="shared" si="14"/>
        <v>100</v>
      </c>
      <c r="X44" s="1567"/>
      <c r="Y44" s="3396"/>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6"/>
      <c r="Q45" s="1150">
        <f t="shared" si="11"/>
        <v>111</v>
      </c>
      <c r="R45" s="1568" t="s">
        <v>8</v>
      </c>
      <c r="S45" s="1569">
        <f t="shared" si="12"/>
        <v>100</v>
      </c>
      <c r="T45" s="1568" t="s">
        <v>8</v>
      </c>
      <c r="U45" s="1569">
        <f t="shared" si="13"/>
        <v>100</v>
      </c>
      <c r="V45" s="1568" t="s">
        <v>8</v>
      </c>
      <c r="W45" s="1569">
        <f t="shared" si="14"/>
        <v>100</v>
      </c>
      <c r="X45" s="1570"/>
      <c r="Y45" s="339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6"/>
      <c r="Q46" s="1572">
        <f t="shared" si="11"/>
        <v>111</v>
      </c>
      <c r="R46" s="1573" t="s">
        <v>8</v>
      </c>
      <c r="S46" s="1574">
        <f t="shared" si="12"/>
        <v>100</v>
      </c>
      <c r="T46" s="1573" t="s">
        <v>8</v>
      </c>
      <c r="U46" s="1574">
        <f t="shared" si="13"/>
        <v>100</v>
      </c>
      <c r="V46" s="1573" t="s">
        <v>8</v>
      </c>
      <c r="W46" s="1574">
        <f t="shared" si="14"/>
        <v>100</v>
      </c>
      <c r="X46" s="1567"/>
      <c r="Y46" s="339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3"/>
      <c r="Q47" s="1572">
        <f t="shared" si="11"/>
        <v>111</v>
      </c>
      <c r="R47" s="1573" t="s">
        <v>8</v>
      </c>
      <c r="S47" s="1574">
        <f t="shared" si="12"/>
        <v>100</v>
      </c>
      <c r="T47" s="1573" t="s">
        <v>8</v>
      </c>
      <c r="U47" s="1574">
        <f t="shared" si="13"/>
        <v>100</v>
      </c>
      <c r="V47" s="1573" t="s">
        <v>8</v>
      </c>
      <c r="W47" s="1574">
        <f t="shared" si="14"/>
        <v>100</v>
      </c>
      <c r="X47" s="1567"/>
      <c r="Y47" s="3473"/>
      <c r="Z47" s="1575">
        <f t="shared" si="15"/>
        <v>111</v>
      </c>
      <c r="AA47" s="1576">
        <f t="shared" si="3"/>
        <v>1</v>
      </c>
      <c r="AB47" s="1576">
        <f t="shared" si="4"/>
        <v>1</v>
      </c>
      <c r="AC47" s="1576">
        <f t="shared" si="5"/>
        <v>1</v>
      </c>
    </row>
    <row r="48" spans="1:29" ht="15">
      <c r="A48" s="607" t="s">
        <v>735</v>
      </c>
      <c r="B48" s="887"/>
      <c r="C48" s="2628" t="s">
        <v>1</v>
      </c>
      <c r="D48" s="2629"/>
      <c r="E48" s="2630"/>
      <c r="F48" s="2631"/>
      <c r="G48" s="2632"/>
      <c r="H48" s="2633"/>
      <c r="I48" s="2630"/>
      <c r="J48" s="2633"/>
      <c r="K48" s="1611"/>
      <c r="L48" s="2145"/>
      <c r="M48" s="2135"/>
      <c r="N48" s="2135"/>
      <c r="O48" s="2135"/>
      <c r="P48" s="3357" t="str">
        <f>A48</f>
        <v>成交单价（元/平方米）</v>
      </c>
      <c r="Q48" s="3359"/>
      <c r="R48" s="3472">
        <f>E48</f>
        <v>0</v>
      </c>
      <c r="S48" s="3472"/>
      <c r="T48" s="3472">
        <f>G48</f>
        <v>0</v>
      </c>
      <c r="U48" s="3472"/>
      <c r="V48" s="3472">
        <f>I48</f>
        <v>0</v>
      </c>
      <c r="W48" s="3472"/>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357" t="str">
        <f>A49</f>
        <v>比较价格（元/平方米）</v>
      </c>
      <c r="Q49" s="3359"/>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474" t="str">
        <f>A50</f>
        <v>估价对象XX用房的比较价格（楼面单价，元/平方米）</v>
      </c>
      <c r="Q50" s="3357"/>
      <c r="R50" s="3471" t="e">
        <f>IF(F1="售价",ROUND(AVERAGE(R49:V49),0),ROUND(AVERAGE(R49:V49),1))</f>
        <v>#DIV/0!</v>
      </c>
      <c r="S50" s="3471"/>
      <c r="T50" s="3471"/>
      <c r="U50" s="3471"/>
      <c r="V50" s="3471"/>
      <c r="W50" s="347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03" t="str">
        <f>YEAR(C7)&amp;"-"&amp;MONTH(C7)</f>
        <v>2019-6</v>
      </c>
      <c r="D59" s="2805">
        <f>EDATE(C59,-1)</f>
        <v>43586</v>
      </c>
      <c r="E59" s="2805">
        <f t="shared" ref="E59:O59" si="16">EDATE(D59,-1)</f>
        <v>43556</v>
      </c>
      <c r="F59" s="2805">
        <f t="shared" si="16"/>
        <v>43525</v>
      </c>
      <c r="G59" s="2805">
        <f t="shared" si="16"/>
        <v>43497</v>
      </c>
      <c r="H59" s="2805">
        <f t="shared" si="16"/>
        <v>43466</v>
      </c>
      <c r="I59" s="2805">
        <f t="shared" si="16"/>
        <v>43435</v>
      </c>
      <c r="J59" s="2805">
        <f t="shared" si="16"/>
        <v>43405</v>
      </c>
      <c r="K59" s="2805">
        <f t="shared" si="16"/>
        <v>43374</v>
      </c>
      <c r="L59" s="2805">
        <f t="shared" si="16"/>
        <v>43344</v>
      </c>
      <c r="M59" s="2805">
        <f t="shared" si="16"/>
        <v>43313</v>
      </c>
      <c r="N59" s="2805">
        <f t="shared" si="16"/>
        <v>43282</v>
      </c>
      <c r="O59" s="2805">
        <f t="shared" si="16"/>
        <v>43252</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365" t="s">
        <v>521</v>
      </c>
      <c r="D4" s="3366"/>
      <c r="E4" s="3399" t="s">
        <v>522</v>
      </c>
      <c r="F4" s="3400"/>
      <c r="G4" s="3365" t="s">
        <v>523</v>
      </c>
      <c r="H4" s="3366"/>
      <c r="I4" s="3365" t="s">
        <v>524</v>
      </c>
      <c r="J4" s="3366"/>
      <c r="K4" s="514" t="s">
        <v>525</v>
      </c>
      <c r="L4" s="2134"/>
      <c r="M4" s="2135"/>
      <c r="N4" s="2135"/>
      <c r="O4" s="2135"/>
      <c r="P4" s="3367" t="s">
        <v>526</v>
      </c>
      <c r="Q4" s="3368"/>
      <c r="R4" s="3373" t="s">
        <v>522</v>
      </c>
      <c r="S4" s="3374"/>
      <c r="T4" s="3373" t="s">
        <v>523</v>
      </c>
      <c r="U4" s="3374"/>
      <c r="V4" s="3360" t="s">
        <v>524</v>
      </c>
      <c r="W4" s="3360"/>
      <c r="X4" s="1567"/>
      <c r="Y4" s="3373" t="s">
        <v>526</v>
      </c>
      <c r="Z4" s="3374"/>
      <c r="AA4" s="3362" t="s">
        <v>522</v>
      </c>
      <c r="AB4" s="3363" t="s">
        <v>523</v>
      </c>
      <c r="AC4" s="3362" t="s">
        <v>524</v>
      </c>
    </row>
    <row r="5" spans="1:29" ht="15">
      <c r="A5" s="515"/>
      <c r="B5" s="516"/>
      <c r="C5" s="3381" t="s">
        <v>2933</v>
      </c>
      <c r="D5" s="3382"/>
      <c r="E5" s="3401" t="s">
        <v>2934</v>
      </c>
      <c r="F5" s="340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43627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0" t="s">
        <v>529</v>
      </c>
      <c r="Q7" s="3392"/>
      <c r="R7" s="1568" t="s">
        <v>8</v>
      </c>
      <c r="S7" s="1569">
        <f t="shared" ref="S7:S15" si="0">F7</f>
        <v>0</v>
      </c>
      <c r="T7" s="1568" t="s">
        <v>8</v>
      </c>
      <c r="U7" s="1569">
        <f t="shared" ref="U7:U15" si="1">H7</f>
        <v>0</v>
      </c>
      <c r="V7" s="1568" t="s">
        <v>8</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40" si="3">D8/F8</f>
        <v>#DIV/0!</v>
      </c>
      <c r="AB8" s="1571" t="e">
        <f t="shared" ref="AB8:AB40" si="4">D8/H8</f>
        <v>#DIV/0!</v>
      </c>
      <c r="AC8" s="1571" t="e">
        <f t="shared" ref="AC8:AC40" si="5">D8/J8</f>
        <v>#DIV/0!</v>
      </c>
    </row>
    <row r="9" spans="1:29" s="1219"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57">
      <c r="A15" s="2911"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3" t="s">
        <v>539</v>
      </c>
      <c r="Q15" s="1572" t="str">
        <f t="shared" si="6"/>
        <v>产业集聚程度</v>
      </c>
      <c r="R15" s="1573" t="s">
        <v>8</v>
      </c>
      <c r="S15" s="1574">
        <f t="shared" si="0"/>
        <v>100</v>
      </c>
      <c r="T15" s="1573" t="s">
        <v>8</v>
      </c>
      <c r="U15" s="1574">
        <f t="shared" si="1"/>
        <v>100</v>
      </c>
      <c r="V15" s="1573" t="s">
        <v>8</v>
      </c>
      <c r="W15" s="1574">
        <f t="shared" si="2"/>
        <v>100</v>
      </c>
      <c r="X15" s="1567"/>
      <c r="Y15" s="3393"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4"/>
      <c r="Q16" s="1572"/>
      <c r="R16" s="1573"/>
      <c r="S16" s="1574"/>
      <c r="T16" s="1573"/>
      <c r="U16" s="1574"/>
      <c r="V16" s="1573"/>
      <c r="W16" s="1574"/>
      <c r="X16" s="1567"/>
      <c r="Y16" s="339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4"/>
      <c r="Q18" s="1572"/>
      <c r="R18" s="1573"/>
      <c r="S18" s="1574"/>
      <c r="T18" s="1573"/>
      <c r="U18" s="1574"/>
      <c r="V18" s="1573"/>
      <c r="W18" s="1574"/>
      <c r="X18" s="1567"/>
      <c r="Y18" s="3394"/>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4"/>
      <c r="Q21" s="2580" t="str">
        <f>B21</f>
        <v>基础设施水平</v>
      </c>
      <c r="R21" s="1573" t="s">
        <v>8</v>
      </c>
      <c r="S21" s="1574">
        <f>F21</f>
        <v>100</v>
      </c>
      <c r="T21" s="1573" t="s">
        <v>8</v>
      </c>
      <c r="U21" s="1574">
        <f>H21</f>
        <v>100</v>
      </c>
      <c r="V21" s="1573" t="s">
        <v>8</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94"/>
      <c r="Q22" s="2580"/>
      <c r="R22" s="1573"/>
      <c r="S22" s="1574"/>
      <c r="T22" s="1573"/>
      <c r="U22" s="1574"/>
      <c r="V22" s="1573"/>
      <c r="W22" s="1574"/>
      <c r="X22" s="2582"/>
      <c r="Y22" s="3394"/>
      <c r="Z22" s="2581"/>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4"/>
      <c r="Q25" s="1572">
        <f>B25</f>
        <v>111</v>
      </c>
      <c r="R25" s="1573" t="s">
        <v>8</v>
      </c>
      <c r="S25" s="1574">
        <f>F25</f>
        <v>100</v>
      </c>
      <c r="T25" s="1573" t="s">
        <v>8</v>
      </c>
      <c r="U25" s="1574">
        <f>H25</f>
        <v>100</v>
      </c>
      <c r="V25" s="1573" t="s">
        <v>8</v>
      </c>
      <c r="W25" s="1574">
        <f>J25</f>
        <v>100</v>
      </c>
      <c r="X25" s="1567"/>
      <c r="Y25" s="339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4"/>
      <c r="Q26" s="1572">
        <f t="shared" ref="Q26:Q40" si="11">B26</f>
        <v>111</v>
      </c>
      <c r="R26" s="1573" t="s">
        <v>8</v>
      </c>
      <c r="S26" s="1574">
        <f>F26</f>
        <v>100</v>
      </c>
      <c r="T26" s="1573" t="s">
        <v>8</v>
      </c>
      <c r="U26" s="1574">
        <f>H26</f>
        <v>100</v>
      </c>
      <c r="V26" s="1573" t="s">
        <v>8</v>
      </c>
      <c r="W26" s="1574">
        <f>J26</f>
        <v>100</v>
      </c>
      <c r="X26" s="1567"/>
      <c r="Y26" s="339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4"/>
      <c r="Q27" s="1150">
        <f t="shared" si="11"/>
        <v>111</v>
      </c>
      <c r="R27" s="1568" t="s">
        <v>8</v>
      </c>
      <c r="S27" s="1569">
        <f>F27</f>
        <v>100</v>
      </c>
      <c r="T27" s="1568" t="s">
        <v>8</v>
      </c>
      <c r="U27" s="1569">
        <f>H27</f>
        <v>100</v>
      </c>
      <c r="V27" s="1568" t="s">
        <v>8</v>
      </c>
      <c r="W27" s="1569">
        <f>J27</f>
        <v>100</v>
      </c>
      <c r="X27" s="1570"/>
      <c r="Y27" s="339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4"/>
      <c r="Q28" s="1572">
        <f t="shared" si="11"/>
        <v>111</v>
      </c>
      <c r="R28" s="1573" t="s">
        <v>8</v>
      </c>
      <c r="S28" s="1574">
        <f t="shared" ref="S28:S40" si="12">F28</f>
        <v>100</v>
      </c>
      <c r="T28" s="1573" t="s">
        <v>8</v>
      </c>
      <c r="U28" s="1574">
        <f t="shared" ref="U28:U40" si="13">H28</f>
        <v>100</v>
      </c>
      <c r="V28" s="1573" t="s">
        <v>8</v>
      </c>
      <c r="W28" s="1574">
        <f t="shared" ref="W28:W40" si="14">J28</f>
        <v>100</v>
      </c>
      <c r="X28" s="1567"/>
      <c r="Y28" s="3394"/>
      <c r="Z28" s="1575">
        <f t="shared" ref="Z28:Z40" si="15">Q28</f>
        <v>111</v>
      </c>
      <c r="AA28" s="1576">
        <f t="shared" si="3"/>
        <v>1</v>
      </c>
      <c r="AB28" s="1576">
        <f t="shared" si="4"/>
        <v>1</v>
      </c>
      <c r="AC28" s="1576">
        <f t="shared" si="5"/>
        <v>1</v>
      </c>
    </row>
    <row r="29" spans="1:29" ht="15">
      <c r="A29" s="2908"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5" t="s">
        <v>549</v>
      </c>
      <c r="Q29" s="1572" t="str">
        <f t="shared" si="11"/>
        <v>建筑类型</v>
      </c>
      <c r="R29" s="1573" t="s">
        <v>8</v>
      </c>
      <c r="S29" s="1574">
        <f t="shared" si="12"/>
        <v>100</v>
      </c>
      <c r="T29" s="1573" t="s">
        <v>8</v>
      </c>
      <c r="U29" s="1574">
        <f t="shared" si="13"/>
        <v>100</v>
      </c>
      <c r="V29" s="1573" t="s">
        <v>8</v>
      </c>
      <c r="W29" s="1574">
        <f t="shared" si="14"/>
        <v>100</v>
      </c>
      <c r="X29" s="1567"/>
      <c r="Y29" s="3396" t="s">
        <v>549</v>
      </c>
      <c r="Z29" s="1575" t="str">
        <f t="shared" si="15"/>
        <v>建筑类型</v>
      </c>
      <c r="AA29" s="1576">
        <f t="shared" si="3"/>
        <v>1</v>
      </c>
      <c r="AB29" s="1576">
        <f t="shared" si="4"/>
        <v>1</v>
      </c>
      <c r="AC29" s="1576">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6"/>
      <c r="Q30" s="1605" t="str">
        <f t="shared" si="11"/>
        <v>项目建筑规模</v>
      </c>
      <c r="R30" s="1577" t="s">
        <v>8</v>
      </c>
      <c r="S30" s="1578" t="e">
        <f t="shared" si="12"/>
        <v>#N/A</v>
      </c>
      <c r="T30" s="1577" t="s">
        <v>8</v>
      </c>
      <c r="U30" s="1578" t="e">
        <f t="shared" si="13"/>
        <v>#N/A</v>
      </c>
      <c r="V30" s="1577" t="s">
        <v>8</v>
      </c>
      <c r="W30" s="1578" t="e">
        <f t="shared" si="14"/>
        <v>#N/A</v>
      </c>
      <c r="X30" s="1579"/>
      <c r="Y30" s="3396"/>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6"/>
      <c r="Q31" s="1572" t="str">
        <f t="shared" si="11"/>
        <v>建筑结构</v>
      </c>
      <c r="R31" s="1573" t="s">
        <v>8</v>
      </c>
      <c r="S31" s="1574">
        <f t="shared" si="12"/>
        <v>100</v>
      </c>
      <c r="T31" s="1573" t="s">
        <v>8</v>
      </c>
      <c r="U31" s="1574">
        <f t="shared" si="13"/>
        <v>100</v>
      </c>
      <c r="V31" s="1573" t="s">
        <v>8</v>
      </c>
      <c r="W31" s="1574">
        <f t="shared" si="14"/>
        <v>100</v>
      </c>
      <c r="X31" s="1567"/>
      <c r="Y31" s="3396"/>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6"/>
      <c r="Q32" s="1572" t="str">
        <f t="shared" si="11"/>
        <v>公共部分装修</v>
      </c>
      <c r="R32" s="1573" t="s">
        <v>8</v>
      </c>
      <c r="S32" s="1574">
        <f t="shared" si="12"/>
        <v>100</v>
      </c>
      <c r="T32" s="1573" t="s">
        <v>8</v>
      </c>
      <c r="U32" s="1574">
        <f t="shared" si="13"/>
        <v>100</v>
      </c>
      <c r="V32" s="1573" t="s">
        <v>8</v>
      </c>
      <c r="W32" s="1574">
        <f t="shared" si="14"/>
        <v>100</v>
      </c>
      <c r="X32" s="1567"/>
      <c r="Y32" s="3396"/>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6"/>
      <c r="Q33" s="1572" t="str">
        <f t="shared" si="11"/>
        <v>成新度</v>
      </c>
      <c r="R33" s="1573" t="s">
        <v>8</v>
      </c>
      <c r="S33" s="1574" t="e">
        <f t="shared" si="12"/>
        <v>#N/A</v>
      </c>
      <c r="T33" s="1573" t="s">
        <v>8</v>
      </c>
      <c r="U33" s="1574" t="e">
        <f t="shared" si="13"/>
        <v>#N/A</v>
      </c>
      <c r="V33" s="1573" t="s">
        <v>8</v>
      </c>
      <c r="W33" s="1574" t="e">
        <f t="shared" si="14"/>
        <v>#N/A</v>
      </c>
      <c r="X33" s="1567"/>
      <c r="Y33" s="3396"/>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6"/>
      <c r="Q34" s="1150" t="str">
        <f t="shared" si="11"/>
        <v>物业管理</v>
      </c>
      <c r="R34" s="1568" t="s">
        <v>8</v>
      </c>
      <c r="S34" s="1569">
        <f t="shared" si="12"/>
        <v>100</v>
      </c>
      <c r="T34" s="1568" t="s">
        <v>8</v>
      </c>
      <c r="U34" s="1569">
        <f t="shared" si="13"/>
        <v>100</v>
      </c>
      <c r="V34" s="1568" t="s">
        <v>8</v>
      </c>
      <c r="W34" s="1569">
        <f t="shared" si="14"/>
        <v>100</v>
      </c>
      <c r="X34" s="1570"/>
      <c r="Y34" s="3396"/>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6" t="s">
        <v>549</v>
      </c>
      <c r="Q35" s="1572" t="str">
        <f t="shared" si="11"/>
        <v>市政基础设施</v>
      </c>
      <c r="R35" s="1573" t="s">
        <v>8</v>
      </c>
      <c r="S35" s="1574">
        <f t="shared" si="12"/>
        <v>100</v>
      </c>
      <c r="T35" s="1573" t="s">
        <v>8</v>
      </c>
      <c r="U35" s="1574">
        <f t="shared" si="13"/>
        <v>100</v>
      </c>
      <c r="V35" s="1573" t="s">
        <v>8</v>
      </c>
      <c r="W35" s="1574">
        <f t="shared" si="14"/>
        <v>100</v>
      </c>
      <c r="X35" s="1567"/>
      <c r="Y35" s="3396"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6"/>
      <c r="Q36" s="1572" t="str">
        <f t="shared" si="11"/>
        <v>内部装修</v>
      </c>
      <c r="R36" s="1573" t="s">
        <v>8</v>
      </c>
      <c r="S36" s="1574">
        <f t="shared" si="12"/>
        <v>100</v>
      </c>
      <c r="T36" s="1573" t="s">
        <v>8</v>
      </c>
      <c r="U36" s="1574">
        <f t="shared" si="13"/>
        <v>100</v>
      </c>
      <c r="V36" s="1573" t="s">
        <v>8</v>
      </c>
      <c r="W36" s="1574">
        <f t="shared" si="14"/>
        <v>100</v>
      </c>
      <c r="X36" s="1567"/>
      <c r="Y36" s="3396"/>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6"/>
      <c r="Q37" s="1572" t="str">
        <f t="shared" si="11"/>
        <v>内部装修状况</v>
      </c>
      <c r="R37" s="1573" t="s">
        <v>8</v>
      </c>
      <c r="S37" s="1574">
        <f t="shared" si="12"/>
        <v>100</v>
      </c>
      <c r="T37" s="1573" t="s">
        <v>8</v>
      </c>
      <c r="U37" s="1574">
        <f t="shared" si="13"/>
        <v>100</v>
      </c>
      <c r="V37" s="1573" t="s">
        <v>8</v>
      </c>
      <c r="W37" s="1574">
        <f t="shared" si="14"/>
        <v>100</v>
      </c>
      <c r="X37" s="1567"/>
      <c r="Y37" s="3396"/>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6"/>
      <c r="Q38" s="1605">
        <f t="shared" si="11"/>
        <v>111</v>
      </c>
      <c r="R38" s="1577" t="s">
        <v>8</v>
      </c>
      <c r="S38" s="1578">
        <f t="shared" si="12"/>
        <v>100</v>
      </c>
      <c r="T38" s="1577" t="s">
        <v>8</v>
      </c>
      <c r="U38" s="1578">
        <f t="shared" si="13"/>
        <v>100</v>
      </c>
      <c r="V38" s="1577" t="s">
        <v>8</v>
      </c>
      <c r="W38" s="1578">
        <f t="shared" si="14"/>
        <v>100</v>
      </c>
      <c r="X38" s="1579"/>
      <c r="Y38" s="339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6"/>
      <c r="Q39" s="1572">
        <f t="shared" si="11"/>
        <v>111</v>
      </c>
      <c r="R39" s="1573" t="s">
        <v>8</v>
      </c>
      <c r="S39" s="1574">
        <f t="shared" si="12"/>
        <v>100</v>
      </c>
      <c r="T39" s="1573" t="s">
        <v>8</v>
      </c>
      <c r="U39" s="1574">
        <f t="shared" si="13"/>
        <v>100</v>
      </c>
      <c r="V39" s="1573" t="s">
        <v>8</v>
      </c>
      <c r="W39" s="1574">
        <f t="shared" si="14"/>
        <v>100</v>
      </c>
      <c r="X39" s="1567"/>
      <c r="Y39" s="339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3"/>
      <c r="Q40" s="1572">
        <f t="shared" si="11"/>
        <v>111</v>
      </c>
      <c r="R40" s="1573" t="s">
        <v>8</v>
      </c>
      <c r="S40" s="1574">
        <f t="shared" si="12"/>
        <v>100</v>
      </c>
      <c r="T40" s="1573" t="s">
        <v>8</v>
      </c>
      <c r="U40" s="1574">
        <f t="shared" si="13"/>
        <v>100</v>
      </c>
      <c r="V40" s="1573" t="s">
        <v>8</v>
      </c>
      <c r="W40" s="1574">
        <f t="shared" si="14"/>
        <v>100</v>
      </c>
      <c r="X40" s="1567"/>
      <c r="Y40" s="3473"/>
      <c r="Z40" s="1575">
        <f t="shared" si="15"/>
        <v>111</v>
      </c>
      <c r="AA40" s="1576">
        <f t="shared" si="3"/>
        <v>1</v>
      </c>
      <c r="AB40" s="1576">
        <f t="shared" si="4"/>
        <v>1</v>
      </c>
      <c r="AC40" s="1576">
        <f t="shared" si="5"/>
        <v>1</v>
      </c>
    </row>
    <row r="41" spans="1:29" ht="15">
      <c r="A41" s="607" t="s">
        <v>735</v>
      </c>
      <c r="B41" s="887"/>
      <c r="C41" s="2628" t="s">
        <v>1</v>
      </c>
      <c r="D41" s="2629"/>
      <c r="E41" s="2630"/>
      <c r="F41" s="2631"/>
      <c r="G41" s="2632"/>
      <c r="H41" s="2633"/>
      <c r="I41" s="2630"/>
      <c r="J41" s="2633"/>
      <c r="K41" s="1611"/>
      <c r="L41" s="2145"/>
      <c r="M41" s="2146"/>
      <c r="N41" s="2135"/>
      <c r="O41" s="2146"/>
      <c r="P41" s="3359" t="str">
        <f>A41</f>
        <v>成交单价（元/平方米）</v>
      </c>
      <c r="Q41" s="3359"/>
      <c r="R41" s="3472">
        <f>E41</f>
        <v>0</v>
      </c>
      <c r="S41" s="3472"/>
      <c r="T41" s="3472">
        <f>G41</f>
        <v>0</v>
      </c>
      <c r="U41" s="3472"/>
      <c r="V41" s="3472">
        <f>I41</f>
        <v>0</v>
      </c>
      <c r="W41" s="3472"/>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59" t="str">
        <f>A42</f>
        <v>比较价格（元/平方米）</v>
      </c>
      <c r="Q42" s="3359"/>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356" t="str">
        <f>A43</f>
        <v>估价对象XX用房的比较价格（楼面单价，元/平方米）</v>
      </c>
      <c r="Q43" s="3357"/>
      <c r="R43" s="3471" t="e">
        <f>IF(F1="售价",ROUND(AVERAGE(R42:V42),0),ROUND(AVERAGE(R42:V42),1))</f>
        <v>#DIV/0!</v>
      </c>
      <c r="S43" s="3471"/>
      <c r="T43" s="3471"/>
      <c r="U43" s="3471"/>
      <c r="V43" s="3471"/>
      <c r="W43" s="347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03" t="str">
        <f>YEAR(C7)&amp;"-"&amp;MONTH(C7)</f>
        <v>2019-6</v>
      </c>
      <c r="D52" s="2805">
        <f>EDATE(C52,-1)</f>
        <v>43586</v>
      </c>
      <c r="E52" s="2805">
        <f t="shared" ref="E52:O52" si="16">EDATE(D52,-1)</f>
        <v>43556</v>
      </c>
      <c r="F52" s="2805">
        <f t="shared" si="16"/>
        <v>43525</v>
      </c>
      <c r="G52" s="2805">
        <f t="shared" si="16"/>
        <v>43497</v>
      </c>
      <c r="H52" s="2805">
        <f t="shared" si="16"/>
        <v>43466</v>
      </c>
      <c r="I52" s="2805">
        <f t="shared" si="16"/>
        <v>43435</v>
      </c>
      <c r="J52" s="2805">
        <f t="shared" si="16"/>
        <v>43405</v>
      </c>
      <c r="K52" s="2805">
        <f t="shared" si="16"/>
        <v>43374</v>
      </c>
      <c r="L52" s="2805">
        <f t="shared" si="16"/>
        <v>43344</v>
      </c>
      <c r="M52" s="2805">
        <f t="shared" si="16"/>
        <v>43313</v>
      </c>
      <c r="N52" s="2805">
        <f t="shared" si="16"/>
        <v>43282</v>
      </c>
      <c r="O52" s="2805">
        <f t="shared" si="16"/>
        <v>43252</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65" t="s">
        <v>797</v>
      </c>
      <c r="D4" s="3366"/>
      <c r="E4" s="3365" t="s">
        <v>798</v>
      </c>
      <c r="F4" s="3366"/>
      <c r="G4" s="3365" t="s">
        <v>799</v>
      </c>
      <c r="H4" s="3366"/>
      <c r="I4" s="3365" t="s">
        <v>800</v>
      </c>
      <c r="J4" s="3366"/>
      <c r="K4" s="514" t="s">
        <v>801</v>
      </c>
      <c r="L4" s="2134"/>
      <c r="M4" s="2135"/>
      <c r="N4" s="2135"/>
      <c r="O4" s="2135"/>
      <c r="P4" s="3367" t="s">
        <v>802</v>
      </c>
      <c r="Q4" s="3368"/>
      <c r="R4" s="3373" t="s">
        <v>798</v>
      </c>
      <c r="S4" s="3374"/>
      <c r="T4" s="3373" t="s">
        <v>799</v>
      </c>
      <c r="U4" s="3374"/>
      <c r="V4" s="3360" t="s">
        <v>800</v>
      </c>
      <c r="W4" s="3360"/>
      <c r="X4" s="1567"/>
      <c r="Y4" s="3373" t="s">
        <v>802</v>
      </c>
      <c r="Z4" s="3374"/>
      <c r="AA4" s="3362" t="s">
        <v>798</v>
      </c>
      <c r="AB4" s="3363" t="s">
        <v>799</v>
      </c>
      <c r="AC4" s="3362" t="s">
        <v>800</v>
      </c>
    </row>
    <row r="5" spans="1:29" ht="15">
      <c r="A5" s="515"/>
      <c r="B5" s="516"/>
      <c r="C5" s="3381" t="s">
        <v>2933</v>
      </c>
      <c r="D5" s="3382"/>
      <c r="E5" s="3381" t="s">
        <v>2934</v>
      </c>
      <c r="F5" s="338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83" t="s">
        <v>2937</v>
      </c>
      <c r="F6" s="3384"/>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43627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0" t="s">
        <v>529</v>
      </c>
      <c r="Q7" s="3392"/>
      <c r="R7" s="1568" t="s">
        <v>8</v>
      </c>
      <c r="S7" s="1569">
        <f t="shared" ref="S7:S14" si="0">F7</f>
        <v>0</v>
      </c>
      <c r="T7" s="1568" t="s">
        <v>8</v>
      </c>
      <c r="U7" s="1569">
        <f t="shared" ref="U7:U14" si="1">H7</f>
        <v>0</v>
      </c>
      <c r="V7" s="1568" t="s">
        <v>8</v>
      </c>
      <c r="W7" s="1569">
        <f t="shared" ref="W7:W14"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36" si="3">D8/F8</f>
        <v>#DIV/0!</v>
      </c>
      <c r="AB8" s="1571" t="e">
        <f t="shared" ref="AB8:AB36" si="4">D8/H8</f>
        <v>#DIV/0!</v>
      </c>
      <c r="AC8" s="1571" t="e">
        <f t="shared" ref="AC8:AC36" si="5">D8/J8</f>
        <v>#DIV/0!</v>
      </c>
    </row>
    <row r="9" spans="1:29" s="1219" customFormat="1" ht="15">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9" t="s">
        <v>534</v>
      </c>
      <c r="Q9" s="1150" t="str">
        <f t="shared" ref="Q9:Q14" si="6">B9</f>
        <v>用途</v>
      </c>
      <c r="R9" s="1568" t="s">
        <v>8</v>
      </c>
      <c r="S9" s="1569">
        <f t="shared" si="0"/>
        <v>100</v>
      </c>
      <c r="T9" s="1568" t="s">
        <v>8</v>
      </c>
      <c r="U9" s="1569">
        <f t="shared" si="1"/>
        <v>100</v>
      </c>
      <c r="V9" s="1568" t="s">
        <v>8</v>
      </c>
      <c r="W9" s="1569">
        <f t="shared" si="2"/>
        <v>100</v>
      </c>
      <c r="X9" s="1570"/>
      <c r="Y9" s="3305" t="s">
        <v>535</v>
      </c>
      <c r="Z9" s="1149" t="str">
        <f t="shared" ref="Z9:Z14" si="7">Q9</f>
        <v>用途</v>
      </c>
      <c r="AA9" s="1571">
        <f t="shared" si="3"/>
        <v>1</v>
      </c>
      <c r="AB9" s="1571">
        <f t="shared" si="4"/>
        <v>1</v>
      </c>
      <c r="AC9" s="1571">
        <f t="shared" si="5"/>
        <v>1</v>
      </c>
    </row>
    <row r="10" spans="1:29" s="1337"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911"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3" t="s">
        <v>539</v>
      </c>
      <c r="Q14" s="1572" t="str">
        <f t="shared" si="6"/>
        <v>交通便捷度</v>
      </c>
      <c r="R14" s="1573" t="s">
        <v>8</v>
      </c>
      <c r="S14" s="1574">
        <f t="shared" si="0"/>
        <v>100</v>
      </c>
      <c r="T14" s="1573" t="s">
        <v>8</v>
      </c>
      <c r="U14" s="1574">
        <f t="shared" si="1"/>
        <v>100</v>
      </c>
      <c r="V14" s="1573" t="s">
        <v>8</v>
      </c>
      <c r="W14" s="1574">
        <f t="shared" si="2"/>
        <v>100</v>
      </c>
      <c r="X14" s="1567"/>
      <c r="Y14" s="3393"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4"/>
      <c r="Q15" s="1572"/>
      <c r="R15" s="1573"/>
      <c r="S15" s="1574"/>
      <c r="T15" s="1573"/>
      <c r="U15" s="1574"/>
      <c r="V15" s="1573"/>
      <c r="W15" s="1574"/>
      <c r="X15" s="1567"/>
      <c r="Y15" s="3394"/>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4"/>
      <c r="Q17" s="1572"/>
      <c r="R17" s="1573"/>
      <c r="S17" s="1574"/>
      <c r="T17" s="1573"/>
      <c r="U17" s="1574"/>
      <c r="V17" s="1573"/>
      <c r="W17" s="1574"/>
      <c r="X17" s="1567"/>
      <c r="Y17" s="3394"/>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4"/>
      <c r="Q18" s="2580" t="str">
        <f>B18</f>
        <v>基础设施水平</v>
      </c>
      <c r="R18" s="1573" t="s">
        <v>8</v>
      </c>
      <c r="S18" s="1574">
        <f>F18</f>
        <v>100</v>
      </c>
      <c r="T18" s="1573" t="s">
        <v>8</v>
      </c>
      <c r="U18" s="1574">
        <f>H18</f>
        <v>100</v>
      </c>
      <c r="V18" s="1573" t="s">
        <v>8</v>
      </c>
      <c r="W18" s="1574">
        <f>J18</f>
        <v>100</v>
      </c>
      <c r="X18" s="2582"/>
      <c r="Y18" s="3394"/>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94"/>
      <c r="Q19" s="2580"/>
      <c r="R19" s="1573"/>
      <c r="S19" s="1574"/>
      <c r="T19" s="1573"/>
      <c r="U19" s="1574"/>
      <c r="V19" s="1573"/>
      <c r="W19" s="1574"/>
      <c r="X19" s="2582"/>
      <c r="Y19" s="3394"/>
      <c r="Z19" s="2581"/>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4"/>
      <c r="Q21" s="1572"/>
      <c r="R21" s="1573"/>
      <c r="S21" s="1574"/>
      <c r="T21" s="1573"/>
      <c r="U21" s="1574"/>
      <c r="V21" s="1573"/>
      <c r="W21" s="1574"/>
      <c r="X21" s="1567"/>
      <c r="Y21" s="3394"/>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4"/>
      <c r="Q24" s="1572">
        <f t="shared" ref="Q24:Q36"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908"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5"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6" t="s">
        <v>549</v>
      </c>
      <c r="Z26" s="1575" t="str">
        <f t="shared" ref="Z26:Z36" si="15">Q26</f>
        <v>配套类型</v>
      </c>
      <c r="AA26" s="1576">
        <f t="shared" si="3"/>
        <v>1</v>
      </c>
      <c r="AB26" s="1576">
        <f t="shared" si="4"/>
        <v>1</v>
      </c>
      <c r="AC26" s="1576">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6"/>
      <c r="Q27" s="1605" t="str">
        <f t="shared" si="11"/>
        <v>项目停车位配比</v>
      </c>
      <c r="R27" s="1577" t="s">
        <v>8</v>
      </c>
      <c r="S27" s="1578">
        <f t="shared" si="12"/>
        <v>100</v>
      </c>
      <c r="T27" s="1577" t="s">
        <v>8</v>
      </c>
      <c r="U27" s="1578">
        <f t="shared" si="13"/>
        <v>100</v>
      </c>
      <c r="V27" s="1577" t="s">
        <v>8</v>
      </c>
      <c r="W27" s="1578">
        <f t="shared" si="14"/>
        <v>100</v>
      </c>
      <c r="X27" s="1579"/>
      <c r="Y27" s="3396"/>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6"/>
      <c r="Q28" s="1572" t="str">
        <f t="shared" si="11"/>
        <v>公共部分装修</v>
      </c>
      <c r="R28" s="1573" t="s">
        <v>8</v>
      </c>
      <c r="S28" s="1574">
        <f t="shared" si="12"/>
        <v>100</v>
      </c>
      <c r="T28" s="1573" t="s">
        <v>8</v>
      </c>
      <c r="U28" s="1574">
        <f t="shared" si="13"/>
        <v>100</v>
      </c>
      <c r="V28" s="1573" t="s">
        <v>8</v>
      </c>
      <c r="W28" s="1574">
        <f t="shared" si="14"/>
        <v>100</v>
      </c>
      <c r="X28" s="1567"/>
      <c r="Y28" s="3396"/>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6"/>
      <c r="Q29" s="1572" t="str">
        <f t="shared" si="11"/>
        <v>成新率</v>
      </c>
      <c r="R29" s="1573" t="s">
        <v>8</v>
      </c>
      <c r="S29" s="1574" t="e">
        <f t="shared" si="12"/>
        <v>#N/A</v>
      </c>
      <c r="T29" s="1573" t="s">
        <v>8</v>
      </c>
      <c r="U29" s="1574" t="e">
        <f t="shared" si="13"/>
        <v>#N/A</v>
      </c>
      <c r="V29" s="1573" t="s">
        <v>8</v>
      </c>
      <c r="W29" s="1574" t="e">
        <f t="shared" si="14"/>
        <v>#N/A</v>
      </c>
      <c r="X29" s="1567"/>
      <c r="Y29" s="3396"/>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6"/>
      <c r="Q30" s="1572" t="str">
        <f t="shared" si="11"/>
        <v>物业等级</v>
      </c>
      <c r="R30" s="1573" t="s">
        <v>8</v>
      </c>
      <c r="S30" s="1574">
        <f t="shared" si="12"/>
        <v>100</v>
      </c>
      <c r="T30" s="1573" t="s">
        <v>8</v>
      </c>
      <c r="U30" s="1574">
        <f t="shared" si="13"/>
        <v>100</v>
      </c>
      <c r="V30" s="1573" t="s">
        <v>8</v>
      </c>
      <c r="W30" s="1574">
        <f t="shared" si="14"/>
        <v>100</v>
      </c>
      <c r="X30" s="1567"/>
      <c r="Y30" s="3396"/>
      <c r="Z30" s="1575" t="str">
        <f t="shared" si="15"/>
        <v>物业等级</v>
      </c>
      <c r="AA30" s="1576">
        <f t="shared" si="3"/>
        <v>1</v>
      </c>
      <c r="AB30" s="1576">
        <f t="shared" si="4"/>
        <v>1</v>
      </c>
      <c r="AC30" s="1576">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6"/>
      <c r="Q31" s="1150" t="str">
        <f t="shared" si="11"/>
        <v>停车位面积</v>
      </c>
      <c r="R31" s="1568" t="s">
        <v>8</v>
      </c>
      <c r="S31" s="1569" t="e">
        <f t="shared" si="12"/>
        <v>#N/A</v>
      </c>
      <c r="T31" s="1568" t="s">
        <v>8</v>
      </c>
      <c r="U31" s="1569" t="e">
        <f t="shared" si="13"/>
        <v>#N/A</v>
      </c>
      <c r="V31" s="1568" t="s">
        <v>8</v>
      </c>
      <c r="W31" s="1569" t="e">
        <f t="shared" si="14"/>
        <v>#N/A</v>
      </c>
      <c r="X31" s="1570"/>
      <c r="Y31" s="3396"/>
      <c r="Z31" s="1149"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6" t="s">
        <v>549</v>
      </c>
      <c r="Q32" s="1572" t="str">
        <f t="shared" si="11"/>
        <v>车位类型</v>
      </c>
      <c r="R32" s="1573" t="s">
        <v>8</v>
      </c>
      <c r="S32" s="1574">
        <f t="shared" si="12"/>
        <v>100</v>
      </c>
      <c r="T32" s="1573" t="s">
        <v>8</v>
      </c>
      <c r="U32" s="1574">
        <f t="shared" si="13"/>
        <v>100</v>
      </c>
      <c r="V32" s="1573" t="s">
        <v>8</v>
      </c>
      <c r="W32" s="1574">
        <f t="shared" si="14"/>
        <v>100</v>
      </c>
      <c r="X32" s="1567"/>
      <c r="Y32" s="3396"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6"/>
      <c r="Q33" s="1572" t="str">
        <f t="shared" si="11"/>
        <v>是否直接入户</v>
      </c>
      <c r="R33" s="1573" t="s">
        <v>8</v>
      </c>
      <c r="S33" s="1574">
        <f t="shared" si="12"/>
        <v>100</v>
      </c>
      <c r="T33" s="1573" t="s">
        <v>8</v>
      </c>
      <c r="U33" s="1574">
        <f t="shared" si="13"/>
        <v>100</v>
      </c>
      <c r="V33" s="1573" t="s">
        <v>8</v>
      </c>
      <c r="W33" s="1574">
        <f t="shared" si="14"/>
        <v>100</v>
      </c>
      <c r="X33" s="1567"/>
      <c r="Y33" s="339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6"/>
      <c r="Q35" s="1605">
        <f t="shared" si="11"/>
        <v>111</v>
      </c>
      <c r="R35" s="1577" t="s">
        <v>8</v>
      </c>
      <c r="S35" s="1578">
        <f t="shared" si="12"/>
        <v>100</v>
      </c>
      <c r="T35" s="1577" t="s">
        <v>8</v>
      </c>
      <c r="U35" s="1578">
        <f t="shared" si="13"/>
        <v>100</v>
      </c>
      <c r="V35" s="1577" t="s">
        <v>8</v>
      </c>
      <c r="W35" s="1578">
        <f t="shared" si="14"/>
        <v>100</v>
      </c>
      <c r="X35" s="1579"/>
      <c r="Y35" s="339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6"/>
      <c r="Q36" s="1572">
        <f t="shared" si="11"/>
        <v>111</v>
      </c>
      <c r="R36" s="1573" t="s">
        <v>8</v>
      </c>
      <c r="S36" s="1574">
        <f t="shared" si="12"/>
        <v>100</v>
      </c>
      <c r="T36" s="1573" t="s">
        <v>8</v>
      </c>
      <c r="U36" s="1574">
        <f t="shared" si="13"/>
        <v>100</v>
      </c>
      <c r="V36" s="1573" t="s">
        <v>8</v>
      </c>
      <c r="W36" s="1574">
        <f t="shared" si="14"/>
        <v>100</v>
      </c>
      <c r="X36" s="1567"/>
      <c r="Y36" s="3396"/>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59" t="str">
        <f>A37</f>
        <v>成交单价</v>
      </c>
      <c r="Q37" s="3359"/>
      <c r="R37" s="3472">
        <f>E37</f>
        <v>0</v>
      </c>
      <c r="S37" s="3472"/>
      <c r="T37" s="3472">
        <f>G37</f>
        <v>0</v>
      </c>
      <c r="U37" s="3472"/>
      <c r="V37" s="3472">
        <f>I37</f>
        <v>0</v>
      </c>
      <c r="W37" s="3472"/>
      <c r="X37" s="1559"/>
      <c r="Y37" s="1581"/>
      <c r="Z37" s="1559"/>
      <c r="AA37" s="1559"/>
      <c r="AB37" s="1559"/>
      <c r="AC37" s="1559"/>
    </row>
    <row r="38" spans="1:29" ht="15.75" thickBot="1">
      <c r="A38" s="615" t="s">
        <v>2762</v>
      </c>
      <c r="B38" s="888"/>
      <c r="C38" s="2634" t="e">
        <f>R39</f>
        <v>#DIV/0!</v>
      </c>
      <c r="D38" s="2635"/>
      <c r="E38" s="2636" t="e">
        <f>R38</f>
        <v>#DIV/0!</v>
      </c>
      <c r="F38" s="2636"/>
      <c r="G38" s="2634" t="e">
        <f>T38</f>
        <v>#DIV/0!</v>
      </c>
      <c r="H38" s="2635"/>
      <c r="I38" s="2636" t="e">
        <f>V38</f>
        <v>#DIV/0!</v>
      </c>
      <c r="J38" s="2635"/>
      <c r="K38" s="1612"/>
      <c r="L38" s="2145"/>
      <c r="M38" s="2146"/>
      <c r="N38" s="2146"/>
      <c r="O38" s="2146"/>
      <c r="P38" s="3359" t="str">
        <f>A38</f>
        <v>比较价格（元/平方米）</v>
      </c>
      <c r="Q38" s="3359"/>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356" t="str">
        <f>A39</f>
        <v>估价对象XX用房的比较价格（楼面单价，元/平方米）</v>
      </c>
      <c r="Q39" s="3357"/>
      <c r="R39" s="3471" t="e">
        <f>IF(F1="售价",ROUND(AVERAGE(R38:V38),0),ROUND(AVERAGE(R38:V38),1))</f>
        <v>#DIV/0!</v>
      </c>
      <c r="S39" s="3471"/>
      <c r="T39" s="3471"/>
      <c r="U39" s="3471"/>
      <c r="V39" s="3471"/>
      <c r="W39" s="347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03" t="str">
        <f>YEAR(C7)&amp;"-"&amp;MONTH(C7)</f>
        <v>2019-6</v>
      </c>
      <c r="D48" s="2805">
        <f>EDATE(C48,-1)</f>
        <v>43586</v>
      </c>
      <c r="E48" s="2805">
        <f t="shared" ref="E48:O48" si="16">EDATE(D48,-1)</f>
        <v>43556</v>
      </c>
      <c r="F48" s="2805">
        <f t="shared" si="16"/>
        <v>43525</v>
      </c>
      <c r="G48" s="2805">
        <f t="shared" si="16"/>
        <v>43497</v>
      </c>
      <c r="H48" s="2805">
        <f t="shared" si="16"/>
        <v>43466</v>
      </c>
      <c r="I48" s="2805">
        <f t="shared" si="16"/>
        <v>43435</v>
      </c>
      <c r="J48" s="2805">
        <f t="shared" si="16"/>
        <v>43405</v>
      </c>
      <c r="K48" s="2805">
        <f t="shared" si="16"/>
        <v>43374</v>
      </c>
      <c r="L48" s="2805">
        <f t="shared" si="16"/>
        <v>43344</v>
      </c>
      <c r="M48" s="2805">
        <f t="shared" si="16"/>
        <v>43313</v>
      </c>
      <c r="N48" s="2805">
        <f t="shared" si="16"/>
        <v>43282</v>
      </c>
      <c r="O48" s="2805">
        <f t="shared" si="16"/>
        <v>43252</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65" t="s">
        <v>797</v>
      </c>
      <c r="D4" s="3366"/>
      <c r="E4" s="3399" t="s">
        <v>798</v>
      </c>
      <c r="F4" s="3400"/>
      <c r="G4" s="3365" t="s">
        <v>799</v>
      </c>
      <c r="H4" s="3366"/>
      <c r="I4" s="3365" t="s">
        <v>800</v>
      </c>
      <c r="J4" s="3366"/>
      <c r="K4" s="514" t="s">
        <v>801</v>
      </c>
      <c r="L4" s="2134"/>
      <c r="M4" s="2135"/>
      <c r="N4" s="2135"/>
      <c r="O4" s="2135"/>
      <c r="P4" s="3367" t="s">
        <v>802</v>
      </c>
      <c r="Q4" s="3368"/>
      <c r="R4" s="3373" t="s">
        <v>798</v>
      </c>
      <c r="S4" s="3374"/>
      <c r="T4" s="3373" t="s">
        <v>799</v>
      </c>
      <c r="U4" s="3374"/>
      <c r="V4" s="3360" t="s">
        <v>800</v>
      </c>
      <c r="W4" s="3360"/>
      <c r="X4" s="1567"/>
      <c r="Y4" s="3373" t="s">
        <v>802</v>
      </c>
      <c r="Z4" s="3374"/>
      <c r="AA4" s="3362" t="s">
        <v>798</v>
      </c>
      <c r="AB4" s="3363" t="s">
        <v>799</v>
      </c>
      <c r="AC4" s="3362" t="s">
        <v>800</v>
      </c>
    </row>
    <row r="5" spans="1:29" ht="15">
      <c r="A5" s="515"/>
      <c r="B5" s="516"/>
      <c r="C5" s="3381" t="s">
        <v>2933</v>
      </c>
      <c r="D5" s="3382"/>
      <c r="E5" s="3401" t="s">
        <v>2934</v>
      </c>
      <c r="F5" s="340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43627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0" t="s">
        <v>529</v>
      </c>
      <c r="Q7" s="3392"/>
      <c r="R7" s="1568" t="s">
        <v>8</v>
      </c>
      <c r="S7" s="1569">
        <f t="shared" ref="S7:S14" si="0">F7</f>
        <v>0</v>
      </c>
      <c r="T7" s="1568" t="s">
        <v>8</v>
      </c>
      <c r="U7" s="1569">
        <f t="shared" ref="U7:U14" si="1">H7</f>
        <v>0</v>
      </c>
      <c r="V7" s="1568" t="s">
        <v>8</v>
      </c>
      <c r="W7" s="1569">
        <f t="shared" ref="W7:W14"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34" si="3">D8/F8</f>
        <v>#DIV/0!</v>
      </c>
      <c r="AB8" s="1571" t="e">
        <f t="shared" ref="AB8:AB34" si="4">D8/H8</f>
        <v>#DIV/0!</v>
      </c>
      <c r="AC8" s="1571" t="e">
        <f t="shared" ref="AC8:AC34" si="5">D8/J8</f>
        <v>#DIV/0!</v>
      </c>
    </row>
    <row r="9" spans="1:29" s="1219"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9" t="s">
        <v>534</v>
      </c>
      <c r="Q9" s="1150" t="str">
        <f t="shared" ref="Q9:Q14" si="6">B9</f>
        <v>用途</v>
      </c>
      <c r="R9" s="1568" t="s">
        <v>8</v>
      </c>
      <c r="S9" s="1569">
        <f t="shared" si="0"/>
        <v>100</v>
      </c>
      <c r="T9" s="1568" t="s">
        <v>8</v>
      </c>
      <c r="U9" s="1569">
        <f t="shared" si="1"/>
        <v>100</v>
      </c>
      <c r="V9" s="1568" t="s">
        <v>8</v>
      </c>
      <c r="W9" s="1569">
        <f t="shared" si="2"/>
        <v>100</v>
      </c>
      <c r="X9" s="1570"/>
      <c r="Y9" s="3305" t="s">
        <v>535</v>
      </c>
      <c r="Z9" s="1149" t="str">
        <f t="shared" ref="Z9:Z14" si="7">Q9</f>
        <v>用途</v>
      </c>
      <c r="AA9" s="1571">
        <f t="shared" si="3"/>
        <v>1</v>
      </c>
      <c r="AB9" s="1571">
        <f t="shared" si="4"/>
        <v>1</v>
      </c>
      <c r="AC9" s="1571">
        <f t="shared" si="5"/>
        <v>1</v>
      </c>
    </row>
    <row r="10" spans="1:29" s="1337"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911"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3" t="s">
        <v>539</v>
      </c>
      <c r="Q14" s="1572" t="str">
        <f t="shared" si="6"/>
        <v>交通便捷度</v>
      </c>
      <c r="R14" s="1573" t="s">
        <v>8</v>
      </c>
      <c r="S14" s="1574">
        <f t="shared" si="0"/>
        <v>100</v>
      </c>
      <c r="T14" s="1573" t="s">
        <v>8</v>
      </c>
      <c r="U14" s="1574">
        <f t="shared" si="1"/>
        <v>100</v>
      </c>
      <c r="V14" s="1573" t="s">
        <v>8</v>
      </c>
      <c r="W14" s="1574">
        <f t="shared" si="2"/>
        <v>100</v>
      </c>
      <c r="X14" s="1567"/>
      <c r="Y14" s="3393"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4"/>
      <c r="Q15" s="1572"/>
      <c r="R15" s="1573"/>
      <c r="S15" s="1574"/>
      <c r="T15" s="1573"/>
      <c r="U15" s="1574"/>
      <c r="V15" s="1573"/>
      <c r="W15" s="1574"/>
      <c r="X15" s="1567"/>
      <c r="Y15" s="3394"/>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4"/>
      <c r="Q17" s="1572"/>
      <c r="R17" s="1573"/>
      <c r="S17" s="1574"/>
      <c r="T17" s="1573"/>
      <c r="U17" s="1574"/>
      <c r="V17" s="1573"/>
      <c r="W17" s="1574"/>
      <c r="X17" s="1567"/>
      <c r="Y17" s="3394"/>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4"/>
      <c r="Q18" s="2580" t="str">
        <f>B18</f>
        <v>基础设施水平</v>
      </c>
      <c r="R18" s="1573" t="s">
        <v>8</v>
      </c>
      <c r="S18" s="1574">
        <f>F18</f>
        <v>100</v>
      </c>
      <c r="T18" s="1573" t="s">
        <v>8</v>
      </c>
      <c r="U18" s="1574">
        <f>H18</f>
        <v>100</v>
      </c>
      <c r="V18" s="1573" t="s">
        <v>8</v>
      </c>
      <c r="W18" s="1574">
        <f>J18</f>
        <v>100</v>
      </c>
      <c r="X18" s="2582"/>
      <c r="Y18" s="339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94"/>
      <c r="Q19" s="2580"/>
      <c r="R19" s="1573"/>
      <c r="S19" s="1574"/>
      <c r="T19" s="1573"/>
      <c r="U19" s="1574"/>
      <c r="V19" s="1573"/>
      <c r="W19" s="1574"/>
      <c r="X19" s="2582"/>
      <c r="Y19" s="3394"/>
      <c r="Z19" s="2581"/>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4"/>
      <c r="Q21" s="1572"/>
      <c r="R21" s="1573"/>
      <c r="S21" s="1574"/>
      <c r="T21" s="1573"/>
      <c r="U21" s="1574"/>
      <c r="V21" s="1573"/>
      <c r="W21" s="1574"/>
      <c r="X21" s="1567"/>
      <c r="Y21" s="3394"/>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4"/>
      <c r="Q24" s="1572">
        <f t="shared" ref="Q24:Q34"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908"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5"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6" t="s">
        <v>820</v>
      </c>
      <c r="Z26" s="1575" t="str">
        <f t="shared" ref="Z26:Z34" si="15">Q26</f>
        <v>公共部分装修</v>
      </c>
      <c r="AA26" s="1576">
        <f t="shared" si="3"/>
        <v>1</v>
      </c>
      <c r="AB26" s="1576">
        <f t="shared" si="4"/>
        <v>1</v>
      </c>
      <c r="AC26" s="1576">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6"/>
      <c r="Q27" s="1605" t="str">
        <f t="shared" si="11"/>
        <v>成新率</v>
      </c>
      <c r="R27" s="1577" t="s">
        <v>8</v>
      </c>
      <c r="S27" s="1578" t="e">
        <f t="shared" si="12"/>
        <v>#N/A</v>
      </c>
      <c r="T27" s="1577" t="s">
        <v>8</v>
      </c>
      <c r="U27" s="1578" t="e">
        <f t="shared" si="13"/>
        <v>#N/A</v>
      </c>
      <c r="V27" s="1577" t="s">
        <v>8</v>
      </c>
      <c r="W27" s="1578" t="e">
        <f t="shared" si="14"/>
        <v>#N/A</v>
      </c>
      <c r="X27" s="1579"/>
      <c r="Y27" s="3396"/>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6"/>
      <c r="Q28" s="1572" t="str">
        <f t="shared" si="11"/>
        <v>物业等级</v>
      </c>
      <c r="R28" s="1573" t="s">
        <v>8</v>
      </c>
      <c r="S28" s="1574">
        <f t="shared" si="12"/>
        <v>100</v>
      </c>
      <c r="T28" s="1573" t="s">
        <v>8</v>
      </c>
      <c r="U28" s="1574">
        <f t="shared" si="13"/>
        <v>100</v>
      </c>
      <c r="V28" s="1573" t="s">
        <v>8</v>
      </c>
      <c r="W28" s="1574">
        <f t="shared" si="14"/>
        <v>100</v>
      </c>
      <c r="X28" s="1567"/>
      <c r="Y28" s="3396"/>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6"/>
      <c r="Q29" s="1572" t="str">
        <f t="shared" si="11"/>
        <v>有无电梯</v>
      </c>
      <c r="R29" s="1573" t="s">
        <v>8</v>
      </c>
      <c r="S29" s="1574">
        <f t="shared" si="12"/>
        <v>100</v>
      </c>
      <c r="T29" s="1573" t="s">
        <v>8</v>
      </c>
      <c r="U29" s="1574">
        <f t="shared" si="13"/>
        <v>100</v>
      </c>
      <c r="V29" s="1573" t="s">
        <v>8</v>
      </c>
      <c r="W29" s="1574">
        <f t="shared" si="14"/>
        <v>100</v>
      </c>
      <c r="X29" s="1567"/>
      <c r="Y29" s="3396"/>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6"/>
      <c r="Q30" s="1572" t="str">
        <f t="shared" si="11"/>
        <v>建筑面积</v>
      </c>
      <c r="R30" s="1573" t="s">
        <v>8</v>
      </c>
      <c r="S30" s="1574" t="e">
        <f t="shared" si="12"/>
        <v>#N/A</v>
      </c>
      <c r="T30" s="1573" t="s">
        <v>8</v>
      </c>
      <c r="U30" s="1574" t="e">
        <f t="shared" si="13"/>
        <v>#N/A</v>
      </c>
      <c r="V30" s="1573" t="s">
        <v>8</v>
      </c>
      <c r="W30" s="1574" t="e">
        <f t="shared" si="14"/>
        <v>#N/A</v>
      </c>
      <c r="X30" s="1567"/>
      <c r="Y30" s="3396"/>
      <c r="Z30" s="1575" t="str">
        <f t="shared" si="15"/>
        <v>建筑面积</v>
      </c>
      <c r="AA30" s="1576" t="e">
        <f t="shared" si="3"/>
        <v>#N/A</v>
      </c>
      <c r="AB30" s="1576" t="e">
        <f t="shared" si="4"/>
        <v>#N/A</v>
      </c>
      <c r="AC30" s="1576"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6"/>
      <c r="Q31" s="1150" t="str">
        <f t="shared" si="11"/>
        <v>是否封闭</v>
      </c>
      <c r="R31" s="1568" t="s">
        <v>8</v>
      </c>
      <c r="S31" s="1569">
        <f t="shared" si="12"/>
        <v>100</v>
      </c>
      <c r="T31" s="1568" t="s">
        <v>8</v>
      </c>
      <c r="U31" s="1569">
        <f t="shared" si="13"/>
        <v>100</v>
      </c>
      <c r="V31" s="1568" t="s">
        <v>8</v>
      </c>
      <c r="W31" s="1569">
        <f t="shared" si="14"/>
        <v>100</v>
      </c>
      <c r="X31" s="1570"/>
      <c r="Y31" s="3396"/>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6" t="s">
        <v>549</v>
      </c>
      <c r="Q32" s="1572">
        <f t="shared" si="11"/>
        <v>111</v>
      </c>
      <c r="R32" s="1573" t="s">
        <v>8</v>
      </c>
      <c r="S32" s="1574">
        <f t="shared" si="12"/>
        <v>100</v>
      </c>
      <c r="T32" s="1573" t="s">
        <v>8</v>
      </c>
      <c r="U32" s="1574">
        <f t="shared" si="13"/>
        <v>100</v>
      </c>
      <c r="V32" s="1573" t="s">
        <v>8</v>
      </c>
      <c r="W32" s="1574">
        <f t="shared" si="14"/>
        <v>100</v>
      </c>
      <c r="X32" s="1567"/>
      <c r="Y32" s="3396"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6"/>
      <c r="Q33" s="1572">
        <f t="shared" si="11"/>
        <v>111</v>
      </c>
      <c r="R33" s="1573" t="s">
        <v>8</v>
      </c>
      <c r="S33" s="1574">
        <f t="shared" si="12"/>
        <v>100</v>
      </c>
      <c r="T33" s="1573" t="s">
        <v>8</v>
      </c>
      <c r="U33" s="1574">
        <f t="shared" si="13"/>
        <v>100</v>
      </c>
      <c r="V33" s="1573" t="s">
        <v>8</v>
      </c>
      <c r="W33" s="1574">
        <f t="shared" si="14"/>
        <v>100</v>
      </c>
      <c r="X33" s="1567"/>
      <c r="Y33" s="339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ht="15">
      <c r="A35" s="607" t="s">
        <v>735</v>
      </c>
      <c r="B35" s="887"/>
      <c r="C35" s="2628" t="s">
        <v>1</v>
      </c>
      <c r="D35" s="2629"/>
      <c r="E35" s="2630"/>
      <c r="F35" s="2631"/>
      <c r="G35" s="2632"/>
      <c r="H35" s="2633"/>
      <c r="I35" s="2630"/>
      <c r="J35" s="2633"/>
      <c r="K35" s="1611"/>
      <c r="L35" s="2145"/>
      <c r="M35" s="2146"/>
      <c r="N35" s="2135"/>
      <c r="O35" s="2146"/>
      <c r="P35" s="3359" t="str">
        <f>A35</f>
        <v>成交单价（元/平方米）</v>
      </c>
      <c r="Q35" s="3359"/>
      <c r="R35" s="3472">
        <f>E35</f>
        <v>0</v>
      </c>
      <c r="S35" s="3472"/>
      <c r="T35" s="3472">
        <f>G35</f>
        <v>0</v>
      </c>
      <c r="U35" s="3472"/>
      <c r="V35" s="3472">
        <f>I35</f>
        <v>0</v>
      </c>
      <c r="W35" s="3472"/>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59" t="str">
        <f>A36</f>
        <v>比较价格（元/平方米）</v>
      </c>
      <c r="Q36" s="3359"/>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356" t="str">
        <f>A37</f>
        <v>估价对象XX用房的比较价格（楼面单价，元/平方米）</v>
      </c>
      <c r="Q37" s="3357"/>
      <c r="R37" s="3471" t="e">
        <f>IF(F1="售价",ROUND(AVERAGE(R36:V36),0),ROUND(AVERAGE(R36:V36),1))</f>
        <v>#DIV/0!</v>
      </c>
      <c r="S37" s="3471"/>
      <c r="T37" s="3471"/>
      <c r="U37" s="3471"/>
      <c r="V37" s="3471"/>
      <c r="W37" s="347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03" t="str">
        <f>YEAR(C7)&amp;"-"&amp;MONTH(C7)</f>
        <v>2019-6</v>
      </c>
      <c r="D46" s="2805">
        <f>EDATE(C46,-1)</f>
        <v>43586</v>
      </c>
      <c r="E46" s="2805">
        <f t="shared" ref="E46:O46" si="16">EDATE(D46,-1)</f>
        <v>43556</v>
      </c>
      <c r="F46" s="2805">
        <f t="shared" si="16"/>
        <v>43525</v>
      </c>
      <c r="G46" s="2805">
        <f t="shared" si="16"/>
        <v>43497</v>
      </c>
      <c r="H46" s="2805">
        <f t="shared" si="16"/>
        <v>43466</v>
      </c>
      <c r="I46" s="2805">
        <f t="shared" si="16"/>
        <v>43435</v>
      </c>
      <c r="J46" s="2805">
        <f t="shared" si="16"/>
        <v>43405</v>
      </c>
      <c r="K46" s="2805">
        <f t="shared" si="16"/>
        <v>43374</v>
      </c>
      <c r="L46" s="2805">
        <f t="shared" si="16"/>
        <v>43344</v>
      </c>
      <c r="M46" s="2805">
        <f t="shared" si="16"/>
        <v>43313</v>
      </c>
      <c r="N46" s="2805">
        <f t="shared" si="16"/>
        <v>43282</v>
      </c>
      <c r="O46" s="2805">
        <f t="shared" si="16"/>
        <v>43252</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81" t="s">
        <v>2306</v>
      </c>
      <c r="D1" s="3482"/>
      <c r="E1" s="3482"/>
      <c r="F1" s="3482"/>
      <c r="G1" s="3482"/>
      <c r="H1" s="3482"/>
      <c r="I1" s="3482"/>
      <c r="J1" s="3482"/>
      <c r="K1" s="3482"/>
      <c r="L1" s="3482"/>
      <c r="M1" s="3482"/>
      <c r="N1" s="3482"/>
      <c r="O1" s="3482"/>
      <c r="P1" s="3482"/>
      <c r="Q1" s="3482"/>
      <c r="R1" s="3482"/>
      <c r="S1" s="348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78" t="s">
        <v>20</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84475.6平方米。根据《建设工程规划许可证》[]、《出让合同》[]，估价对象规划建筑面积为295664.6平方米。</v>
      </c>
    </row>
    <row r="7" spans="1:4" ht="93.75">
      <c r="A7" s="2874"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2019年6月11日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根据《国有土地使用证》[]，估价对象（分摊）出让国有建设用地使用权面积为84475.6平方米。根据《建设工程规划许可证》[]、《出让合同》[]，估价对象规划建筑面积为295664.6平方米。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43627</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B1" workbookViewId="0">
      <selection activeCell="C10" sqref="A10:XFD10"/>
    </sheetView>
  </sheetViews>
  <sheetFormatPr defaultRowHeight="13.5"/>
  <cols>
    <col min="6" max="6" width="35.5" customWidth="1"/>
  </cols>
  <sheetData>
    <row r="1" spans="1:13">
      <c r="A1" s="2940" t="s">
        <v>2993</v>
      </c>
      <c r="B1" s="2940" t="s">
        <v>2994</v>
      </c>
      <c r="C1" s="2940" t="s">
        <v>2995</v>
      </c>
      <c r="D1" s="2940" t="s">
        <v>2996</v>
      </c>
      <c r="E1" s="2940" t="s">
        <v>2997</v>
      </c>
      <c r="F1" s="2940" t="s">
        <v>2034</v>
      </c>
      <c r="G1" s="2940" t="s">
        <v>2998</v>
      </c>
      <c r="H1" s="2940" t="s">
        <v>2999</v>
      </c>
      <c r="I1" s="2940" t="s">
        <v>3000</v>
      </c>
      <c r="J1" s="2940" t="s">
        <v>3001</v>
      </c>
      <c r="K1" s="2940" t="s">
        <v>3002</v>
      </c>
      <c r="L1" s="2940" t="s">
        <v>3003</v>
      </c>
      <c r="M1" s="2940" t="s">
        <v>3004</v>
      </c>
    </row>
    <row r="2" spans="1:13" s="3183" customFormat="1">
      <c r="A2" s="3182" t="s">
        <v>3005</v>
      </c>
      <c r="B2" s="3182" t="s">
        <v>3006</v>
      </c>
      <c r="C2" s="3182" t="s">
        <v>3007</v>
      </c>
      <c r="D2" s="3182">
        <v>47648.800000000003</v>
      </c>
      <c r="E2" s="3182">
        <v>147711.29999999999</v>
      </c>
      <c r="F2" s="3182" t="s">
        <v>3008</v>
      </c>
      <c r="G2" s="3182" t="s">
        <v>3009</v>
      </c>
      <c r="H2" s="3182" t="s">
        <v>3010</v>
      </c>
      <c r="I2" s="3182">
        <v>40738.76</v>
      </c>
      <c r="J2" s="3182">
        <v>42334.05</v>
      </c>
      <c r="K2" s="3182">
        <v>2866</v>
      </c>
      <c r="L2" s="3182">
        <v>3.92</v>
      </c>
      <c r="M2" s="3182" t="s">
        <v>3011</v>
      </c>
    </row>
    <row r="3" spans="1:13" s="3183" customFormat="1">
      <c r="A3" s="3182" t="s">
        <v>3005</v>
      </c>
      <c r="B3" s="3182" t="s">
        <v>3006</v>
      </c>
      <c r="C3" s="3182" t="s">
        <v>3007</v>
      </c>
      <c r="D3" s="3182">
        <v>64267.5</v>
      </c>
      <c r="E3" s="3182">
        <v>199229.2</v>
      </c>
      <c r="F3" s="3182" t="s">
        <v>3008</v>
      </c>
      <c r="G3" s="3182" t="s">
        <v>3009</v>
      </c>
      <c r="H3" s="3182" t="s">
        <v>3010</v>
      </c>
      <c r="I3" s="3182">
        <v>54947.43</v>
      </c>
      <c r="J3" s="3182">
        <v>57995.62</v>
      </c>
      <c r="K3" s="3182">
        <v>2911</v>
      </c>
      <c r="L3" s="3182">
        <v>5.55</v>
      </c>
      <c r="M3" s="3182" t="s">
        <v>3012</v>
      </c>
    </row>
    <row r="4" spans="1:13" s="3181" customFormat="1">
      <c r="A4" s="3180" t="s">
        <v>3013</v>
      </c>
      <c r="B4" s="3180" t="s">
        <v>3006</v>
      </c>
      <c r="C4" s="3180" t="s">
        <v>3007</v>
      </c>
      <c r="D4" s="3180">
        <v>81126.899999999994</v>
      </c>
      <c r="E4" s="3180">
        <v>202817.3</v>
      </c>
      <c r="F4" s="3180" t="s">
        <v>3014</v>
      </c>
      <c r="G4" s="3180" t="s">
        <v>3015</v>
      </c>
      <c r="H4" s="3180" t="s">
        <v>3016</v>
      </c>
      <c r="I4" s="3180" t="s">
        <v>2820</v>
      </c>
      <c r="J4" s="3180">
        <v>121690.39</v>
      </c>
      <c r="K4" s="3180">
        <v>6000</v>
      </c>
      <c r="L4" s="3180" t="s">
        <v>2820</v>
      </c>
      <c r="M4" s="3180" t="s">
        <v>3017</v>
      </c>
    </row>
    <row r="5" spans="1:13">
      <c r="A5" s="2940" t="s">
        <v>3018</v>
      </c>
      <c r="B5" s="2940" t="s">
        <v>3006</v>
      </c>
      <c r="C5" s="2940" t="s">
        <v>3019</v>
      </c>
      <c r="D5" s="2940">
        <v>54195.51</v>
      </c>
      <c r="E5" s="2940">
        <v>108391</v>
      </c>
      <c r="F5" s="2940" t="s">
        <v>3020</v>
      </c>
      <c r="G5" s="2940" t="s">
        <v>3015</v>
      </c>
      <c r="H5" s="2940" t="s">
        <v>3021</v>
      </c>
      <c r="I5" s="2940">
        <v>13332.1</v>
      </c>
      <c r="J5" s="2940">
        <v>13711.45</v>
      </c>
      <c r="K5" s="2940">
        <v>1265</v>
      </c>
      <c r="L5" s="2940">
        <v>2.85</v>
      </c>
      <c r="M5" s="2940" t="s">
        <v>3022</v>
      </c>
    </row>
    <row r="6" spans="1:13">
      <c r="A6" s="2940" t="s">
        <v>3023</v>
      </c>
      <c r="B6" s="2940" t="s">
        <v>3006</v>
      </c>
      <c r="C6" s="2940" t="s">
        <v>3019</v>
      </c>
      <c r="D6" s="2940">
        <v>28944.2</v>
      </c>
      <c r="E6" s="2940">
        <v>86832.6</v>
      </c>
      <c r="F6" s="2940" t="s">
        <v>3024</v>
      </c>
      <c r="G6" s="2940" t="s">
        <v>3009</v>
      </c>
      <c r="H6" s="2940" t="s">
        <v>3025</v>
      </c>
      <c r="I6" s="2940">
        <v>19016.34</v>
      </c>
      <c r="J6" s="2940">
        <v>22237.83</v>
      </c>
      <c r="K6" s="2940">
        <v>2561</v>
      </c>
      <c r="L6" s="2940">
        <v>16.940000000000001</v>
      </c>
      <c r="M6" s="2940" t="s">
        <v>3026</v>
      </c>
    </row>
    <row r="7" spans="1:13">
      <c r="A7" s="2940" t="s">
        <v>3023</v>
      </c>
      <c r="B7" s="2940" t="s">
        <v>3006</v>
      </c>
      <c r="C7" s="2940" t="s">
        <v>3019</v>
      </c>
      <c r="D7" s="2940">
        <v>19604.2</v>
      </c>
      <c r="E7" s="2940">
        <v>58812.6</v>
      </c>
      <c r="F7" s="2940" t="s">
        <v>3024</v>
      </c>
      <c r="G7" s="2940" t="s">
        <v>3009</v>
      </c>
      <c r="H7" s="2940" t="s">
        <v>3025</v>
      </c>
      <c r="I7" s="2940">
        <v>12879.95</v>
      </c>
      <c r="J7" s="2940">
        <v>13991.52</v>
      </c>
      <c r="K7" s="2940">
        <v>2379</v>
      </c>
      <c r="L7" s="2940">
        <v>8.6300000000000008</v>
      </c>
      <c r="M7" s="2940" t="s">
        <v>3026</v>
      </c>
    </row>
    <row r="8" spans="1:13">
      <c r="A8" s="2940" t="s">
        <v>3023</v>
      </c>
      <c r="B8" s="2940" t="s">
        <v>3006</v>
      </c>
      <c r="C8" s="2940" t="s">
        <v>3019</v>
      </c>
      <c r="D8" s="2940">
        <v>56443.4</v>
      </c>
      <c r="E8" s="2940">
        <v>197551.9</v>
      </c>
      <c r="F8" s="2940" t="s">
        <v>3027</v>
      </c>
      <c r="G8" s="2940" t="s">
        <v>3009</v>
      </c>
      <c r="H8" s="2940" t="s">
        <v>3025</v>
      </c>
      <c r="I8" s="2940">
        <v>37337.300000000003</v>
      </c>
      <c r="J8" s="2940">
        <v>41090.800000000003</v>
      </c>
      <c r="K8" s="2940">
        <v>2080</v>
      </c>
      <c r="L8" s="2940">
        <v>10.050000000000001</v>
      </c>
      <c r="M8" s="2940" t="s">
        <v>3028</v>
      </c>
    </row>
    <row r="9" spans="1:13">
      <c r="A9" s="2940" t="s">
        <v>3023</v>
      </c>
      <c r="B9" s="2940" t="s">
        <v>3006</v>
      </c>
      <c r="C9" s="2940" t="s">
        <v>3019</v>
      </c>
      <c r="D9" s="2940">
        <v>46781.7</v>
      </c>
      <c r="E9" s="2940">
        <v>140345.1</v>
      </c>
      <c r="F9" s="2940" t="s">
        <v>3024</v>
      </c>
      <c r="G9" s="2940" t="s">
        <v>3009</v>
      </c>
      <c r="H9" s="2940" t="s">
        <v>3025</v>
      </c>
      <c r="I9" s="2940">
        <v>30735.58</v>
      </c>
      <c r="J9" s="2940">
        <v>33963.51</v>
      </c>
      <c r="K9" s="2940">
        <v>2420</v>
      </c>
      <c r="L9" s="2940">
        <v>10.5</v>
      </c>
      <c r="M9" s="2940" t="s">
        <v>3028</v>
      </c>
    </row>
    <row r="10" spans="1:13" s="3183" customFormat="1">
      <c r="A10" s="3182" t="s">
        <v>3029</v>
      </c>
      <c r="B10" s="3182" t="s">
        <v>3006</v>
      </c>
      <c r="C10" s="3182" t="s">
        <v>3019</v>
      </c>
      <c r="D10" s="3182">
        <v>45299</v>
      </c>
      <c r="E10" s="3182">
        <v>135897</v>
      </c>
      <c r="F10" s="3182" t="s">
        <v>3024</v>
      </c>
      <c r="G10" s="3182" t="s">
        <v>3009</v>
      </c>
      <c r="H10" s="3182" t="s">
        <v>3030</v>
      </c>
      <c r="I10" s="3182" t="s">
        <v>2820</v>
      </c>
      <c r="J10" s="3182">
        <v>53000</v>
      </c>
      <c r="K10" s="3182">
        <v>3900.01</v>
      </c>
      <c r="L10" s="3182" t="s">
        <v>2820</v>
      </c>
      <c r="M10" s="3182" t="s">
        <v>3031</v>
      </c>
    </row>
    <row r="11" spans="1:13" s="3181" customFormat="1">
      <c r="A11" s="3180" t="s">
        <v>3029</v>
      </c>
      <c r="B11" s="3180" t="s">
        <v>3006</v>
      </c>
      <c r="C11" s="3180" t="s">
        <v>3019</v>
      </c>
      <c r="D11" s="3180">
        <v>29061</v>
      </c>
      <c r="E11" s="3180">
        <v>87183</v>
      </c>
      <c r="F11" s="3180" t="s">
        <v>3024</v>
      </c>
      <c r="G11" s="3180" t="s">
        <v>3009</v>
      </c>
      <c r="H11" s="3180" t="s">
        <v>3030</v>
      </c>
      <c r="I11" s="3180" t="s">
        <v>2820</v>
      </c>
      <c r="J11" s="3180">
        <v>35000</v>
      </c>
      <c r="K11" s="3180">
        <v>4014.53</v>
      </c>
      <c r="L11" s="3180" t="s">
        <v>2820</v>
      </c>
      <c r="M11" s="3180" t="s">
        <v>3031</v>
      </c>
    </row>
    <row r="12" spans="1:13" s="3181" customFormat="1">
      <c r="A12" s="3180" t="s">
        <v>3029</v>
      </c>
      <c r="B12" s="3180" t="s">
        <v>3006</v>
      </c>
      <c r="C12" s="3180" t="s">
        <v>3019</v>
      </c>
      <c r="D12" s="3180">
        <v>37471</v>
      </c>
      <c r="E12" s="3180">
        <v>112413</v>
      </c>
      <c r="F12" s="3180" t="s">
        <v>3024</v>
      </c>
      <c r="G12" s="3180" t="s">
        <v>3009</v>
      </c>
      <c r="H12" s="3180" t="s">
        <v>3030</v>
      </c>
      <c r="I12" s="3180" t="s">
        <v>2820</v>
      </c>
      <c r="J12" s="3180">
        <v>47000</v>
      </c>
      <c r="K12" s="3180">
        <v>4181.01</v>
      </c>
      <c r="L12" s="3180" t="s">
        <v>2820</v>
      </c>
      <c r="M12" s="3180" t="s">
        <v>3032</v>
      </c>
    </row>
    <row r="13" spans="1:13">
      <c r="A13" s="2940" t="s">
        <v>3033</v>
      </c>
      <c r="B13" s="2940" t="s">
        <v>3006</v>
      </c>
      <c r="C13" s="2940" t="s">
        <v>3019</v>
      </c>
      <c r="D13" s="2940">
        <v>60146</v>
      </c>
      <c r="E13" s="2940">
        <v>150365</v>
      </c>
      <c r="F13" s="2940" t="s">
        <v>3034</v>
      </c>
      <c r="G13" s="2940" t="s">
        <v>3015</v>
      </c>
      <c r="H13" s="2940" t="s">
        <v>3035</v>
      </c>
      <c r="I13" s="2940">
        <v>24359.13</v>
      </c>
      <c r="J13" s="2940">
        <v>41972.88</v>
      </c>
      <c r="K13" s="2940">
        <v>2791.4</v>
      </c>
      <c r="L13" s="2940">
        <v>72.31</v>
      </c>
      <c r="M13" s="2940" t="s">
        <v>3036</v>
      </c>
    </row>
    <row r="14" spans="1:13">
      <c r="A14" s="2940" t="s">
        <v>3037</v>
      </c>
      <c r="B14" s="2940" t="s">
        <v>3006</v>
      </c>
      <c r="C14" s="2940" t="s">
        <v>3019</v>
      </c>
      <c r="D14" s="2940">
        <v>48711.7</v>
      </c>
      <c r="E14" s="2940">
        <v>121779.3</v>
      </c>
      <c r="F14" s="2940" t="s">
        <v>3034</v>
      </c>
      <c r="G14" s="2940" t="s">
        <v>3015</v>
      </c>
      <c r="H14" s="2940" t="s">
        <v>3035</v>
      </c>
      <c r="I14" s="2940">
        <v>14978.85</v>
      </c>
      <c r="J14" s="2940">
        <v>15271.12</v>
      </c>
      <c r="K14" s="2940">
        <v>1254</v>
      </c>
      <c r="L14" s="2940">
        <v>1.95</v>
      </c>
      <c r="M14" s="2940" t="s">
        <v>3036</v>
      </c>
    </row>
    <row r="15" spans="1:13">
      <c r="A15" s="2940" t="s">
        <v>3038</v>
      </c>
      <c r="B15" s="2940" t="s">
        <v>3006</v>
      </c>
      <c r="C15" s="2940" t="s">
        <v>3019</v>
      </c>
      <c r="D15" s="2940">
        <v>5701.3</v>
      </c>
      <c r="E15" s="2940">
        <v>14253.25</v>
      </c>
      <c r="F15" s="2940" t="s">
        <v>3034</v>
      </c>
      <c r="G15" s="2940" t="s">
        <v>3015</v>
      </c>
      <c r="H15" s="2940" t="s">
        <v>3039</v>
      </c>
      <c r="I15" s="2940">
        <v>2023.96</v>
      </c>
      <c r="J15" s="2940">
        <v>2092.38</v>
      </c>
      <c r="K15" s="2940">
        <v>1468</v>
      </c>
      <c r="L15" s="2940">
        <v>3.38</v>
      </c>
      <c r="M15" s="2940" t="s">
        <v>3040</v>
      </c>
    </row>
    <row r="16" spans="1:13">
      <c r="A16" s="2940" t="s">
        <v>3041</v>
      </c>
      <c r="B16" s="2940" t="s">
        <v>3006</v>
      </c>
      <c r="C16" s="2940" t="s">
        <v>3019</v>
      </c>
      <c r="D16" s="2940">
        <v>20182</v>
      </c>
      <c r="E16" s="2940">
        <v>80728</v>
      </c>
      <c r="F16" s="2940" t="s">
        <v>3042</v>
      </c>
      <c r="G16" s="2940" t="s">
        <v>3009</v>
      </c>
      <c r="H16" s="2940" t="s">
        <v>3043</v>
      </c>
      <c r="I16" s="2940">
        <v>8234.26</v>
      </c>
      <c r="J16" s="2940">
        <v>8444.14</v>
      </c>
      <c r="K16" s="2940">
        <v>1046</v>
      </c>
      <c r="L16" s="2940">
        <v>2.5499999999999998</v>
      </c>
      <c r="M16" s="2940" t="s">
        <v>3044</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2" sqref="E2"/>
    </sheetView>
  </sheetViews>
  <sheetFormatPr defaultRowHeight="13.5"/>
  <cols>
    <col min="2" max="2" width="12" customWidth="1"/>
  </cols>
  <sheetData>
    <row r="1" spans="1:5">
      <c r="B1" s="3185" t="s">
        <v>3150</v>
      </c>
      <c r="C1" s="3185" t="s">
        <v>3055</v>
      </c>
      <c r="D1" s="3185" t="s">
        <v>3058</v>
      </c>
      <c r="E1" s="3185" t="s">
        <v>3059</v>
      </c>
    </row>
    <row r="2" spans="1:5">
      <c r="A2" s="3185" t="s">
        <v>3051</v>
      </c>
      <c r="B2">
        <v>3.5</v>
      </c>
      <c r="C2">
        <v>1</v>
      </c>
      <c r="D2">
        <f>B9</f>
        <v>32851.620000000003</v>
      </c>
      <c r="E2">
        <f>ROUND((D2*B2+D3*B3+D4*B4+D5*B5)/B8,2)</f>
        <v>1.64</v>
      </c>
    </row>
    <row r="3" spans="1:5">
      <c r="A3" s="3185" t="s">
        <v>3052</v>
      </c>
      <c r="B3">
        <f>$B$2*C3</f>
        <v>2.1</v>
      </c>
      <c r="C3">
        <v>0.6</v>
      </c>
      <c r="D3">
        <f>B9</f>
        <v>32851.620000000003</v>
      </c>
    </row>
    <row r="4" spans="1:5">
      <c r="A4" s="3185" t="s">
        <v>3053</v>
      </c>
      <c r="B4">
        <f t="shared" ref="B4" si="0">$B$2*C4</f>
        <v>1.9250000000000003</v>
      </c>
      <c r="C4">
        <v>0.55000000000000004</v>
      </c>
      <c r="D4">
        <f>B9</f>
        <v>32851.620000000003</v>
      </c>
    </row>
    <row r="5" spans="1:5">
      <c r="A5" s="3185" t="s">
        <v>3054</v>
      </c>
      <c r="B5">
        <v>1.2</v>
      </c>
      <c r="C5">
        <v>0.3</v>
      </c>
      <c r="D5">
        <f>B8-D2-D3-D4</f>
        <v>197109.74</v>
      </c>
    </row>
    <row r="7" spans="1:5">
      <c r="B7" s="3185" t="s">
        <v>3057</v>
      </c>
    </row>
    <row r="8" spans="1:5">
      <c r="A8" s="3185" t="s">
        <v>3056</v>
      </c>
      <c r="B8">
        <f>'数据-基础表'!I16</f>
        <v>295664.59999999998</v>
      </c>
    </row>
    <row r="9" spans="1:5">
      <c r="B9">
        <f>ROUND(B8/9,2)</f>
        <v>32851.620000000003</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A10" sqref="A10:XFD10"/>
    </sheetView>
  </sheetViews>
  <sheetFormatPr defaultRowHeight="13.5"/>
  <sheetData>
    <row r="1" spans="1:13">
      <c r="A1" s="2940" t="s">
        <v>2993</v>
      </c>
      <c r="B1" s="2940" t="s">
        <v>2994</v>
      </c>
      <c r="C1" s="2940" t="s">
        <v>2995</v>
      </c>
      <c r="D1" s="2940" t="s">
        <v>2996</v>
      </c>
      <c r="E1" s="2940" t="s">
        <v>2997</v>
      </c>
      <c r="F1" s="2940" t="s">
        <v>2034</v>
      </c>
      <c r="G1" s="2940" t="s">
        <v>2998</v>
      </c>
      <c r="H1" s="2940" t="s">
        <v>2999</v>
      </c>
      <c r="I1" s="2940" t="s">
        <v>3000</v>
      </c>
      <c r="J1" s="2940" t="s">
        <v>3001</v>
      </c>
      <c r="K1" s="2940" t="s">
        <v>3002</v>
      </c>
      <c r="L1" s="2940" t="s">
        <v>3003</v>
      </c>
      <c r="M1" s="2940" t="s">
        <v>3004</v>
      </c>
    </row>
    <row r="2" spans="1:13">
      <c r="A2" s="2940" t="s">
        <v>3096</v>
      </c>
      <c r="B2" s="2940" t="s">
        <v>3006</v>
      </c>
      <c r="C2" s="2940" t="s">
        <v>3062</v>
      </c>
      <c r="D2" s="2940">
        <v>22250.3</v>
      </c>
      <c r="E2" s="2940">
        <v>33375.449999999997</v>
      </c>
      <c r="F2" s="2940" t="s">
        <v>3097</v>
      </c>
      <c r="G2" s="2940" t="s">
        <v>3009</v>
      </c>
      <c r="H2" s="2940" t="s">
        <v>3098</v>
      </c>
      <c r="I2" s="2940" t="s">
        <v>2820</v>
      </c>
      <c r="J2" s="2940">
        <v>19457.88</v>
      </c>
      <c r="K2" s="2940">
        <v>5830</v>
      </c>
      <c r="L2" s="2940" t="s">
        <v>2820</v>
      </c>
      <c r="M2" s="2940" t="s">
        <v>3099</v>
      </c>
    </row>
    <row r="3" spans="1:13">
      <c r="A3" s="2940" t="s">
        <v>3005</v>
      </c>
      <c r="B3" s="2940" t="s">
        <v>3006</v>
      </c>
      <c r="C3" s="2940" t="s">
        <v>3062</v>
      </c>
      <c r="D3" s="2940">
        <v>67394.7</v>
      </c>
      <c r="E3" s="2940">
        <v>67394.7</v>
      </c>
      <c r="F3" s="2940" t="s">
        <v>3063</v>
      </c>
      <c r="G3" s="2940" t="s">
        <v>3009</v>
      </c>
      <c r="H3" s="2940" t="s">
        <v>3010</v>
      </c>
      <c r="I3" s="2940">
        <v>30839.81</v>
      </c>
      <c r="J3" s="2940">
        <v>46205.8</v>
      </c>
      <c r="K3" s="2940">
        <v>6856</v>
      </c>
      <c r="L3" s="2940">
        <v>49.83</v>
      </c>
      <c r="M3" s="2940" t="s">
        <v>3064</v>
      </c>
    </row>
    <row r="4" spans="1:13">
      <c r="A4" s="2940" t="s">
        <v>3065</v>
      </c>
      <c r="B4" s="2940" t="s">
        <v>3006</v>
      </c>
      <c r="C4" s="2940" t="s">
        <v>3062</v>
      </c>
      <c r="D4" s="2940">
        <v>2128</v>
      </c>
      <c r="E4" s="2940">
        <v>744.8</v>
      </c>
      <c r="F4" s="2940" t="s">
        <v>3066</v>
      </c>
      <c r="G4" s="2940" t="s">
        <v>3009</v>
      </c>
      <c r="H4" s="2940" t="s">
        <v>3067</v>
      </c>
      <c r="I4" s="2940">
        <v>985</v>
      </c>
      <c r="J4" s="2940">
        <v>1032</v>
      </c>
      <c r="K4" s="2940">
        <v>13856.06</v>
      </c>
      <c r="L4" s="2940">
        <v>4.7699999999999996</v>
      </c>
      <c r="M4" s="2940" t="s">
        <v>3068</v>
      </c>
    </row>
    <row r="5" spans="1:13">
      <c r="A5" s="2940" t="s">
        <v>3069</v>
      </c>
      <c r="B5" s="2940" t="s">
        <v>3006</v>
      </c>
      <c r="C5" s="2940" t="s">
        <v>3062</v>
      </c>
      <c r="D5" s="2940">
        <v>2637.77</v>
      </c>
      <c r="E5" s="2940">
        <v>1318.89</v>
      </c>
      <c r="F5" s="2940" t="s">
        <v>3070</v>
      </c>
      <c r="G5" s="2940" t="s">
        <v>3009</v>
      </c>
      <c r="H5" s="2940" t="s">
        <v>3071</v>
      </c>
      <c r="I5" s="2940">
        <v>1360</v>
      </c>
      <c r="J5" s="2940">
        <v>1422</v>
      </c>
      <c r="K5" s="2940">
        <v>10781.79</v>
      </c>
      <c r="L5" s="2940">
        <v>4.5599999999999996</v>
      </c>
      <c r="M5" s="2940" t="s">
        <v>3072</v>
      </c>
    </row>
    <row r="6" spans="1:13">
      <c r="A6" s="2940" t="s">
        <v>3100</v>
      </c>
      <c r="B6" s="2940" t="s">
        <v>3006</v>
      </c>
      <c r="C6" s="2940" t="s">
        <v>3062</v>
      </c>
      <c r="D6" s="2940">
        <v>17099.400000000001</v>
      </c>
      <c r="E6" s="2940">
        <v>42748.5</v>
      </c>
      <c r="F6" s="2940" t="s">
        <v>3077</v>
      </c>
      <c r="G6" s="2940" t="s">
        <v>3009</v>
      </c>
      <c r="H6" s="2940" t="s">
        <v>3101</v>
      </c>
      <c r="I6" s="2940">
        <v>8164.96</v>
      </c>
      <c r="J6" s="2940">
        <v>8451.3700000000008</v>
      </c>
      <c r="K6" s="2940">
        <v>1977</v>
      </c>
      <c r="L6" s="2940">
        <v>3.51</v>
      </c>
      <c r="M6" s="2940" t="s">
        <v>3102</v>
      </c>
    </row>
    <row r="7" spans="1:13" s="3181" customFormat="1">
      <c r="A7" s="3180" t="s">
        <v>3100</v>
      </c>
      <c r="B7" s="3180" t="s">
        <v>3006</v>
      </c>
      <c r="C7" s="3180" t="s">
        <v>3062</v>
      </c>
      <c r="D7" s="3180">
        <v>18658.7</v>
      </c>
      <c r="E7" s="3180">
        <v>37317.4</v>
      </c>
      <c r="F7" s="3180" t="s">
        <v>3103</v>
      </c>
      <c r="G7" s="3180" t="s">
        <v>3009</v>
      </c>
      <c r="H7" s="3180" t="s">
        <v>3101</v>
      </c>
      <c r="I7" s="3180">
        <v>7687.38</v>
      </c>
      <c r="J7" s="3180">
        <v>7963.52</v>
      </c>
      <c r="K7" s="3180">
        <v>2134</v>
      </c>
      <c r="L7" s="3180">
        <v>3.59</v>
      </c>
      <c r="M7" s="3180" t="s">
        <v>3102</v>
      </c>
    </row>
    <row r="8" spans="1:13">
      <c r="A8" s="2940" t="s">
        <v>3073</v>
      </c>
      <c r="B8" s="2940" t="s">
        <v>3006</v>
      </c>
      <c r="C8" s="2940" t="s">
        <v>3062</v>
      </c>
      <c r="D8" s="2940">
        <v>2960.9</v>
      </c>
      <c r="E8" s="2940">
        <v>1480.45</v>
      </c>
      <c r="F8" s="2940" t="s">
        <v>3074</v>
      </c>
      <c r="G8" s="2940" t="s">
        <v>3009</v>
      </c>
      <c r="H8" s="2940" t="s">
        <v>3075</v>
      </c>
      <c r="I8" s="2940">
        <v>1530</v>
      </c>
      <c r="J8" s="2940">
        <v>1599</v>
      </c>
      <c r="K8" s="2940">
        <v>10800.77</v>
      </c>
      <c r="L8" s="2940">
        <v>4.51</v>
      </c>
      <c r="M8" s="2940" t="s">
        <v>3076</v>
      </c>
    </row>
    <row r="9" spans="1:13">
      <c r="A9" s="2940" t="s">
        <v>3023</v>
      </c>
      <c r="B9" s="2940" t="s">
        <v>3006</v>
      </c>
      <c r="C9" s="2940" t="s">
        <v>3062</v>
      </c>
      <c r="D9" s="2940">
        <v>15205.4</v>
      </c>
      <c r="E9" s="2940">
        <v>38013.5</v>
      </c>
      <c r="F9" s="2940" t="s">
        <v>3077</v>
      </c>
      <c r="G9" s="2940" t="s">
        <v>3009</v>
      </c>
      <c r="H9" s="2940" t="s">
        <v>3025</v>
      </c>
      <c r="I9" s="2940">
        <v>10567.75</v>
      </c>
      <c r="J9" s="2940">
        <v>10902.27</v>
      </c>
      <c r="K9" s="2940">
        <v>2868</v>
      </c>
      <c r="L9" s="2940">
        <v>3.17</v>
      </c>
      <c r="M9" s="2940" t="s">
        <v>3026</v>
      </c>
    </row>
    <row r="10" spans="1:13" s="3181" customFormat="1">
      <c r="A10" s="3180" t="s">
        <v>3023</v>
      </c>
      <c r="B10" s="3180" t="s">
        <v>3006</v>
      </c>
      <c r="C10" s="3180" t="s">
        <v>3062</v>
      </c>
      <c r="D10" s="3180">
        <v>8456.9</v>
      </c>
      <c r="E10" s="3180">
        <v>25370.7</v>
      </c>
      <c r="F10" s="3180" t="s">
        <v>3078</v>
      </c>
      <c r="G10" s="3180" t="s">
        <v>3009</v>
      </c>
      <c r="H10" s="3180" t="s">
        <v>3025</v>
      </c>
      <c r="I10" s="3180">
        <v>6190.44</v>
      </c>
      <c r="J10" s="3180">
        <v>6647.11</v>
      </c>
      <c r="K10" s="3180">
        <v>2620</v>
      </c>
      <c r="L10" s="3180">
        <v>7.38</v>
      </c>
      <c r="M10" s="3180" t="s">
        <v>3028</v>
      </c>
    </row>
    <row r="11" spans="1:13" s="3183" customFormat="1">
      <c r="A11" s="3182" t="s">
        <v>3023</v>
      </c>
      <c r="B11" s="3182" t="s">
        <v>3006</v>
      </c>
      <c r="C11" s="3182" t="s">
        <v>3062</v>
      </c>
      <c r="D11" s="3182">
        <v>84475.6</v>
      </c>
      <c r="E11" s="3182">
        <v>295664.59999999998</v>
      </c>
      <c r="F11" s="3182" t="s">
        <v>3079</v>
      </c>
      <c r="G11" s="3182" t="s">
        <v>3009</v>
      </c>
      <c r="H11" s="3182" t="s">
        <v>3025</v>
      </c>
      <c r="I11" s="3182">
        <v>64159.22</v>
      </c>
      <c r="J11" s="3182">
        <v>65312.3</v>
      </c>
      <c r="K11" s="3182">
        <v>2209</v>
      </c>
      <c r="L11" s="3182">
        <v>1.8</v>
      </c>
      <c r="M11" s="3182" t="s">
        <v>3026</v>
      </c>
    </row>
    <row r="12" spans="1:13">
      <c r="A12" s="2940" t="s">
        <v>3023</v>
      </c>
      <c r="B12" s="2940" t="s">
        <v>3006</v>
      </c>
      <c r="C12" s="2940" t="s">
        <v>3062</v>
      </c>
      <c r="D12" s="2940">
        <v>12324.9</v>
      </c>
      <c r="E12" s="2940">
        <v>36974.699999999997</v>
      </c>
      <c r="F12" s="2940" t="s">
        <v>3078</v>
      </c>
      <c r="G12" s="2940" t="s">
        <v>3009</v>
      </c>
      <c r="H12" s="2940" t="s">
        <v>3025</v>
      </c>
      <c r="I12" s="2940">
        <v>8467.2000000000007</v>
      </c>
      <c r="J12" s="2940">
        <v>8759.2999999999993</v>
      </c>
      <c r="K12" s="2940">
        <v>2369</v>
      </c>
      <c r="L12" s="2940">
        <v>3.45</v>
      </c>
      <c r="M12" s="2940" t="s">
        <v>3026</v>
      </c>
    </row>
    <row r="13" spans="1:13">
      <c r="A13" s="2940" t="s">
        <v>3080</v>
      </c>
      <c r="B13" s="2940" t="s">
        <v>3006</v>
      </c>
      <c r="C13" s="2940" t="s">
        <v>3062</v>
      </c>
      <c r="D13" s="2940">
        <v>2160</v>
      </c>
      <c r="E13" s="2940">
        <v>1728</v>
      </c>
      <c r="F13" s="2940" t="s">
        <v>3081</v>
      </c>
      <c r="G13" s="2940" t="s">
        <v>3009</v>
      </c>
      <c r="H13" s="2940" t="s">
        <v>3082</v>
      </c>
      <c r="I13" s="2940">
        <v>1600</v>
      </c>
      <c r="J13" s="2940">
        <v>1672</v>
      </c>
      <c r="K13" s="2940">
        <v>9675.93</v>
      </c>
      <c r="L13" s="2940">
        <v>4.5</v>
      </c>
      <c r="M13" s="2940" t="s">
        <v>3068</v>
      </c>
    </row>
    <row r="14" spans="1:13">
      <c r="A14" s="2940" t="s">
        <v>3104</v>
      </c>
      <c r="B14" s="2940" t="s">
        <v>3006</v>
      </c>
      <c r="C14" s="2940" t="s">
        <v>3062</v>
      </c>
      <c r="D14" s="2940">
        <v>2953.7</v>
      </c>
      <c r="E14" s="2940">
        <v>2362.96</v>
      </c>
      <c r="F14" s="2940" t="s">
        <v>3081</v>
      </c>
      <c r="G14" s="2940" t="s">
        <v>3009</v>
      </c>
      <c r="H14" s="2940" t="s">
        <v>3082</v>
      </c>
      <c r="I14" s="2940">
        <v>1200</v>
      </c>
      <c r="J14" s="2940">
        <v>1256</v>
      </c>
      <c r="K14" s="2940">
        <v>5315.36</v>
      </c>
      <c r="L14" s="2940">
        <v>4.67</v>
      </c>
      <c r="M14" s="2940" t="s">
        <v>3105</v>
      </c>
    </row>
    <row r="15" spans="1:13" s="3181" customFormat="1">
      <c r="A15" s="3180" t="s">
        <v>3106</v>
      </c>
      <c r="B15" s="3180" t="s">
        <v>3006</v>
      </c>
      <c r="C15" s="3180" t="s">
        <v>3062</v>
      </c>
      <c r="D15" s="3180">
        <v>33337.599999999999</v>
      </c>
      <c r="E15" s="3180">
        <v>166688</v>
      </c>
      <c r="F15" s="3180" t="s">
        <v>3107</v>
      </c>
      <c r="G15" s="3180" t="s">
        <v>3009</v>
      </c>
      <c r="H15" s="3180" t="s">
        <v>3108</v>
      </c>
      <c r="I15" s="3180" t="s">
        <v>2820</v>
      </c>
      <c r="J15" s="3180">
        <v>38421.58</v>
      </c>
      <c r="K15" s="3180">
        <v>2305</v>
      </c>
      <c r="L15" s="3180" t="s">
        <v>2820</v>
      </c>
      <c r="M15" s="3180" t="s">
        <v>3109</v>
      </c>
    </row>
    <row r="16" spans="1:13">
      <c r="A16" s="2940" t="s">
        <v>3083</v>
      </c>
      <c r="B16" s="2940" t="s">
        <v>3006</v>
      </c>
      <c r="C16" s="2940" t="s">
        <v>3062</v>
      </c>
      <c r="D16" s="2940">
        <v>4019.3</v>
      </c>
      <c r="E16" s="2940">
        <v>2009.65</v>
      </c>
      <c r="F16" s="2940" t="s">
        <v>3074</v>
      </c>
      <c r="G16" s="2940" t="s">
        <v>3009</v>
      </c>
      <c r="H16" s="2940" t="s">
        <v>3084</v>
      </c>
      <c r="I16" s="2940">
        <v>1250</v>
      </c>
      <c r="J16" s="2940">
        <v>1295</v>
      </c>
      <c r="K16" s="2940">
        <v>6443.9</v>
      </c>
      <c r="L16" s="2940">
        <v>3.6</v>
      </c>
      <c r="M16" s="2940" t="s">
        <v>3085</v>
      </c>
    </row>
    <row r="17" spans="1:13">
      <c r="A17" s="2940" t="s">
        <v>3086</v>
      </c>
      <c r="B17" s="2940" t="s">
        <v>3006</v>
      </c>
      <c r="C17" s="2940" t="s">
        <v>3062</v>
      </c>
      <c r="D17" s="2940">
        <v>41473.1</v>
      </c>
      <c r="E17" s="2940">
        <v>41473.1</v>
      </c>
      <c r="F17" s="2940" t="s">
        <v>3063</v>
      </c>
      <c r="G17" s="2940" t="s">
        <v>3015</v>
      </c>
      <c r="H17" s="2940" t="s">
        <v>3087</v>
      </c>
      <c r="I17" s="2940">
        <v>18870.25</v>
      </c>
      <c r="J17" s="2940">
        <v>19193.75</v>
      </c>
      <c r="K17" s="2940">
        <v>4628</v>
      </c>
      <c r="L17" s="2940">
        <v>1.71</v>
      </c>
      <c r="M17" s="2940" t="s">
        <v>3011</v>
      </c>
    </row>
    <row r="18" spans="1:13">
      <c r="A18" s="2940" t="s">
        <v>3088</v>
      </c>
      <c r="B18" s="2940" t="s">
        <v>3006</v>
      </c>
      <c r="C18" s="2940" t="s">
        <v>3062</v>
      </c>
      <c r="D18" s="2940">
        <v>37957</v>
      </c>
      <c r="E18" s="2940">
        <v>37957</v>
      </c>
      <c r="F18" s="2940" t="s">
        <v>3063</v>
      </c>
      <c r="G18" s="2940" t="s">
        <v>3015</v>
      </c>
      <c r="H18" s="2940" t="s">
        <v>3087</v>
      </c>
      <c r="I18" s="2940">
        <v>17687.95</v>
      </c>
      <c r="J18" s="2940">
        <v>17999.2</v>
      </c>
      <c r="K18" s="2940">
        <v>4742</v>
      </c>
      <c r="L18" s="2940">
        <v>1.76</v>
      </c>
      <c r="M18" s="2940" t="s">
        <v>3011</v>
      </c>
    </row>
    <row r="19" spans="1:13">
      <c r="A19" s="2940" t="s">
        <v>3089</v>
      </c>
      <c r="B19" s="2940" t="s">
        <v>3006</v>
      </c>
      <c r="C19" s="2940" t="s">
        <v>3062</v>
      </c>
      <c r="D19" s="2940">
        <v>3000</v>
      </c>
      <c r="E19" s="2940">
        <v>900</v>
      </c>
      <c r="F19" s="2940" t="s">
        <v>3090</v>
      </c>
      <c r="G19" s="2940" t="s">
        <v>3009</v>
      </c>
      <c r="H19" s="2940" t="s">
        <v>3091</v>
      </c>
      <c r="I19" s="2940">
        <v>760</v>
      </c>
      <c r="J19" s="2940">
        <v>790</v>
      </c>
      <c r="K19" s="2940">
        <v>8777.7800000000007</v>
      </c>
      <c r="L19" s="2940">
        <v>3.95</v>
      </c>
      <c r="M19" s="2940" t="s">
        <v>3092</v>
      </c>
    </row>
    <row r="20" spans="1:13">
      <c r="A20" s="2940" t="s">
        <v>3093</v>
      </c>
      <c r="B20" s="2940" t="s">
        <v>3006</v>
      </c>
      <c r="C20" s="2940" t="s">
        <v>3062</v>
      </c>
      <c r="D20" s="2940">
        <v>1909</v>
      </c>
      <c r="E20" s="2940">
        <v>763.6</v>
      </c>
      <c r="F20" s="2940" t="s">
        <v>3094</v>
      </c>
      <c r="G20" s="2940" t="s">
        <v>3009</v>
      </c>
      <c r="H20" s="2940" t="s">
        <v>3095</v>
      </c>
      <c r="I20" s="2940">
        <v>1570</v>
      </c>
      <c r="J20" s="2940">
        <v>1625</v>
      </c>
      <c r="K20" s="2940">
        <v>21280.77</v>
      </c>
      <c r="L20" s="2940">
        <v>3.5</v>
      </c>
      <c r="M20" s="2940" t="s">
        <v>3072</v>
      </c>
    </row>
    <row r="21" spans="1:13">
      <c r="A21" s="2940" t="s">
        <v>3110</v>
      </c>
      <c r="B21" s="2940" t="s">
        <v>3006</v>
      </c>
      <c r="C21" s="2940" t="s">
        <v>3062</v>
      </c>
      <c r="D21" s="2940">
        <v>80571.39</v>
      </c>
      <c r="E21" s="2940">
        <v>120857.1</v>
      </c>
      <c r="F21" s="2940" t="s">
        <v>3111</v>
      </c>
      <c r="G21" s="2940" t="s">
        <v>3009</v>
      </c>
      <c r="H21" s="2940" t="s">
        <v>3112</v>
      </c>
      <c r="I21" s="2940">
        <v>540</v>
      </c>
      <c r="J21" s="2940">
        <v>562</v>
      </c>
      <c r="K21" s="2940">
        <v>46.5</v>
      </c>
      <c r="L21" s="2940">
        <v>4.07</v>
      </c>
      <c r="M21" s="2940" t="s">
        <v>3113</v>
      </c>
    </row>
    <row r="22" spans="1:13">
      <c r="A22" s="2940" t="s">
        <v>3114</v>
      </c>
      <c r="B22" s="2940" t="s">
        <v>3006</v>
      </c>
      <c r="C22" s="2940" t="s">
        <v>3062</v>
      </c>
      <c r="D22" s="2940">
        <v>93318.47</v>
      </c>
      <c r="E22" s="2940">
        <v>139977.70000000001</v>
      </c>
      <c r="F22" s="2940" t="s">
        <v>3111</v>
      </c>
      <c r="G22" s="2940" t="s">
        <v>3009</v>
      </c>
      <c r="H22" s="2940" t="s">
        <v>3112</v>
      </c>
      <c r="I22" s="2940">
        <v>1660</v>
      </c>
      <c r="J22" s="2940">
        <v>1718</v>
      </c>
      <c r="K22" s="2940">
        <v>122.73</v>
      </c>
      <c r="L22" s="2940">
        <v>3.49</v>
      </c>
      <c r="M22" s="2940" t="s">
        <v>3113</v>
      </c>
    </row>
    <row r="23" spans="1:13">
      <c r="A23" s="2940" t="s">
        <v>3115</v>
      </c>
      <c r="B23" s="2940" t="s">
        <v>3006</v>
      </c>
      <c r="C23" s="2940" t="s">
        <v>3062</v>
      </c>
      <c r="D23" s="2940">
        <v>41392.5</v>
      </c>
      <c r="E23" s="2940">
        <v>114243.3</v>
      </c>
      <c r="F23" s="2940" t="s">
        <v>3116</v>
      </c>
      <c r="G23" s="2940" t="s">
        <v>3009</v>
      </c>
      <c r="H23" s="2940" t="s">
        <v>3117</v>
      </c>
      <c r="I23" s="2940" t="s">
        <v>2820</v>
      </c>
      <c r="J23" s="2940">
        <v>17673.43</v>
      </c>
      <c r="K23" s="2940">
        <v>1547</v>
      </c>
      <c r="L23" s="2940" t="s">
        <v>2820</v>
      </c>
      <c r="M23" s="2940" t="s">
        <v>3118</v>
      </c>
    </row>
  </sheetData>
  <phoneticPr fontId="23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2040</v>
      </c>
      <c r="B1" s="3195"/>
      <c r="C1" s="3195"/>
      <c r="D1" s="3195"/>
      <c r="E1" s="3195"/>
      <c r="F1" s="3195"/>
      <c r="G1" s="3195"/>
      <c r="H1" s="3195"/>
      <c r="I1" s="3195"/>
      <c r="J1" s="3195"/>
      <c r="K1" s="3195"/>
      <c r="L1" s="3195"/>
      <c r="M1" s="3195"/>
      <c r="N1" s="3195"/>
      <c r="O1" s="3195"/>
      <c r="P1" s="3195"/>
      <c r="Q1" s="3195"/>
      <c r="R1" s="3195"/>
    </row>
    <row r="2" spans="1:18">
      <c r="A2" s="1808" t="s">
        <v>2042</v>
      </c>
      <c r="B2" s="1808"/>
      <c r="C2" s="1808"/>
      <c r="D2" s="1808"/>
      <c r="E2" s="1808"/>
      <c r="F2" s="1808"/>
      <c r="G2" s="1808"/>
      <c r="H2" s="1808"/>
      <c r="I2" s="1809"/>
      <c r="J2" s="1809"/>
      <c r="K2" s="1810" t="str">
        <f>"估价期日："&amp;TEXT(项目基本情况!D3,"yyyy年m月d日;;")</f>
        <v>估价期日：2019年6月11日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2031</v>
      </c>
      <c r="B3" s="3196" t="s">
        <v>2733</v>
      </c>
      <c r="C3" s="3197" t="s">
        <v>2032</v>
      </c>
      <c r="D3" s="3196" t="s">
        <v>2737</v>
      </c>
      <c r="E3" s="3199" t="s">
        <v>2033</v>
      </c>
      <c r="F3" s="3199"/>
      <c r="G3" s="3199"/>
      <c r="H3" s="3199" t="s">
        <v>2034</v>
      </c>
      <c r="I3" s="3199"/>
      <c r="J3" s="3199"/>
      <c r="K3" s="3197" t="s">
        <v>2035</v>
      </c>
      <c r="L3" s="3197" t="s">
        <v>2036</v>
      </c>
      <c r="M3" s="3196" t="s">
        <v>2734</v>
      </c>
      <c r="N3" s="3198" t="str">
        <f>"（分摊）"&amp;项目基本情况!B16&amp;"国有建设用地使用权面积/㎡"</f>
        <v>（分摊）出让国有建设用地使用权面积/㎡</v>
      </c>
      <c r="O3" s="3196" t="s">
        <v>2065</v>
      </c>
      <c r="P3" s="3197" t="s">
        <v>2045</v>
      </c>
      <c r="Q3" s="3197" t="s">
        <v>2066</v>
      </c>
      <c r="R3" s="3197" t="s">
        <v>2037</v>
      </c>
    </row>
    <row r="4" spans="1:18" ht="36.75" customHeight="1">
      <c r="A4" s="3196"/>
      <c r="B4" s="3196"/>
      <c r="C4" s="3197"/>
      <c r="D4" s="3196"/>
      <c r="E4" s="2650" t="s">
        <v>2044</v>
      </c>
      <c r="F4" s="2650" t="s">
        <v>2746</v>
      </c>
      <c r="G4" s="2650" t="s">
        <v>2038</v>
      </c>
      <c r="H4" s="2650" t="s">
        <v>2039</v>
      </c>
      <c r="I4" s="2650" t="s">
        <v>2747</v>
      </c>
      <c r="J4" s="2650" t="s">
        <v>2038</v>
      </c>
      <c r="K4" s="3197"/>
      <c r="L4" s="3197"/>
      <c r="M4" s="3196"/>
      <c r="N4" s="3198"/>
      <c r="O4" s="3196"/>
      <c r="P4" s="3197"/>
      <c r="Q4" s="3197"/>
      <c r="R4" s="3197"/>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84475.6</v>
      </c>
      <c r="O5" s="1811">
        <f>项目基本情况!C21</f>
        <v>295664.59999999998</v>
      </c>
      <c r="P5" s="1811">
        <f ca="1">结果表!E42</f>
        <v>8291</v>
      </c>
      <c r="Q5" s="1811">
        <f ca="1">结果表!D42</f>
        <v>2369</v>
      </c>
      <c r="R5" s="1812">
        <f ca="1">结果表!C42</f>
        <v>70041</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3"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3"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01" t="s">
        <v>2067</v>
      </c>
      <c r="B1" s="3201"/>
      <c r="C1" s="3201"/>
      <c r="D1" s="3201"/>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2068</v>
      </c>
      <c r="B5" s="3200"/>
      <c r="C5" s="3200"/>
      <c r="D5" s="3200"/>
    </row>
    <row r="6" spans="1:4">
      <c r="A6" s="3201" t="s">
        <v>2046</v>
      </c>
      <c r="B6" s="3201"/>
      <c r="C6" s="3201"/>
      <c r="D6" s="3201"/>
    </row>
    <row r="7" spans="1:4" ht="33" customHeight="1">
      <c r="A7" s="3201" t="s">
        <v>2577</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1"/>
      <c r="C8" s="3201"/>
      <c r="D8" s="3201"/>
    </row>
    <row r="9" spans="1:4" ht="33.75" customHeight="1">
      <c r="A9" s="3201" t="str">
        <f>IF(项目基本情况!B8="抵押","3.抵押双方在办理抵押登记手续时，应使用本公司出具的正式《土地估价报告》，特提请报告使用者注意。","——")</f>
        <v>——</v>
      </c>
      <c r="B9" s="3201"/>
      <c r="C9" s="3201"/>
      <c r="D9" s="3201"/>
    </row>
    <row r="10" spans="1:4">
      <c r="A10" s="3201" t="str">
        <f>IF(项目基本情况!B8="抵押","4.估价师所知悉的法定优先受偿款情况为：","——")</f>
        <v>——</v>
      </c>
      <c r="B10" s="3201"/>
      <c r="C10" s="3201"/>
      <c r="D10" s="3201"/>
    </row>
    <row r="11" spans="1:4" ht="37.5" customHeight="1">
      <c r="A11" s="3203" t="str">
        <f>IF(项目基本情况!B8="抵押","（1）"&amp;CONCATENATE(项目基本情况!L24,项目基本情况!L25,项目基本情况!L26),"——")</f>
        <v>——</v>
      </c>
      <c r="B11" s="3203"/>
      <c r="C11" s="3203"/>
      <c r="D11" s="3203"/>
    </row>
    <row r="12" spans="1:4" ht="168" customHeight="1">
      <c r="A12" s="3200" t="s">
        <v>2070</v>
      </c>
      <c r="B12" s="3200"/>
      <c r="C12" s="3200"/>
      <c r="D12" s="3200"/>
    </row>
    <row r="13" spans="1:4">
      <c r="A13" s="3204" t="s">
        <v>2748</v>
      </c>
      <c r="B13" s="3204"/>
      <c r="C13" s="3204"/>
      <c r="D13" s="3204"/>
    </row>
    <row r="14" spans="1:4">
      <c r="A14" s="3203" t="str">
        <f>IF(项目基本情况!B8="抵押","综上，"&amp;结果表!K47,"——")</f>
        <v>——</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2704</v>
      </c>
      <c r="B17" s="3201"/>
      <c r="C17" s="3201"/>
      <c r="D17" s="3201"/>
    </row>
    <row r="18" spans="1:4">
      <c r="A18" s="3201" t="s">
        <v>2696</v>
      </c>
      <c r="B18" s="3201"/>
      <c r="C18" s="3201"/>
      <c r="D18" s="3201"/>
    </row>
    <row r="19" spans="1:4">
      <c r="A19" s="2869" t="s">
        <v>2697</v>
      </c>
      <c r="B19" s="2869" t="s">
        <v>2698</v>
      </c>
      <c r="C19" s="2869" t="s">
        <v>2699</v>
      </c>
      <c r="D19" s="2869" t="s">
        <v>2700</v>
      </c>
    </row>
    <row r="20" spans="1:4">
      <c r="A20" s="2869" t="str">
        <f>项目基本情况!B4</f>
        <v>王鹏</v>
      </c>
      <c r="B20" s="2869">
        <f ca="1">项目基本情况!C4</f>
        <v>2002110030</v>
      </c>
      <c r="C20" s="2871"/>
      <c r="D20" s="1801" t="s">
        <v>2705</v>
      </c>
    </row>
    <row r="21" spans="1:4">
      <c r="A21" s="2869" t="str">
        <f>项目基本情况!D4</f>
        <v>土地估价师</v>
      </c>
      <c r="B21" s="2869">
        <f>项目基本情况!E4</f>
        <v>0</v>
      </c>
      <c r="C21" s="2871"/>
      <c r="D21" s="1801" t="s">
        <v>2706</v>
      </c>
    </row>
    <row r="23" spans="1:4">
      <c r="A23" s="3201" t="s">
        <v>2701</v>
      </c>
      <c r="B23" s="3201"/>
      <c r="C23" s="3201"/>
      <c r="D23" s="3201"/>
    </row>
    <row r="24" spans="1:4">
      <c r="A24" s="2869" t="s">
        <v>2697</v>
      </c>
      <c r="B24" s="2869" t="s">
        <v>2702</v>
      </c>
      <c r="C24" s="2869" t="s">
        <v>2699</v>
      </c>
      <c r="D24" s="2869" t="s">
        <v>2700</v>
      </c>
    </row>
    <row r="25" spans="1:4">
      <c r="A25" s="2872" t="s">
        <v>2703</v>
      </c>
      <c r="B25" s="2869" t="s">
        <v>951</v>
      </c>
      <c r="C25" s="2871"/>
      <c r="D25" s="1801" t="s">
        <v>2706</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2" t="s">
        <v>53</v>
      </c>
      <c r="B15" s="3213" t="s">
        <v>845</v>
      </c>
      <c r="C15" s="3209"/>
    </row>
    <row r="16" spans="1:7" ht="14.25">
      <c r="A16" s="3212"/>
      <c r="B16" s="3210" t="s">
        <v>54</v>
      </c>
      <c r="C16" s="1171" t="s">
        <v>53</v>
      </c>
    </row>
    <row r="17" spans="1:3" ht="14.25">
      <c r="A17" s="3212"/>
      <c r="B17" s="3210"/>
      <c r="C17" s="1171" t="s">
        <v>55</v>
      </c>
    </row>
    <row r="18" spans="1:3" ht="14.25">
      <c r="A18" s="3212"/>
      <c r="B18" s="3210"/>
      <c r="C18" s="1171" t="s">
        <v>56</v>
      </c>
    </row>
    <row r="19" spans="1:3" ht="14.25">
      <c r="A19" s="3212"/>
      <c r="B19" s="3208" t="s">
        <v>57</v>
      </c>
      <c r="C19" s="3209"/>
    </row>
    <row r="20" spans="1:3" ht="14.25">
      <c r="A20" s="1172" t="s">
        <v>58</v>
      </c>
      <c r="B20" s="1173"/>
      <c r="C20" s="1174"/>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5" t="s">
        <v>836</v>
      </c>
    </row>
    <row r="25" spans="1:3" ht="14.25">
      <c r="A25" s="3211"/>
      <c r="B25" s="3215"/>
      <c r="C25" s="1175" t="s">
        <v>837</v>
      </c>
    </row>
    <row r="26" spans="1:3" ht="14.25">
      <c r="A26" s="3211"/>
      <c r="B26" s="3215"/>
      <c r="C26" s="1175" t="s">
        <v>838</v>
      </c>
    </row>
    <row r="27" spans="1:3" ht="14.25">
      <c r="A27" s="3211"/>
      <c r="B27" s="3215"/>
      <c r="C27" s="1175" t="s">
        <v>839</v>
      </c>
    </row>
    <row r="28" spans="1:3" ht="14.25">
      <c r="A28" s="3211"/>
      <c r="B28" s="3215"/>
      <c r="C28" s="1175" t="s">
        <v>840</v>
      </c>
    </row>
    <row r="29" spans="1:3" ht="14.25">
      <c r="A29" s="3211"/>
      <c r="B29" s="3215"/>
      <c r="C29" s="1175" t="s">
        <v>841</v>
      </c>
    </row>
    <row r="30" spans="1:3" ht="14.25">
      <c r="A30" s="3211"/>
      <c r="B30" s="3215"/>
      <c r="C30" s="1175" t="s">
        <v>842</v>
      </c>
    </row>
    <row r="31" spans="1:3" ht="14.25">
      <c r="A31" s="3211"/>
      <c r="B31" s="3215"/>
      <c r="C31" s="1175" t="s">
        <v>843</v>
      </c>
    </row>
    <row r="32" spans="1:3" ht="14.25">
      <c r="A32" s="3211"/>
      <c r="B32" s="3215"/>
      <c r="C32" s="1175" t="s">
        <v>1646</v>
      </c>
    </row>
    <row r="33" spans="1:3" ht="14.25">
      <c r="A33" s="3211"/>
      <c r="B33" s="3205" t="s">
        <v>1652</v>
      </c>
      <c r="C33" s="1175" t="s">
        <v>1647</v>
      </c>
    </row>
    <row r="34" spans="1:3" ht="14.25">
      <c r="A34" s="3211"/>
      <c r="B34" s="3206"/>
      <c r="C34" s="1180" t="s">
        <v>1648</v>
      </c>
    </row>
    <row r="35" spans="1:3" ht="14.25">
      <c r="A35" s="3211"/>
      <c r="B35" s="3206"/>
      <c r="C35" s="1181" t="s">
        <v>1649</v>
      </c>
    </row>
    <row r="36" spans="1:3" ht="14.25">
      <c r="A36" s="3211"/>
      <c r="B36" s="3206"/>
      <c r="C36" s="1181" t="s">
        <v>1650</v>
      </c>
    </row>
    <row r="37" spans="1:3" ht="14.25">
      <c r="A37" s="3211"/>
      <c r="B37" s="320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43886</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07">
        <v>43849</v>
      </c>
      <c r="D4" s="2344" t="s">
        <v>1914</v>
      </c>
      <c r="E4" s="2344">
        <f ca="1">IF(F4&lt;B2,"已过期",96010014)</f>
        <v>96010014</v>
      </c>
      <c r="F4" s="3008">
        <v>47118</v>
      </c>
    </row>
    <row r="5" spans="1:6" ht="20.25" customHeight="1">
      <c r="A5" s="2344" t="s">
        <v>1915</v>
      </c>
      <c r="B5" s="2344" t="str">
        <f ca="1">IF(C5&lt;B2,"已过期",1119970074)</f>
        <v>已过期</v>
      </c>
      <c r="C5" s="3007">
        <v>43849</v>
      </c>
      <c r="D5" s="2344" t="s">
        <v>1915</v>
      </c>
      <c r="E5" s="2344">
        <f ca="1">IF(F5&lt;B2,"已过期",2002110027)</f>
        <v>2002110027</v>
      </c>
      <c r="F5" s="3008">
        <v>46752</v>
      </c>
    </row>
    <row r="6" spans="1:6" ht="20.25" customHeight="1">
      <c r="A6" s="2344" t="s">
        <v>1916</v>
      </c>
      <c r="B6" s="2344" t="str">
        <f ca="1">IF(C6&lt;B2,"已过期",1119970111)</f>
        <v>已过期</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t="str">
        <f ca="1">IF(C8&lt;B2,"已过期",1120000080)</f>
        <v>已过期</v>
      </c>
      <c r="C8" s="3007">
        <v>43849</v>
      </c>
      <c r="D8" s="2344" t="s">
        <v>1918</v>
      </c>
      <c r="E8" s="2344">
        <f ca="1">IF(F8&lt;B2,"已过期",2000110082)</f>
        <v>2000110082</v>
      </c>
      <c r="F8" s="3008">
        <v>46387</v>
      </c>
    </row>
    <row r="9" spans="1:6" ht="20.25" customHeight="1">
      <c r="A9" s="2344" t="s">
        <v>1919</v>
      </c>
      <c r="B9" s="2344" t="str">
        <f ca="1">IF(C9&lt;B2,"已过期",1419970001)</f>
        <v>已过期</v>
      </c>
      <c r="C9" s="3007">
        <v>43867</v>
      </c>
      <c r="D9" s="2344" t="s">
        <v>1919</v>
      </c>
      <c r="E9" s="2344">
        <f ca="1">IF(F9&lt;B2,"已过期",2002110125)</f>
        <v>2002110125</v>
      </c>
      <c r="F9" s="3008">
        <v>47118</v>
      </c>
    </row>
    <row r="10" spans="1:6" ht="20.25" customHeight="1">
      <c r="A10" s="2344" t="s">
        <v>1920</v>
      </c>
      <c r="B10" s="2344" t="str">
        <f ca="1">IF(C10&lt;B2,"已过期",1120060040)</f>
        <v>已过期</v>
      </c>
      <c r="C10" s="3007">
        <v>43483</v>
      </c>
      <c r="D10" s="2344" t="s">
        <v>1920</v>
      </c>
      <c r="E10" s="2344">
        <f ca="1">IF(F10&lt;B2,"已过期",2004110096)</f>
        <v>2004110096</v>
      </c>
      <c r="F10" s="3008">
        <v>47118</v>
      </c>
    </row>
    <row r="11" spans="1:6" ht="20.25" customHeight="1">
      <c r="A11" s="2344" t="s">
        <v>1921</v>
      </c>
      <c r="B11" s="2344" t="str">
        <f ca="1">IF(C11&lt;B2,"已过期",1120100036)</f>
        <v>已过期</v>
      </c>
      <c r="C11" s="3007">
        <v>43622</v>
      </c>
      <c r="D11" s="2344" t="s">
        <v>1921</v>
      </c>
      <c r="E11" s="2344">
        <f ca="1">IF(F11&lt;B2,"已过期",2010110070)</f>
        <v>2010110070</v>
      </c>
      <c r="F11" s="3008">
        <v>47907</v>
      </c>
    </row>
    <row r="12" spans="1:6" ht="20.25" customHeight="1">
      <c r="A12" s="2344" t="s">
        <v>2983</v>
      </c>
      <c r="B12" s="2344">
        <v>1120110054</v>
      </c>
      <c r="C12" s="3007">
        <v>43937</v>
      </c>
      <c r="D12" s="2344" t="s">
        <v>2983</v>
      </c>
      <c r="E12" s="2344">
        <v>2008110060</v>
      </c>
      <c r="F12" s="3008">
        <v>47177</v>
      </c>
    </row>
    <row r="13" spans="1:6" ht="20.25" customHeight="1">
      <c r="A13" s="2344" t="s">
        <v>1922</v>
      </c>
      <c r="B13" s="2344" t="str">
        <f ca="1">IF(C13&lt;B2,"已过期",1120070131)</f>
        <v>已过期</v>
      </c>
      <c r="C13" s="3007">
        <v>43814</v>
      </c>
      <c r="D13" s="2344" t="s">
        <v>1922</v>
      </c>
      <c r="E13" s="2344">
        <v>2014110011</v>
      </c>
      <c r="F13" s="3008">
        <v>49302</v>
      </c>
    </row>
    <row r="14" spans="1:6" ht="20.25" customHeight="1">
      <c r="A14" s="2344" t="s">
        <v>1923</v>
      </c>
      <c r="B14" s="2344" t="str">
        <f ca="1">IF(C14&lt;B2,"已过期",1120130020)</f>
        <v>已过期</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t="str">
        <f ca="1">IF(C23&lt;B2,"已过期",1120130048)</f>
        <v>已过期</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16" t="s">
        <v>1928</v>
      </c>
      <c r="B25" s="3216"/>
      <c r="C25" s="3216"/>
      <c r="D25" s="3216"/>
      <c r="E25" s="3216"/>
      <c r="F25" s="3216"/>
      <c r="G25" s="3216"/>
    </row>
    <row r="26" spans="1:7" ht="20.25" customHeight="1">
      <c r="A26" s="3217" t="s">
        <v>1929</v>
      </c>
      <c r="B26" s="3217"/>
      <c r="C26" s="3217"/>
      <c r="D26" s="3217" t="s">
        <v>1930</v>
      </c>
      <c r="E26" s="3217"/>
      <c r="F26" s="3217"/>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14" t="s">
        <v>2961</v>
      </c>
      <c r="C18" s="1554"/>
    </row>
    <row r="19" spans="1:3">
      <c r="A19" s="8" t="s">
        <v>120</v>
      </c>
      <c r="B19" s="3114" t="s">
        <v>2969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18"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c r="D53" s="1768"/>
      <c r="E53" s="1768"/>
    </row>
    <row r="54" spans="1:5">
      <c r="A54" s="3218"/>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8"/>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8"/>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8"/>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2020-02-25T07:05:24Z</dcterms:modified>
</cp:coreProperties>
</file>