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19005" windowHeight="11790" tabRatio="779" firstSheet="9" activeTab="9"/>
  </bookViews>
  <sheets>
    <sheet name="权属依据" sheetId="29" state="hidden" r:id="rId1"/>
    <sheet name="住租约" sheetId="55" state="hidden" r:id="rId2"/>
    <sheet name="市（住）" sheetId="41" state="hidden" r:id="rId3"/>
    <sheet name="收（住租约）" sheetId="53" state="hidden" r:id="rId4"/>
    <sheet name="建筑（住）" sheetId="47" state="hidden" r:id="rId5"/>
    <sheet name="商租约" sheetId="56" state="hidden" r:id="rId6"/>
    <sheet name="收（商租约）" sheetId="58" state="hidden" r:id="rId7"/>
    <sheet name="建筑（商）" sheetId="48" state="hidden" r:id="rId8"/>
    <sheet name="办租约" sheetId="54" state="hidden" r:id="rId9"/>
    <sheet name="结果" sheetId="87" r:id="rId10"/>
    <sheet name="面积" sheetId="83" r:id="rId11"/>
    <sheet name="收（办租约）" sheetId="57" state="hidden" r:id="rId12"/>
    <sheet name="建筑（办）" sheetId="44" state="hidden" r:id="rId13"/>
    <sheet name="比较" sheetId="85" r:id="rId14"/>
    <sheet name="收益法 " sheetId="60" r:id="rId15"/>
    <sheet name="市（停车楼）" sheetId="51" state="hidden" r:id="rId16"/>
    <sheet name="收（停车楼）" sheetId="49" state="hidden" r:id="rId17"/>
    <sheet name="税费" sheetId="62" state="hidden" r:id="rId18"/>
    <sheet name="收益（仓储）" sheetId="77" state="hidden" r:id="rId19"/>
    <sheet name="市（车）" sheetId="64" state="hidden" r:id="rId20"/>
    <sheet name="收（车）" sheetId="45" state="hidden" r:id="rId21"/>
    <sheet name="案例及位置图" sheetId="82" r:id="rId22"/>
    <sheet name="租金" sheetId="84" state="hidden" r:id="rId23"/>
  </sheets>
  <externalReferences>
    <externalReference r:id="rId24"/>
    <externalReference r:id="rId25"/>
    <externalReference r:id="rId26"/>
    <externalReference r:id="rId27"/>
    <externalReference r:id="rId28"/>
  </externalReferences>
  <definedNames>
    <definedName name="_xlnm.Print_Area" localSheetId="21">案例及位置图!$A$1:$H$92</definedName>
    <definedName name="_xlnm.Print_Area" localSheetId="13">比较!$A$1:$U$57</definedName>
    <definedName name="_xlnm.Print_Area" localSheetId="9">结果!$A$1:$P$36</definedName>
    <definedName name="_xlnm.Print_Area" localSheetId="10">面积!$A$12:$H$24</definedName>
    <definedName name="_xlnm.Print_Area" localSheetId="19">'市（车）'!$A$1:$U$49</definedName>
    <definedName name="_xlnm.Print_Area" localSheetId="11">'收（办租约）'!$A$1:$R$46</definedName>
    <definedName name="_xlnm.Print_Area" localSheetId="20">'收（车）'!$A$1:$H$51</definedName>
    <definedName name="_xlnm.Print_Area" localSheetId="6">'收（商租约）'!$A$1:$V$47</definedName>
    <definedName name="_xlnm.Print_Area" localSheetId="3">'收（住租约）'!$A$1:$R$46</definedName>
    <definedName name="_xlnm.Print_Area" localSheetId="14">'收益法 '!$A$1:$P$44</definedName>
    <definedName name="_xlnm.Print_Area" localSheetId="17">税费!$A$15:$M$45</definedName>
    <definedName name="_xlnm.Print_Area" localSheetId="22">租金!$A$1:$O$93</definedName>
  </definedNames>
  <calcPr calcId="145621"/>
</workbook>
</file>

<file path=xl/calcChain.xml><?xml version="1.0" encoding="utf-8"?>
<calcChain xmlns="http://schemas.openxmlformats.org/spreadsheetml/2006/main">
  <c r="L26" i="60" l="1"/>
  <c r="M40" i="60"/>
  <c r="D26" i="60"/>
  <c r="D32" i="60" l="1"/>
  <c r="H21" i="85" l="1"/>
  <c r="G21" i="85"/>
  <c r="J15" i="85" l="1"/>
  <c r="H15" i="85"/>
  <c r="J29" i="85"/>
  <c r="H29" i="85"/>
  <c r="Y29" i="85"/>
  <c r="Y15" i="85"/>
  <c r="Y21" i="85"/>
  <c r="P37" i="85" s="1"/>
  <c r="Z29" i="85"/>
  <c r="Z15" i="85"/>
  <c r="Z11" i="85"/>
  <c r="Z12" i="85"/>
  <c r="Z26" i="85"/>
  <c r="AA29" i="85"/>
  <c r="AA15" i="85"/>
  <c r="J21" i="85"/>
  <c r="AA21" i="85" s="1"/>
  <c r="T37" i="85" s="1"/>
  <c r="E8" i="60"/>
  <c r="D8" i="60"/>
  <c r="D37" i="60"/>
  <c r="F21" i="83"/>
  <c r="F17" i="83"/>
  <c r="F18" i="83"/>
  <c r="F19" i="83"/>
  <c r="F20" i="83"/>
  <c r="F16" i="83"/>
  <c r="F22" i="83"/>
  <c r="F5" i="87"/>
  <c r="E34" i="60"/>
  <c r="D34" i="60"/>
  <c r="D16" i="60"/>
  <c r="J30" i="85"/>
  <c r="H30" i="85"/>
  <c r="D23" i="60"/>
  <c r="D24" i="60"/>
  <c r="C41" i="85"/>
  <c r="E36" i="85"/>
  <c r="P36" i="85"/>
  <c r="Y30" i="85"/>
  <c r="D41" i="85"/>
  <c r="G36" i="85"/>
  <c r="R36" i="85"/>
  <c r="Z30" i="85"/>
  <c r="E41" i="85"/>
  <c r="I36" i="85"/>
  <c r="T36" i="85"/>
  <c r="AA30" i="85"/>
  <c r="C30" i="85"/>
  <c r="H53" i="85"/>
  <c r="H54" i="85"/>
  <c r="E22" i="83"/>
  <c r="C59" i="82"/>
  <c r="C8" i="85" s="1"/>
  <c r="D42" i="60" s="1"/>
  <c r="C16" i="87"/>
  <c r="C19" i="87"/>
  <c r="H22" i="85"/>
  <c r="G22" i="85"/>
  <c r="I22" i="85"/>
  <c r="P23" i="87"/>
  <c r="O23" i="87"/>
  <c r="P24" i="87"/>
  <c r="E22" i="87"/>
  <c r="J11" i="87"/>
  <c r="I11" i="87"/>
  <c r="F11" i="87"/>
  <c r="J10" i="87"/>
  <c r="I10" i="87"/>
  <c r="G10" i="87"/>
  <c r="H10" i="87"/>
  <c r="J8" i="87"/>
  <c r="I8" i="87"/>
  <c r="F8" i="87"/>
  <c r="J7" i="87"/>
  <c r="I7" i="87"/>
  <c r="H7" i="87"/>
  <c r="G7" i="87"/>
  <c r="C51" i="85"/>
  <c r="D51" i="85"/>
  <c r="E51" i="85"/>
  <c r="C52" i="85"/>
  <c r="D52" i="85"/>
  <c r="E52" i="85"/>
  <c r="C53" i="85"/>
  <c r="D53" i="85"/>
  <c r="E53" i="85"/>
  <c r="C54" i="85"/>
  <c r="D54" i="85"/>
  <c r="E54" i="85"/>
  <c r="C55" i="85"/>
  <c r="D55" i="85"/>
  <c r="E55" i="85"/>
  <c r="C56" i="85"/>
  <c r="D56" i="85"/>
  <c r="E56" i="85"/>
  <c r="B52" i="85"/>
  <c r="B53" i="85"/>
  <c r="B54" i="85"/>
  <c r="B55" i="85"/>
  <c r="B56" i="85"/>
  <c r="B51" i="85"/>
  <c r="F63" i="82"/>
  <c r="F64" i="82"/>
  <c r="B66" i="82"/>
  <c r="S30" i="85"/>
  <c r="AA25" i="85"/>
  <c r="I25" i="85"/>
  <c r="J22" i="85"/>
  <c r="U22" i="85"/>
  <c r="AA17" i="85"/>
  <c r="I28" i="85"/>
  <c r="I26" i="85"/>
  <c r="I23" i="85"/>
  <c r="I21" i="85"/>
  <c r="I15" i="85"/>
  <c r="I13" i="85"/>
  <c r="I11" i="85"/>
  <c r="G23" i="85"/>
  <c r="E32" i="85"/>
  <c r="G32" i="85"/>
  <c r="I32" i="85"/>
  <c r="E31" i="85"/>
  <c r="G31" i="85"/>
  <c r="I31" i="85"/>
  <c r="G29" i="85"/>
  <c r="E28" i="85"/>
  <c r="G28" i="85"/>
  <c r="E27" i="85"/>
  <c r="G27" i="85"/>
  <c r="E26" i="85"/>
  <c r="E24" i="85"/>
  <c r="I24" i="85"/>
  <c r="E23" i="85"/>
  <c r="E18" i="85"/>
  <c r="I18" i="85"/>
  <c r="E17" i="85"/>
  <c r="I17" i="85"/>
  <c r="E16" i="85"/>
  <c r="G16" i="85"/>
  <c r="G15" i="85"/>
  <c r="E14" i="85"/>
  <c r="G14" i="85"/>
  <c r="E13" i="85"/>
  <c r="G13" i="85"/>
  <c r="E12" i="85"/>
  <c r="I12" i="85"/>
  <c r="E11" i="85"/>
  <c r="O32" i="85"/>
  <c r="G7" i="85"/>
  <c r="I7" i="85"/>
  <c r="E7" i="85"/>
  <c r="E6" i="85"/>
  <c r="G6" i="85"/>
  <c r="I6" i="85"/>
  <c r="E5" i="85"/>
  <c r="G5" i="85" s="1"/>
  <c r="I5" i="85" s="1"/>
  <c r="N38" i="85"/>
  <c r="N37" i="85"/>
  <c r="N36" i="85"/>
  <c r="AA35" i="85"/>
  <c r="Z35" i="85"/>
  <c r="Y35" i="85"/>
  <c r="U35" i="85"/>
  <c r="S35" i="85"/>
  <c r="Q35" i="85"/>
  <c r="O35" i="85"/>
  <c r="X35" i="85"/>
  <c r="AA34" i="85"/>
  <c r="Z34" i="85"/>
  <c r="Y34" i="85"/>
  <c r="U34" i="85"/>
  <c r="S34" i="85"/>
  <c r="Q34" i="85"/>
  <c r="O34" i="85"/>
  <c r="X34" i="85"/>
  <c r="AA33" i="85"/>
  <c r="Z33" i="85"/>
  <c r="Y33" i="85"/>
  <c r="U33" i="85"/>
  <c r="S33" i="85"/>
  <c r="Q33" i="85"/>
  <c r="X33" i="85"/>
  <c r="AA32" i="85"/>
  <c r="Z32" i="85"/>
  <c r="Y32" i="85"/>
  <c r="U32" i="85"/>
  <c r="S32" i="85"/>
  <c r="Q32" i="85"/>
  <c r="X32" i="85"/>
  <c r="AA31" i="85"/>
  <c r="Z31" i="85"/>
  <c r="Y31" i="85"/>
  <c r="U31" i="85"/>
  <c r="S31" i="85"/>
  <c r="Q31" i="85"/>
  <c r="O31" i="85"/>
  <c r="X31" i="85"/>
  <c r="U30" i="85"/>
  <c r="Q30" i="85"/>
  <c r="O30" i="85"/>
  <c r="X30" i="85"/>
  <c r="U29" i="85"/>
  <c r="S29" i="85"/>
  <c r="Q29" i="85"/>
  <c r="O29" i="85"/>
  <c r="X29" i="85"/>
  <c r="AA28" i="85"/>
  <c r="Z28" i="85"/>
  <c r="Y28" i="85"/>
  <c r="U28" i="85"/>
  <c r="S28" i="85"/>
  <c r="Q28" i="85"/>
  <c r="O28" i="85"/>
  <c r="X28" i="85"/>
  <c r="AA27" i="85"/>
  <c r="Z27" i="85"/>
  <c r="Y27" i="85"/>
  <c r="U27" i="85"/>
  <c r="S27" i="85"/>
  <c r="Q27" i="85"/>
  <c r="O27" i="85"/>
  <c r="X27" i="85"/>
  <c r="AA26" i="85"/>
  <c r="Y26" i="85"/>
  <c r="U26" i="85"/>
  <c r="S26" i="85"/>
  <c r="Q26" i="85"/>
  <c r="O26" i="85"/>
  <c r="Z25" i="85"/>
  <c r="Y25" i="85"/>
  <c r="U25" i="85"/>
  <c r="S25" i="85"/>
  <c r="Q25" i="85"/>
  <c r="O25" i="85"/>
  <c r="X25" i="85"/>
  <c r="AA24" i="85"/>
  <c r="Z24" i="85"/>
  <c r="Y24" i="85"/>
  <c r="U24" i="85"/>
  <c r="S24" i="85"/>
  <c r="Q24" i="85"/>
  <c r="O24" i="85"/>
  <c r="AA23" i="85"/>
  <c r="Z23" i="85"/>
  <c r="Y23" i="85"/>
  <c r="U23" i="85"/>
  <c r="S23" i="85"/>
  <c r="Q23" i="85"/>
  <c r="O23" i="85"/>
  <c r="AA22" i="85"/>
  <c r="Z22" i="85"/>
  <c r="Y22" i="85"/>
  <c r="S22" i="85"/>
  <c r="Q22" i="85"/>
  <c r="O22" i="85"/>
  <c r="Z21" i="85"/>
  <c r="S21" i="85"/>
  <c r="Q21" i="85"/>
  <c r="O21" i="85"/>
  <c r="AA20" i="85"/>
  <c r="Z20" i="85"/>
  <c r="Y20" i="85"/>
  <c r="U20" i="85"/>
  <c r="S20" i="85"/>
  <c r="Q20" i="85"/>
  <c r="O20" i="85"/>
  <c r="X20" i="85"/>
  <c r="AA19" i="85"/>
  <c r="Z19" i="85"/>
  <c r="Y19" i="85"/>
  <c r="U19" i="85"/>
  <c r="S19" i="85"/>
  <c r="Q19" i="85"/>
  <c r="O19" i="85"/>
  <c r="X19" i="85"/>
  <c r="AA18" i="85"/>
  <c r="Z18" i="85"/>
  <c r="Y18" i="85"/>
  <c r="U18" i="85"/>
  <c r="S18" i="85"/>
  <c r="Q18" i="85"/>
  <c r="O18" i="85"/>
  <c r="X18" i="85"/>
  <c r="Z17" i="85"/>
  <c r="Y17" i="85"/>
  <c r="U17" i="85"/>
  <c r="S17" i="85"/>
  <c r="Q17" i="85"/>
  <c r="O17" i="85"/>
  <c r="X17" i="85"/>
  <c r="AA16" i="85"/>
  <c r="Z16" i="85"/>
  <c r="Y16" i="85"/>
  <c r="U16" i="85"/>
  <c r="S16" i="85"/>
  <c r="Q16" i="85"/>
  <c r="O16" i="85"/>
  <c r="X16" i="85"/>
  <c r="U15" i="85"/>
  <c r="S15" i="85"/>
  <c r="Q15" i="85"/>
  <c r="O15" i="85"/>
  <c r="X15" i="85"/>
  <c r="AA14" i="85"/>
  <c r="Z14" i="85"/>
  <c r="Y14" i="85"/>
  <c r="U14" i="85"/>
  <c r="S14" i="85"/>
  <c r="Q14" i="85"/>
  <c r="O14" i="85"/>
  <c r="X14" i="85"/>
  <c r="AA13" i="85"/>
  <c r="Z13" i="85"/>
  <c r="Y13" i="85"/>
  <c r="U13" i="85"/>
  <c r="S13" i="85"/>
  <c r="Q13" i="85"/>
  <c r="O13" i="85"/>
  <c r="X13" i="85"/>
  <c r="AA12" i="85"/>
  <c r="Y12" i="85"/>
  <c r="U12" i="85"/>
  <c r="S12" i="85"/>
  <c r="Q12" i="85"/>
  <c r="O12" i="85"/>
  <c r="X12" i="85"/>
  <c r="AA11" i="85"/>
  <c r="Y11" i="85"/>
  <c r="U11" i="85"/>
  <c r="S11" i="85"/>
  <c r="Q11" i="85"/>
  <c r="O11" i="85"/>
  <c r="X11" i="85"/>
  <c r="AA10" i="85"/>
  <c r="Z10" i="85"/>
  <c r="Y10" i="85"/>
  <c r="U10" i="85"/>
  <c r="S10" i="85"/>
  <c r="Q10" i="85"/>
  <c r="O10" i="85"/>
  <c r="X10" i="85"/>
  <c r="AA9" i="85"/>
  <c r="Z9" i="85"/>
  <c r="Y9" i="85"/>
  <c r="U9" i="85"/>
  <c r="S9" i="85"/>
  <c r="Q9" i="85"/>
  <c r="O9" i="85"/>
  <c r="X9" i="85"/>
  <c r="AA8" i="85"/>
  <c r="Z8" i="85"/>
  <c r="Y8" i="85"/>
  <c r="U8" i="85"/>
  <c r="S8" i="85"/>
  <c r="Q8" i="85"/>
  <c r="O8" i="85"/>
  <c r="X8" i="85"/>
  <c r="AA7" i="85"/>
  <c r="Z7" i="85"/>
  <c r="Y7" i="85"/>
  <c r="U7" i="85"/>
  <c r="S7" i="85"/>
  <c r="Q7" i="85"/>
  <c r="O7" i="85"/>
  <c r="X7" i="85"/>
  <c r="AA6" i="85"/>
  <c r="Z6" i="85"/>
  <c r="Y6" i="85"/>
  <c r="U6" i="85"/>
  <c r="S6" i="85"/>
  <c r="Q6" i="85"/>
  <c r="AA5" i="85"/>
  <c r="Z5" i="85"/>
  <c r="Y5" i="85"/>
  <c r="U5" i="85"/>
  <c r="S5" i="85"/>
  <c r="Q5" i="85"/>
  <c r="G18" i="85"/>
  <c r="G24" i="85"/>
  <c r="I14" i="85"/>
  <c r="I16" i="85"/>
  <c r="I27" i="85"/>
  <c r="I29" i="85"/>
  <c r="D66" i="82"/>
  <c r="E57" i="85"/>
  <c r="E91" i="84"/>
  <c r="O82" i="84"/>
  <c r="N82" i="84"/>
  <c r="G82" i="84"/>
  <c r="L81" i="84"/>
  <c r="L80" i="84"/>
  <c r="L79" i="84"/>
  <c r="L78" i="84"/>
  <c r="L77" i="84"/>
  <c r="L76" i="84"/>
  <c r="L75" i="84"/>
  <c r="L74" i="84"/>
  <c r="L73" i="84"/>
  <c r="L72" i="84"/>
  <c r="L71" i="84"/>
  <c r="L70" i="84"/>
  <c r="L69" i="84"/>
  <c r="L68" i="84"/>
  <c r="L67" i="84"/>
  <c r="L66" i="84"/>
  <c r="L65" i="84"/>
  <c r="L64" i="84"/>
  <c r="L63" i="84"/>
  <c r="L62" i="84"/>
  <c r="L61" i="84"/>
  <c r="L60" i="84"/>
  <c r="L59" i="84"/>
  <c r="L58" i="84"/>
  <c r="L57" i="84"/>
  <c r="L56" i="84"/>
  <c r="L55" i="84"/>
  <c r="L54" i="84"/>
  <c r="L53" i="84"/>
  <c r="L52" i="84"/>
  <c r="L51" i="84"/>
  <c r="L50" i="84"/>
  <c r="L49" i="84"/>
  <c r="L48" i="84"/>
  <c r="L47" i="84"/>
  <c r="L45" i="84"/>
  <c r="L44" i="84"/>
  <c r="L43" i="84"/>
  <c r="L38" i="84"/>
  <c r="L37" i="84"/>
  <c r="L36" i="84"/>
  <c r="L35" i="84"/>
  <c r="L33" i="84"/>
  <c r="L31" i="84"/>
  <c r="L30" i="84"/>
  <c r="L29" i="84"/>
  <c r="L28" i="84"/>
  <c r="L27" i="84"/>
  <c r="L26" i="84"/>
  <c r="L25" i="84"/>
  <c r="L24" i="84"/>
  <c r="L23" i="84"/>
  <c r="L22" i="84"/>
  <c r="L21" i="84"/>
  <c r="L20" i="84"/>
  <c r="L19" i="84"/>
  <c r="L18" i="84"/>
  <c r="L17" i="84"/>
  <c r="L16" i="84"/>
  <c r="L15" i="84"/>
  <c r="L14" i="84"/>
  <c r="L8" i="84"/>
  <c r="L7" i="84"/>
  <c r="L6" i="84"/>
  <c r="L5" i="84"/>
  <c r="L4" i="84"/>
  <c r="F91" i="84"/>
  <c r="G91" i="84"/>
  <c r="F93" i="84"/>
  <c r="L82" i="84"/>
  <c r="G86" i="84"/>
  <c r="E5" i="60"/>
  <c r="E11" i="83"/>
  <c r="D16" i="87"/>
  <c r="D19" i="87"/>
  <c r="B24" i="83"/>
  <c r="E14" i="60"/>
  <c r="D14" i="60"/>
  <c r="E11" i="60"/>
  <c r="D11" i="60"/>
  <c r="D12" i="60"/>
  <c r="D15" i="60"/>
  <c r="D17" i="60"/>
  <c r="D13" i="60"/>
  <c r="O29" i="64"/>
  <c r="E5" i="45"/>
  <c r="E8" i="45"/>
  <c r="D8" i="45"/>
  <c r="E11" i="45"/>
  <c r="F11" i="45"/>
  <c r="E14" i="45"/>
  <c r="D14" i="45"/>
  <c r="H4" i="45"/>
  <c r="M34" i="64"/>
  <c r="M36" i="64"/>
  <c r="D11" i="45"/>
  <c r="D13" i="45"/>
  <c r="D37" i="45"/>
  <c r="G32" i="60"/>
  <c r="D21" i="60"/>
  <c r="D5" i="60"/>
  <c r="E34" i="45"/>
  <c r="C52" i="77"/>
  <c r="C49" i="77"/>
  <c r="J46" i="77"/>
  <c r="J45" i="77"/>
  <c r="J44" i="77"/>
  <c r="J43" i="77"/>
  <c r="J42" i="77"/>
  <c r="C42" i="77"/>
  <c r="J41" i="77"/>
  <c r="C39" i="77"/>
  <c r="C43" i="77"/>
  <c r="J26" i="77"/>
  <c r="C23" i="77"/>
  <c r="I23" i="77"/>
  <c r="J17" i="77"/>
  <c r="J20" i="77"/>
  <c r="E17" i="77"/>
  <c r="D17" i="77"/>
  <c r="I16" i="77"/>
  <c r="I20" i="77"/>
  <c r="H16" i="77"/>
  <c r="H20" i="77"/>
  <c r="G16" i="77"/>
  <c r="G20" i="77"/>
  <c r="F16" i="77"/>
  <c r="F20" i="77"/>
  <c r="E16" i="77"/>
  <c r="D16" i="77"/>
  <c r="C16" i="77"/>
  <c r="C6" i="77"/>
  <c r="C5" i="77"/>
  <c r="J32" i="77"/>
  <c r="G12" i="45"/>
  <c r="D12" i="45"/>
  <c r="F33" i="62"/>
  <c r="C33" i="62"/>
  <c r="G41" i="62"/>
  <c r="F37" i="62"/>
  <c r="F35" i="62"/>
  <c r="G22" i="62"/>
  <c r="C7" i="62"/>
  <c r="B7" i="62"/>
  <c r="C6" i="62"/>
  <c r="B6" i="62"/>
  <c r="J5" i="62"/>
  <c r="E5" i="62"/>
  <c r="D5" i="62"/>
  <c r="D6" i="62"/>
  <c r="G6" i="62"/>
  <c r="C5" i="62"/>
  <c r="B5" i="62"/>
  <c r="J4" i="62"/>
  <c r="D4" i="62"/>
  <c r="G4" i="62"/>
  <c r="C4" i="62"/>
  <c r="D44" i="49"/>
  <c r="G43" i="49"/>
  <c r="E37" i="49"/>
  <c r="D37" i="49"/>
  <c r="K33" i="49"/>
  <c r="G30" i="49"/>
  <c r="G28" i="49"/>
  <c r="G35" i="49"/>
  <c r="G21" i="49"/>
  <c r="D27" i="49"/>
  <c r="G20" i="49"/>
  <c r="G18" i="49"/>
  <c r="G15" i="49"/>
  <c r="F14" i="49"/>
  <c r="E14" i="49"/>
  <c r="D14" i="49"/>
  <c r="C14" i="49"/>
  <c r="B14" i="49"/>
  <c r="F13" i="49"/>
  <c r="E13" i="49"/>
  <c r="C13" i="49"/>
  <c r="B13" i="49"/>
  <c r="E12" i="49"/>
  <c r="D12" i="49"/>
  <c r="B12" i="49"/>
  <c r="I5" i="49"/>
  <c r="E5" i="49"/>
  <c r="E8" i="49"/>
  <c r="D8" i="49"/>
  <c r="D40" i="49"/>
  <c r="Y20" i="51"/>
  <c r="X20" i="51"/>
  <c r="W20" i="51"/>
  <c r="S20" i="51"/>
  <c r="Q20" i="51"/>
  <c r="O20" i="51"/>
  <c r="M20" i="51"/>
  <c r="V20" i="51"/>
  <c r="Y19" i="51"/>
  <c r="X19" i="51"/>
  <c r="W19" i="51"/>
  <c r="S19" i="51"/>
  <c r="Q19" i="51"/>
  <c r="O19" i="51"/>
  <c r="M19" i="51"/>
  <c r="V19" i="51"/>
  <c r="Y18" i="51"/>
  <c r="X18" i="51"/>
  <c r="W18" i="51"/>
  <c r="S18" i="51"/>
  <c r="Q18" i="51"/>
  <c r="O18" i="51"/>
  <c r="M18" i="51"/>
  <c r="V18" i="51"/>
  <c r="Y17" i="51"/>
  <c r="X17" i="51"/>
  <c r="W17" i="51"/>
  <c r="S17" i="51"/>
  <c r="Q17" i="51"/>
  <c r="O17" i="51"/>
  <c r="M17" i="51"/>
  <c r="V17" i="51"/>
  <c r="Y16" i="51"/>
  <c r="X16" i="51"/>
  <c r="W16" i="51"/>
  <c r="S16" i="51"/>
  <c r="Q16" i="51"/>
  <c r="O16" i="51"/>
  <c r="M16" i="51"/>
  <c r="V16" i="51"/>
  <c r="Y15" i="51"/>
  <c r="X15" i="51"/>
  <c r="W15" i="51"/>
  <c r="S15" i="51"/>
  <c r="Q15" i="51"/>
  <c r="O15" i="51"/>
  <c r="M15" i="51"/>
  <c r="V15" i="51"/>
  <c r="Y14" i="51"/>
  <c r="X14" i="51"/>
  <c r="W14" i="51"/>
  <c r="U14" i="51"/>
  <c r="S14" i="51"/>
  <c r="Q14" i="51"/>
  <c r="O14" i="51"/>
  <c r="M14" i="51"/>
  <c r="V14" i="51"/>
  <c r="L14" i="51"/>
  <c r="Y13" i="51"/>
  <c r="X13" i="51"/>
  <c r="W13" i="51"/>
  <c r="S13" i="51"/>
  <c r="Q13" i="51"/>
  <c r="O13" i="51"/>
  <c r="M13" i="51"/>
  <c r="V13" i="51"/>
  <c r="Y12" i="51"/>
  <c r="X12" i="51"/>
  <c r="W12" i="51"/>
  <c r="S12" i="51"/>
  <c r="Q12" i="51"/>
  <c r="O12" i="51"/>
  <c r="M12" i="51"/>
  <c r="V12" i="51"/>
  <c r="Y11" i="51"/>
  <c r="X11" i="51"/>
  <c r="W11" i="51"/>
  <c r="S11" i="51"/>
  <c r="Q11" i="51"/>
  <c r="O11" i="51"/>
  <c r="M11" i="51"/>
  <c r="V11" i="51"/>
  <c r="Y10" i="51"/>
  <c r="X10" i="51"/>
  <c r="W10" i="51"/>
  <c r="S10" i="51"/>
  <c r="Q10" i="51"/>
  <c r="O10" i="51"/>
  <c r="M10" i="51"/>
  <c r="V10" i="51"/>
  <c r="Y9" i="51"/>
  <c r="X9" i="51"/>
  <c r="W9" i="51"/>
  <c r="S9" i="51"/>
  <c r="Q9" i="51"/>
  <c r="O9" i="51"/>
  <c r="M9" i="51"/>
  <c r="V9" i="51"/>
  <c r="L9" i="51"/>
  <c r="U9" i="51"/>
  <c r="Y8" i="51"/>
  <c r="X8" i="51"/>
  <c r="W8" i="51"/>
  <c r="S8" i="51"/>
  <c r="Q8" i="51"/>
  <c r="O8" i="51"/>
  <c r="M8" i="51"/>
  <c r="V8" i="51"/>
  <c r="Y7" i="51"/>
  <c r="X7" i="51"/>
  <c r="W7" i="51"/>
  <c r="S7" i="51"/>
  <c r="Q7" i="51"/>
  <c r="O7" i="51"/>
  <c r="M7" i="51"/>
  <c r="V7" i="51"/>
  <c r="L7" i="51"/>
  <c r="U7" i="51"/>
  <c r="Y6" i="51"/>
  <c r="X6" i="51"/>
  <c r="W6" i="51"/>
  <c r="S6" i="51"/>
  <c r="Q6" i="51"/>
  <c r="O6" i="51"/>
  <c r="L6" i="51"/>
  <c r="U6" i="51"/>
  <c r="Y5" i="51"/>
  <c r="X5" i="51"/>
  <c r="W5" i="51"/>
  <c r="S5" i="51"/>
  <c r="Q5" i="51"/>
  <c r="O5" i="51"/>
  <c r="L5" i="51"/>
  <c r="U5" i="51"/>
  <c r="R3" i="51"/>
  <c r="Y3" i="51"/>
  <c r="P3" i="51"/>
  <c r="X3" i="51"/>
  <c r="N3" i="51"/>
  <c r="W3" i="51"/>
  <c r="G17" i="45"/>
  <c r="G20" i="45"/>
  <c r="G21" i="45"/>
  <c r="G18" i="45"/>
  <c r="D24" i="45"/>
  <c r="G25" i="45"/>
  <c r="F34" i="45"/>
  <c r="G32" i="45"/>
  <c r="D32" i="45"/>
  <c r="G27" i="45"/>
  <c r="D58" i="45"/>
  <c r="G15" i="45"/>
  <c r="D15" i="45"/>
  <c r="F8" i="45"/>
  <c r="I4" i="45"/>
  <c r="I35" i="64"/>
  <c r="G35" i="64"/>
  <c r="E35" i="64"/>
  <c r="S34" i="64"/>
  <c r="Q34" i="64"/>
  <c r="O34" i="64"/>
  <c r="I34" i="64"/>
  <c r="J19" i="64"/>
  <c r="G34" i="64"/>
  <c r="H19" i="64"/>
  <c r="E34" i="64"/>
  <c r="F19" i="64"/>
  <c r="S33" i="64"/>
  <c r="Q33" i="64"/>
  <c r="O33" i="64"/>
  <c r="I33" i="64"/>
  <c r="I36" i="64"/>
  <c r="G33" i="64"/>
  <c r="G36" i="64"/>
  <c r="E33" i="64"/>
  <c r="E36" i="64"/>
  <c r="Z17" i="64"/>
  <c r="Y17" i="64"/>
  <c r="X17" i="64"/>
  <c r="Z25" i="64"/>
  <c r="Y25" i="64"/>
  <c r="X25" i="64"/>
  <c r="T25" i="64"/>
  <c r="R25" i="64"/>
  <c r="P25" i="64"/>
  <c r="N25" i="64"/>
  <c r="W25" i="64"/>
  <c r="Z24" i="64"/>
  <c r="Y24" i="64"/>
  <c r="X24" i="64"/>
  <c r="T24" i="64"/>
  <c r="R24" i="64"/>
  <c r="P24" i="64"/>
  <c r="N24" i="64"/>
  <c r="W24" i="64"/>
  <c r="Z23" i="64"/>
  <c r="Y23" i="64"/>
  <c r="X23" i="64"/>
  <c r="T23" i="64"/>
  <c r="R23" i="64"/>
  <c r="P23" i="64"/>
  <c r="N23" i="64"/>
  <c r="W23" i="64"/>
  <c r="Z22" i="64"/>
  <c r="Y22" i="64"/>
  <c r="X22" i="64"/>
  <c r="T22" i="64"/>
  <c r="R22" i="64"/>
  <c r="P22" i="64"/>
  <c r="N22" i="64"/>
  <c r="W22" i="64"/>
  <c r="Z21" i="64"/>
  <c r="X21" i="64"/>
  <c r="T21" i="64"/>
  <c r="P21" i="64"/>
  <c r="N21" i="64"/>
  <c r="W21" i="64"/>
  <c r="I21" i="64"/>
  <c r="Y21" i="64"/>
  <c r="Z20" i="64"/>
  <c r="Y20" i="64"/>
  <c r="X20" i="64"/>
  <c r="T20" i="64"/>
  <c r="R20" i="64"/>
  <c r="P20" i="64"/>
  <c r="N20" i="64"/>
  <c r="W20" i="64"/>
  <c r="Z19" i="64"/>
  <c r="Y19" i="64"/>
  <c r="X19" i="64"/>
  <c r="T19" i="64"/>
  <c r="R19" i="64"/>
  <c r="P19" i="64"/>
  <c r="N19" i="64"/>
  <c r="W19" i="64"/>
  <c r="X18" i="64"/>
  <c r="P18" i="64"/>
  <c r="N18" i="64"/>
  <c r="W18" i="64"/>
  <c r="K18" i="64"/>
  <c r="Z18" i="64"/>
  <c r="I18" i="64"/>
  <c r="Y18" i="64"/>
  <c r="T17" i="64"/>
  <c r="R17" i="64"/>
  <c r="P17" i="64"/>
  <c r="N17" i="64"/>
  <c r="W17" i="64"/>
  <c r="Z16" i="64"/>
  <c r="Y16" i="64"/>
  <c r="X16" i="64"/>
  <c r="T16" i="64"/>
  <c r="R16" i="64"/>
  <c r="P16" i="64"/>
  <c r="N16" i="64"/>
  <c r="W16" i="64"/>
  <c r="Z15" i="64"/>
  <c r="Y15" i="64"/>
  <c r="X15" i="64"/>
  <c r="T15" i="64"/>
  <c r="R15" i="64"/>
  <c r="P15" i="64"/>
  <c r="N15" i="64"/>
  <c r="W15" i="64"/>
  <c r="Y14" i="64"/>
  <c r="X14" i="64"/>
  <c r="R14" i="64"/>
  <c r="P14" i="64"/>
  <c r="N14" i="64"/>
  <c r="W14" i="64"/>
  <c r="K14" i="64"/>
  <c r="Z14" i="64"/>
  <c r="D14" i="64"/>
  <c r="Z13" i="64"/>
  <c r="X13" i="64"/>
  <c r="T13" i="64"/>
  <c r="P13" i="64"/>
  <c r="N13" i="64"/>
  <c r="W13" i="64"/>
  <c r="I13" i="64"/>
  <c r="Y13" i="64"/>
  <c r="D13" i="64"/>
  <c r="Z12" i="64"/>
  <c r="Y12" i="64"/>
  <c r="X12" i="64"/>
  <c r="T12" i="64"/>
  <c r="R12" i="64"/>
  <c r="P12" i="64"/>
  <c r="N12" i="64"/>
  <c r="W12" i="64"/>
  <c r="Z11" i="64"/>
  <c r="X11" i="64"/>
  <c r="T11" i="64"/>
  <c r="P11" i="64"/>
  <c r="N11" i="64"/>
  <c r="W11" i="64"/>
  <c r="I11" i="64"/>
  <c r="R11" i="64"/>
  <c r="D11" i="64"/>
  <c r="X10" i="64"/>
  <c r="P10" i="64"/>
  <c r="N10" i="64"/>
  <c r="W10" i="64"/>
  <c r="K10" i="64"/>
  <c r="Z10" i="64"/>
  <c r="I10" i="64"/>
  <c r="Y10" i="64"/>
  <c r="D10" i="64"/>
  <c r="Z9" i="64"/>
  <c r="Y9" i="64"/>
  <c r="X9" i="64"/>
  <c r="T9" i="64"/>
  <c r="R9" i="64"/>
  <c r="P9" i="64"/>
  <c r="N9" i="64"/>
  <c r="W9" i="64"/>
  <c r="Z8" i="64"/>
  <c r="Y8" i="64"/>
  <c r="X8" i="64"/>
  <c r="T8" i="64"/>
  <c r="R8" i="64"/>
  <c r="P8" i="64"/>
  <c r="N8" i="64"/>
  <c r="W8" i="64"/>
  <c r="D8" i="64"/>
  <c r="Z7" i="64"/>
  <c r="Y7" i="64"/>
  <c r="X7" i="64"/>
  <c r="T7" i="64"/>
  <c r="R7" i="64"/>
  <c r="P7" i="64"/>
  <c r="N7" i="64"/>
  <c r="W7" i="64"/>
  <c r="Z6" i="64"/>
  <c r="Y6" i="64"/>
  <c r="X6" i="64"/>
  <c r="T6" i="64"/>
  <c r="R6" i="64"/>
  <c r="P6" i="64"/>
  <c r="K5" i="64"/>
  <c r="Z5" i="64"/>
  <c r="I5" i="64"/>
  <c r="Y5" i="64"/>
  <c r="G5" i="64"/>
  <c r="X5" i="64"/>
  <c r="O27" i="64"/>
  <c r="D5" i="64"/>
  <c r="J4" i="64"/>
  <c r="H4" i="64"/>
  <c r="F4" i="64"/>
  <c r="D4" i="64"/>
  <c r="F37" i="44"/>
  <c r="K33" i="44"/>
  <c r="G30" i="44"/>
  <c r="G28" i="44"/>
  <c r="G35" i="44"/>
  <c r="G23" i="44"/>
  <c r="G21" i="44"/>
  <c r="D27" i="44"/>
  <c r="G20" i="44"/>
  <c r="G18" i="44"/>
  <c r="G15" i="44"/>
  <c r="F14" i="44"/>
  <c r="E14" i="44"/>
  <c r="D14" i="44"/>
  <c r="C14" i="44"/>
  <c r="B14" i="44"/>
  <c r="F13" i="44"/>
  <c r="E13" i="44"/>
  <c r="C13" i="44"/>
  <c r="B13" i="44"/>
  <c r="F12" i="44"/>
  <c r="E12" i="44"/>
  <c r="D12" i="44"/>
  <c r="B12" i="44"/>
  <c r="E8" i="44"/>
  <c r="D8" i="44"/>
  <c r="D40" i="44"/>
  <c r="N37" i="57"/>
  <c r="O34" i="57"/>
  <c r="K34" i="57"/>
  <c r="L36" i="57"/>
  <c r="I34" i="57"/>
  <c r="J36" i="57"/>
  <c r="G34" i="57"/>
  <c r="H36" i="57"/>
  <c r="E34" i="57"/>
  <c r="F36" i="57"/>
  <c r="C34" i="57"/>
  <c r="D36" i="57"/>
  <c r="M33" i="57"/>
  <c r="J33" i="57"/>
  <c r="L33" i="57"/>
  <c r="D32" i="57"/>
  <c r="E32" i="57"/>
  <c r="F32" i="57"/>
  <c r="G21" i="57"/>
  <c r="I21" i="57"/>
  <c r="K21" i="57"/>
  <c r="F21" i="57"/>
  <c r="M21" i="57"/>
  <c r="M20" i="57"/>
  <c r="M18" i="57"/>
  <c r="L18" i="57"/>
  <c r="K18" i="57"/>
  <c r="J18" i="57"/>
  <c r="I18" i="57"/>
  <c r="H18" i="57"/>
  <c r="G18" i="57"/>
  <c r="F18" i="57"/>
  <c r="E18" i="57"/>
  <c r="D18" i="57"/>
  <c r="C18" i="57"/>
  <c r="O14" i="57"/>
  <c r="O13" i="57"/>
  <c r="O12" i="57"/>
  <c r="L12" i="57"/>
  <c r="M34" i="57"/>
  <c r="E12" i="57"/>
  <c r="F34" i="57"/>
  <c r="O11" i="57"/>
  <c r="O10" i="57"/>
  <c r="O9" i="57"/>
  <c r="C9" i="57"/>
  <c r="D20" i="57"/>
  <c r="O8" i="57"/>
  <c r="O7" i="57"/>
  <c r="O6" i="57"/>
  <c r="O5" i="57"/>
  <c r="O4" i="57"/>
  <c r="K3" i="57"/>
  <c r="J58" i="54"/>
  <c r="G58" i="54"/>
  <c r="D58" i="54"/>
  <c r="P58" i="54"/>
  <c r="G56" i="54"/>
  <c r="D56" i="54"/>
  <c r="K56" i="54"/>
  <c r="G55" i="54"/>
  <c r="D55" i="54"/>
  <c r="K55" i="54"/>
  <c r="G54" i="54"/>
  <c r="D54" i="54"/>
  <c r="D57" i="54"/>
  <c r="H10" i="57"/>
  <c r="C54" i="54"/>
  <c r="J52" i="54"/>
  <c r="G52" i="54"/>
  <c r="D52" i="54"/>
  <c r="P52" i="54"/>
  <c r="J51" i="54"/>
  <c r="G51" i="54"/>
  <c r="D51" i="54"/>
  <c r="P51" i="54"/>
  <c r="J50" i="54"/>
  <c r="G50" i="54"/>
  <c r="D50" i="54"/>
  <c r="P50" i="54"/>
  <c r="J48" i="54"/>
  <c r="G48" i="54"/>
  <c r="D48" i="54"/>
  <c r="P48" i="54"/>
  <c r="J47" i="54"/>
  <c r="G47" i="54"/>
  <c r="C47" i="54"/>
  <c r="D47" i="54"/>
  <c r="J46" i="54"/>
  <c r="G46" i="54"/>
  <c r="H46" i="54"/>
  <c r="C46" i="54"/>
  <c r="D46" i="54"/>
  <c r="J45" i="54"/>
  <c r="G45" i="54"/>
  <c r="D45" i="54"/>
  <c r="P45" i="54"/>
  <c r="J44" i="54"/>
  <c r="G44" i="54"/>
  <c r="D44" i="54"/>
  <c r="K44" i="54"/>
  <c r="J43" i="54"/>
  <c r="G43" i="54"/>
  <c r="D43" i="54"/>
  <c r="P43" i="54"/>
  <c r="J42" i="54"/>
  <c r="G42" i="54"/>
  <c r="D42" i="54"/>
  <c r="K42" i="54"/>
  <c r="J41" i="54"/>
  <c r="G41" i="54"/>
  <c r="D41" i="54"/>
  <c r="P41" i="54"/>
  <c r="J40" i="54"/>
  <c r="G40" i="54"/>
  <c r="D40" i="54"/>
  <c r="K40" i="54"/>
  <c r="J39" i="54"/>
  <c r="G39" i="54"/>
  <c r="D39" i="54"/>
  <c r="P39" i="54"/>
  <c r="J38" i="54"/>
  <c r="G38" i="54"/>
  <c r="H38" i="54"/>
  <c r="D38" i="54"/>
  <c r="K38" i="54"/>
  <c r="J37" i="54"/>
  <c r="G37" i="54"/>
  <c r="D37" i="54"/>
  <c r="P37" i="54"/>
  <c r="J36" i="54"/>
  <c r="G36" i="54"/>
  <c r="D36" i="54"/>
  <c r="K36" i="54"/>
  <c r="J35" i="54"/>
  <c r="G35" i="54"/>
  <c r="D35" i="54"/>
  <c r="P35" i="54"/>
  <c r="J34" i="54"/>
  <c r="G34" i="54"/>
  <c r="D34" i="54"/>
  <c r="K34" i="54"/>
  <c r="J33" i="54"/>
  <c r="G33" i="54"/>
  <c r="C33" i="54"/>
  <c r="D33" i="54"/>
  <c r="J32" i="54"/>
  <c r="G32" i="54"/>
  <c r="D32" i="54"/>
  <c r="P32" i="54"/>
  <c r="J31" i="54"/>
  <c r="G31" i="54"/>
  <c r="D31" i="54"/>
  <c r="K31" i="54"/>
  <c r="K30" i="54"/>
  <c r="J30" i="54"/>
  <c r="P30" i="54"/>
  <c r="G30" i="54"/>
  <c r="L30" i="54"/>
  <c r="M30" i="54"/>
  <c r="J29" i="54"/>
  <c r="G29" i="54"/>
  <c r="D29" i="54"/>
  <c r="P29" i="54"/>
  <c r="J28" i="54"/>
  <c r="G28" i="54"/>
  <c r="D28" i="54"/>
  <c r="K28" i="54"/>
  <c r="J27" i="54"/>
  <c r="G27" i="54"/>
  <c r="D27" i="54"/>
  <c r="P27" i="54"/>
  <c r="J26" i="54"/>
  <c r="G26" i="54"/>
  <c r="D26" i="54"/>
  <c r="K26" i="54"/>
  <c r="J25" i="54"/>
  <c r="G25" i="54"/>
  <c r="D25" i="54"/>
  <c r="P25" i="54"/>
  <c r="J24" i="54"/>
  <c r="G24" i="54"/>
  <c r="D24" i="54"/>
  <c r="J22" i="54"/>
  <c r="G22" i="54"/>
  <c r="D22" i="54"/>
  <c r="K22" i="54"/>
  <c r="J21" i="54"/>
  <c r="G21" i="54"/>
  <c r="D21" i="54"/>
  <c r="P21" i="54"/>
  <c r="J20" i="54"/>
  <c r="G20" i="54"/>
  <c r="D20" i="54"/>
  <c r="K20" i="54"/>
  <c r="K19" i="54"/>
  <c r="J19" i="54"/>
  <c r="P19" i="54"/>
  <c r="G19" i="54"/>
  <c r="L19" i="54"/>
  <c r="M19" i="54"/>
  <c r="G18" i="54"/>
  <c r="L18" i="54"/>
  <c r="M18" i="54"/>
  <c r="D18" i="54"/>
  <c r="P18" i="54"/>
  <c r="J17" i="54"/>
  <c r="G17" i="54"/>
  <c r="D17" i="54"/>
  <c r="P17" i="54"/>
  <c r="G16" i="54"/>
  <c r="D16" i="54"/>
  <c r="K16" i="54"/>
  <c r="J15" i="54"/>
  <c r="G15" i="54"/>
  <c r="D15" i="54"/>
  <c r="K15" i="54"/>
  <c r="K14" i="54"/>
  <c r="J14" i="54"/>
  <c r="P14" i="54"/>
  <c r="G14" i="54"/>
  <c r="L14" i="54"/>
  <c r="M14" i="54"/>
  <c r="J13" i="54"/>
  <c r="G13" i="54"/>
  <c r="D13" i="54"/>
  <c r="P13" i="54"/>
  <c r="J12" i="54"/>
  <c r="G12" i="54"/>
  <c r="C12" i="54"/>
  <c r="D12" i="54"/>
  <c r="K12" i="54"/>
  <c r="J11" i="54"/>
  <c r="G11" i="54"/>
  <c r="L11" i="54"/>
  <c r="M11" i="54"/>
  <c r="D11" i="54"/>
  <c r="K11" i="54"/>
  <c r="C11" i="54"/>
  <c r="G10" i="54"/>
  <c r="D10" i="54"/>
  <c r="K10" i="54"/>
  <c r="J9" i="54"/>
  <c r="G9" i="54"/>
  <c r="D9" i="54"/>
  <c r="K9" i="54"/>
  <c r="J8" i="54"/>
  <c r="G8" i="54"/>
  <c r="D8" i="54"/>
  <c r="P8" i="54"/>
  <c r="J7" i="54"/>
  <c r="G7" i="54"/>
  <c r="C7" i="54"/>
  <c r="D7" i="54"/>
  <c r="J6" i="54"/>
  <c r="G6" i="54"/>
  <c r="D6" i="54"/>
  <c r="K6" i="54"/>
  <c r="J5" i="54"/>
  <c r="G5" i="54"/>
  <c r="D5" i="54"/>
  <c r="G21" i="48"/>
  <c r="J19" i="48"/>
  <c r="G23" i="48"/>
  <c r="G16" i="48"/>
  <c r="G14" i="48"/>
  <c r="G13" i="48"/>
  <c r="G11" i="48"/>
  <c r="G8" i="48"/>
  <c r="F7" i="48"/>
  <c r="E7" i="48"/>
  <c r="D7" i="48"/>
  <c r="C7" i="48"/>
  <c r="B7" i="48"/>
  <c r="F6" i="48"/>
  <c r="E6" i="48"/>
  <c r="C6" i="48"/>
  <c r="B6" i="48"/>
  <c r="K5" i="48"/>
  <c r="D5" i="48"/>
  <c r="B5" i="48"/>
  <c r="R37" i="58"/>
  <c r="S34" i="58"/>
  <c r="Q34" i="58"/>
  <c r="O34" i="58"/>
  <c r="P36" i="58"/>
  <c r="M34" i="58"/>
  <c r="N36" i="58"/>
  <c r="K34" i="58"/>
  <c r="L36" i="58"/>
  <c r="I34" i="58"/>
  <c r="J36" i="58"/>
  <c r="G34" i="58"/>
  <c r="H36" i="58"/>
  <c r="E34" i="58"/>
  <c r="F36" i="58"/>
  <c r="C34" i="58"/>
  <c r="D36" i="58"/>
  <c r="F33" i="58"/>
  <c r="Q33" i="58"/>
  <c r="D32" i="58"/>
  <c r="E32" i="58"/>
  <c r="F32" i="58"/>
  <c r="D25" i="58"/>
  <c r="G21" i="58"/>
  <c r="I21" i="58"/>
  <c r="K21" i="58"/>
  <c r="M21" i="58"/>
  <c r="O21" i="58"/>
  <c r="F21" i="58"/>
  <c r="Q21" i="58"/>
  <c r="Q20" i="58"/>
  <c r="Q18" i="58"/>
  <c r="P18" i="58"/>
  <c r="O18" i="58"/>
  <c r="N18" i="58"/>
  <c r="M18" i="58"/>
  <c r="L18" i="58"/>
  <c r="K18" i="58"/>
  <c r="J18" i="58"/>
  <c r="I18" i="58"/>
  <c r="H18" i="58"/>
  <c r="G18" i="58"/>
  <c r="F18" i="58"/>
  <c r="E18" i="58"/>
  <c r="D18" i="58"/>
  <c r="C18" i="58"/>
  <c r="S16" i="58"/>
  <c r="S15" i="58"/>
  <c r="S14" i="58"/>
  <c r="S13" i="58"/>
  <c r="S12" i="58"/>
  <c r="O12" i="58"/>
  <c r="P34" i="58"/>
  <c r="M12" i="58"/>
  <c r="N34" i="58"/>
  <c r="K12" i="58"/>
  <c r="L34" i="58"/>
  <c r="I12" i="58"/>
  <c r="J34" i="58"/>
  <c r="G12" i="58"/>
  <c r="H34" i="58"/>
  <c r="E12" i="58"/>
  <c r="F34" i="58"/>
  <c r="C12" i="58"/>
  <c r="D34" i="58"/>
  <c r="S11" i="58"/>
  <c r="S10" i="58"/>
  <c r="N10" i="58"/>
  <c r="O19" i="58"/>
  <c r="S9" i="58"/>
  <c r="S8" i="58"/>
  <c r="S7" i="58"/>
  <c r="C7" i="58"/>
  <c r="C9" i="58"/>
  <c r="S6" i="58"/>
  <c r="S5" i="58"/>
  <c r="S4" i="58"/>
  <c r="K3" i="58"/>
  <c r="T118" i="56"/>
  <c r="R118" i="56"/>
  <c r="Q118" i="56"/>
  <c r="L118" i="56"/>
  <c r="K118" i="56"/>
  <c r="G118" i="56"/>
  <c r="F118" i="56"/>
  <c r="P118" i="56"/>
  <c r="E118" i="56"/>
  <c r="D118" i="56"/>
  <c r="N118" i="56"/>
  <c r="C118" i="56"/>
  <c r="I118" i="56"/>
  <c r="AQ93" i="56"/>
  <c r="AR93" i="56"/>
  <c r="P86" i="56"/>
  <c r="O86" i="56"/>
  <c r="L86" i="56"/>
  <c r="L87" i="56"/>
  <c r="L88" i="56"/>
  <c r="L89" i="56"/>
  <c r="L90" i="56"/>
  <c r="K86" i="56"/>
  <c r="K87" i="56"/>
  <c r="K88" i="56"/>
  <c r="K89" i="56"/>
  <c r="K90" i="56"/>
  <c r="J86" i="56"/>
  <c r="T86" i="56"/>
  <c r="I86" i="56"/>
  <c r="G81" i="56"/>
  <c r="AG80" i="56"/>
  <c r="AF80" i="56"/>
  <c r="Y80" i="56"/>
  <c r="J80" i="56"/>
  <c r="T80" i="56"/>
  <c r="Z80" i="56"/>
  <c r="I80" i="56"/>
  <c r="L80" i="56"/>
  <c r="AG79" i="56"/>
  <c r="AF79" i="56"/>
  <c r="H79" i="56"/>
  <c r="F79" i="56"/>
  <c r="E79" i="56"/>
  <c r="L10" i="58"/>
  <c r="C79" i="56"/>
  <c r="T79" i="56"/>
  <c r="Z79" i="56"/>
  <c r="AF77" i="56"/>
  <c r="L77" i="56"/>
  <c r="J77" i="56"/>
  <c r="T77" i="56"/>
  <c r="Z77" i="56"/>
  <c r="AG77" i="56"/>
  <c r="H77" i="56"/>
  <c r="K77" i="56"/>
  <c r="AF76" i="56"/>
  <c r="AA76" i="56"/>
  <c r="V76" i="56"/>
  <c r="J76" i="56"/>
  <c r="I76" i="56"/>
  <c r="H76" i="56"/>
  <c r="F76" i="56"/>
  <c r="C76" i="56"/>
  <c r="AF75" i="56"/>
  <c r="AA75" i="56"/>
  <c r="V75" i="56"/>
  <c r="J75" i="56"/>
  <c r="I75" i="56"/>
  <c r="H75" i="56"/>
  <c r="F75" i="56"/>
  <c r="C75" i="56"/>
  <c r="K75" i="56"/>
  <c r="AF74" i="56"/>
  <c r="AA74" i="56"/>
  <c r="V74" i="56"/>
  <c r="J74" i="56"/>
  <c r="I74" i="56"/>
  <c r="H74" i="56"/>
  <c r="F74" i="56"/>
  <c r="C74" i="56"/>
  <c r="K74" i="56"/>
  <c r="AF73" i="56"/>
  <c r="AA73" i="56"/>
  <c r="V73" i="56"/>
  <c r="J73" i="56"/>
  <c r="I73" i="56"/>
  <c r="H73" i="56"/>
  <c r="F73" i="56"/>
  <c r="C73" i="56"/>
  <c r="K73" i="56"/>
  <c r="AF72" i="56"/>
  <c r="AA72" i="56"/>
  <c r="V72" i="56"/>
  <c r="J72" i="56"/>
  <c r="I72" i="56"/>
  <c r="H72" i="56"/>
  <c r="F72" i="56"/>
  <c r="C72" i="56"/>
  <c r="K72" i="56"/>
  <c r="AF71" i="56"/>
  <c r="AA71" i="56"/>
  <c r="V71" i="56"/>
  <c r="J71" i="56"/>
  <c r="I71" i="56"/>
  <c r="H71" i="56"/>
  <c r="F71" i="56"/>
  <c r="C71" i="56"/>
  <c r="K71" i="56"/>
  <c r="AF70" i="56"/>
  <c r="AA70" i="56"/>
  <c r="V70" i="56"/>
  <c r="J70" i="56"/>
  <c r="I70" i="56"/>
  <c r="H70" i="56"/>
  <c r="F70" i="56"/>
  <c r="C70" i="56"/>
  <c r="K70" i="56"/>
  <c r="AF69" i="56"/>
  <c r="AA69" i="56"/>
  <c r="V69" i="56"/>
  <c r="J69" i="56"/>
  <c r="I69" i="56"/>
  <c r="H69" i="56"/>
  <c r="F69" i="56"/>
  <c r="C69" i="56"/>
  <c r="K69" i="56"/>
  <c r="AF67" i="56"/>
  <c r="AA67" i="56"/>
  <c r="J67" i="56"/>
  <c r="I67" i="56"/>
  <c r="H67" i="56"/>
  <c r="F67" i="56"/>
  <c r="E67" i="56"/>
  <c r="E78" i="56"/>
  <c r="J10" i="58"/>
  <c r="D67" i="56"/>
  <c r="C67" i="56"/>
  <c r="T67" i="56"/>
  <c r="Z67" i="56"/>
  <c r="AG67" i="56"/>
  <c r="L66" i="56"/>
  <c r="H66" i="56"/>
  <c r="L65" i="56"/>
  <c r="H65" i="56"/>
  <c r="L64" i="56"/>
  <c r="H64" i="56"/>
  <c r="L63" i="56"/>
  <c r="H63" i="56"/>
  <c r="E63" i="56"/>
  <c r="H10" i="58"/>
  <c r="C63" i="56"/>
  <c r="T63" i="56"/>
  <c r="Z63" i="56"/>
  <c r="AA61" i="56"/>
  <c r="L61" i="56"/>
  <c r="J61" i="56"/>
  <c r="T61" i="56"/>
  <c r="Z61" i="56"/>
  <c r="H61" i="56"/>
  <c r="K61" i="56"/>
  <c r="F61" i="56"/>
  <c r="D61" i="56"/>
  <c r="S59" i="56"/>
  <c r="S58" i="56"/>
  <c r="S57" i="56"/>
  <c r="S56" i="56"/>
  <c r="S55" i="56"/>
  <c r="S54" i="56"/>
  <c r="S53" i="56"/>
  <c r="S52" i="56"/>
  <c r="S51" i="56"/>
  <c r="S50" i="56"/>
  <c r="S49" i="56"/>
  <c r="S48" i="56"/>
  <c r="S47" i="56"/>
  <c r="S46" i="56"/>
  <c r="S45" i="56"/>
  <c r="S44" i="56"/>
  <c r="S43" i="56"/>
  <c r="S42" i="56"/>
  <c r="S41" i="56"/>
  <c r="S40" i="56"/>
  <c r="S39" i="56"/>
  <c r="AG38" i="56"/>
  <c r="AF38" i="56"/>
  <c r="AA38" i="56"/>
  <c r="L38" i="56"/>
  <c r="J38" i="56"/>
  <c r="T38" i="56"/>
  <c r="Z38" i="56"/>
  <c r="H38" i="56"/>
  <c r="K38" i="56"/>
  <c r="E38" i="56"/>
  <c r="E62" i="56"/>
  <c r="F10" i="58"/>
  <c r="D38" i="56"/>
  <c r="I35" i="56"/>
  <c r="L35" i="56"/>
  <c r="H35" i="56"/>
  <c r="K35" i="56"/>
  <c r="I34" i="56"/>
  <c r="L34" i="56"/>
  <c r="H34" i="56"/>
  <c r="K34" i="56"/>
  <c r="J33" i="56"/>
  <c r="T33" i="56"/>
  <c r="Z33" i="56"/>
  <c r="I33" i="56"/>
  <c r="L33" i="56"/>
  <c r="H33" i="56"/>
  <c r="K33" i="56"/>
  <c r="Y33" i="56"/>
  <c r="F33" i="56"/>
  <c r="D33" i="56"/>
  <c r="J32" i="56"/>
  <c r="H32" i="56"/>
  <c r="E32" i="56"/>
  <c r="E36" i="56"/>
  <c r="D10" i="58"/>
  <c r="C32" i="56"/>
  <c r="C81" i="56"/>
  <c r="S31" i="56"/>
  <c r="S30" i="56"/>
  <c r="S29" i="56"/>
  <c r="S28" i="56"/>
  <c r="S27" i="56"/>
  <c r="L26" i="56"/>
  <c r="H26" i="56"/>
  <c r="K26" i="56"/>
  <c r="L25" i="56"/>
  <c r="H25" i="56"/>
  <c r="K25" i="56"/>
  <c r="AG24" i="56"/>
  <c r="AF24" i="56"/>
  <c r="T24" i="56"/>
  <c r="Z24" i="56"/>
  <c r="L24" i="56"/>
  <c r="H24" i="56"/>
  <c r="K24" i="56"/>
  <c r="Y24" i="56"/>
  <c r="D24" i="56"/>
  <c r="I23" i="56"/>
  <c r="L23" i="56"/>
  <c r="H23" i="56"/>
  <c r="K23" i="56"/>
  <c r="M18" i="56"/>
  <c r="I22" i="56"/>
  <c r="L22" i="56"/>
  <c r="H22" i="56"/>
  <c r="K22" i="56"/>
  <c r="I21" i="56"/>
  <c r="L21" i="56"/>
  <c r="H21" i="56"/>
  <c r="K21" i="56"/>
  <c r="I20" i="56"/>
  <c r="L20" i="56"/>
  <c r="H20" i="56"/>
  <c r="K20" i="56"/>
  <c r="I19" i="56"/>
  <c r="L19" i="56"/>
  <c r="H19" i="56"/>
  <c r="K19" i="56"/>
  <c r="Q18" i="56"/>
  <c r="R18" i="56"/>
  <c r="J18" i="56"/>
  <c r="T18" i="56"/>
  <c r="I18" i="56"/>
  <c r="L18" i="56"/>
  <c r="H18" i="56"/>
  <c r="K18" i="56"/>
  <c r="F18" i="56"/>
  <c r="L16" i="56"/>
  <c r="J16" i="56"/>
  <c r="T16" i="56"/>
  <c r="Z16" i="56"/>
  <c r="H16" i="56"/>
  <c r="K16" i="56"/>
  <c r="D16" i="56"/>
  <c r="E16" i="56"/>
  <c r="AF15" i="56"/>
  <c r="L15" i="56"/>
  <c r="M15" i="56"/>
  <c r="J15" i="56"/>
  <c r="T15" i="56"/>
  <c r="Z15" i="56"/>
  <c r="AG15" i="56"/>
  <c r="H15" i="56"/>
  <c r="K15" i="56"/>
  <c r="S14" i="56"/>
  <c r="S13" i="56"/>
  <c r="S12" i="56"/>
  <c r="S11" i="56"/>
  <c r="S10" i="56"/>
  <c r="S9" i="56"/>
  <c r="L8" i="56"/>
  <c r="J8" i="56"/>
  <c r="T8" i="56"/>
  <c r="Z8" i="56"/>
  <c r="H8" i="56"/>
  <c r="K8" i="56"/>
  <c r="D8" i="56"/>
  <c r="E8" i="56"/>
  <c r="J7" i="56"/>
  <c r="T7" i="56"/>
  <c r="Z7" i="56"/>
  <c r="H7" i="56"/>
  <c r="K7" i="56"/>
  <c r="D7" i="56"/>
  <c r="E7" i="56"/>
  <c r="D20" i="47"/>
  <c r="K18" i="47"/>
  <c r="G23" i="47"/>
  <c r="G16" i="47"/>
  <c r="D17" i="47"/>
  <c r="F7" i="47"/>
  <c r="E7" i="47"/>
  <c r="C7" i="47"/>
  <c r="B7" i="47"/>
  <c r="F6" i="47"/>
  <c r="E6" i="47"/>
  <c r="D6" i="47"/>
  <c r="C6" i="47"/>
  <c r="B6" i="47"/>
  <c r="D5" i="47"/>
  <c r="B5" i="47"/>
  <c r="N37" i="53"/>
  <c r="M34" i="53"/>
  <c r="E34" i="53"/>
  <c r="F36" i="53"/>
  <c r="C34" i="53"/>
  <c r="D36" i="53"/>
  <c r="F33" i="53"/>
  <c r="M33" i="53"/>
  <c r="D32" i="53"/>
  <c r="E32" i="53"/>
  <c r="F32" i="53"/>
  <c r="M32" i="53"/>
  <c r="F21" i="53"/>
  <c r="M21" i="53"/>
  <c r="M20" i="53"/>
  <c r="M18" i="53"/>
  <c r="F18" i="53"/>
  <c r="E18" i="53"/>
  <c r="D18" i="53"/>
  <c r="C18" i="53"/>
  <c r="P16" i="53"/>
  <c r="E12" i="53"/>
  <c r="F34" i="53"/>
  <c r="C12" i="53"/>
  <c r="D34" i="53"/>
  <c r="O9" i="53"/>
  <c r="C9" i="53"/>
  <c r="D20" i="53"/>
  <c r="O8" i="53"/>
  <c r="O7" i="53"/>
  <c r="O6" i="53"/>
  <c r="O5" i="53"/>
  <c r="O4" i="53"/>
  <c r="K3" i="53"/>
  <c r="N22" i="41"/>
  <c r="Y21" i="41"/>
  <c r="X21" i="41"/>
  <c r="W21" i="41"/>
  <c r="S21" i="41"/>
  <c r="Q21" i="41"/>
  <c r="O21" i="41"/>
  <c r="M21" i="41"/>
  <c r="V21" i="41"/>
  <c r="Y20" i="41"/>
  <c r="X20" i="41"/>
  <c r="W20" i="41"/>
  <c r="S20" i="41"/>
  <c r="Q20" i="41"/>
  <c r="O20" i="41"/>
  <c r="M20" i="41"/>
  <c r="V20" i="41"/>
  <c r="Y19" i="41"/>
  <c r="X19" i="41"/>
  <c r="W19" i="41"/>
  <c r="S19" i="41"/>
  <c r="Q19" i="41"/>
  <c r="O19" i="41"/>
  <c r="M19" i="41"/>
  <c r="V19" i="41"/>
  <c r="Y18" i="41"/>
  <c r="X18" i="41"/>
  <c r="W18" i="41"/>
  <c r="S18" i="41"/>
  <c r="Q18" i="41"/>
  <c r="O18" i="41"/>
  <c r="M18" i="41"/>
  <c r="V18" i="41"/>
  <c r="Y17" i="41"/>
  <c r="X17" i="41"/>
  <c r="W17" i="41"/>
  <c r="S17" i="41"/>
  <c r="Q17" i="41"/>
  <c r="O17" i="41"/>
  <c r="M17" i="41"/>
  <c r="V17" i="41"/>
  <c r="Y16" i="41"/>
  <c r="X16" i="41"/>
  <c r="W16" i="41"/>
  <c r="S16" i="41"/>
  <c r="Q16" i="41"/>
  <c r="O16" i="41"/>
  <c r="M16" i="41"/>
  <c r="V16" i="41"/>
  <c r="Y15" i="41"/>
  <c r="X15" i="41"/>
  <c r="W15" i="41"/>
  <c r="U15" i="41"/>
  <c r="S15" i="41"/>
  <c r="Q15" i="41"/>
  <c r="O15" i="41"/>
  <c r="M15" i="41"/>
  <c r="V15" i="41"/>
  <c r="L15" i="41"/>
  <c r="Y14" i="41"/>
  <c r="X14" i="41"/>
  <c r="W14" i="41"/>
  <c r="S14" i="41"/>
  <c r="Q14" i="41"/>
  <c r="O14" i="41"/>
  <c r="M14" i="41"/>
  <c r="V14" i="41"/>
  <c r="Y13" i="41"/>
  <c r="X13" i="41"/>
  <c r="W13" i="41"/>
  <c r="S13" i="41"/>
  <c r="Q13" i="41"/>
  <c r="O13" i="41"/>
  <c r="M13" i="41"/>
  <c r="V13" i="41"/>
  <c r="Y12" i="41"/>
  <c r="X12" i="41"/>
  <c r="W12" i="41"/>
  <c r="S12" i="41"/>
  <c r="Q12" i="41"/>
  <c r="O12" i="41"/>
  <c r="M12" i="41"/>
  <c r="V12" i="41"/>
  <c r="Y11" i="41"/>
  <c r="X11" i="41"/>
  <c r="W11" i="41"/>
  <c r="S11" i="41"/>
  <c r="Q11" i="41"/>
  <c r="O11" i="41"/>
  <c r="M11" i="41"/>
  <c r="V11" i="41"/>
  <c r="Y10" i="41"/>
  <c r="X10" i="41"/>
  <c r="W10" i="41"/>
  <c r="S10" i="41"/>
  <c r="Q10" i="41"/>
  <c r="O10" i="41"/>
  <c r="M10" i="41"/>
  <c r="V10" i="41"/>
  <c r="Y9" i="41"/>
  <c r="X9" i="41"/>
  <c r="W9" i="41"/>
  <c r="U9" i="41"/>
  <c r="S9" i="41"/>
  <c r="Q9" i="41"/>
  <c r="O9" i="41"/>
  <c r="M9" i="41"/>
  <c r="V9" i="41"/>
  <c r="L9" i="41"/>
  <c r="Y8" i="41"/>
  <c r="X8" i="41"/>
  <c r="W8" i="41"/>
  <c r="S8" i="41"/>
  <c r="Q8" i="41"/>
  <c r="O8" i="41"/>
  <c r="M8" i="41"/>
  <c r="V8" i="41"/>
  <c r="Y7" i="41"/>
  <c r="X7" i="41"/>
  <c r="W7" i="41"/>
  <c r="S7" i="41"/>
  <c r="Q7" i="41"/>
  <c r="O7" i="41"/>
  <c r="M7" i="41"/>
  <c r="V7" i="41"/>
  <c r="L7" i="41"/>
  <c r="U7" i="41"/>
  <c r="Y6" i="41"/>
  <c r="X6" i="41"/>
  <c r="W6" i="41"/>
  <c r="S6" i="41"/>
  <c r="Q6" i="41"/>
  <c r="O6" i="41"/>
  <c r="L6" i="41"/>
  <c r="U6" i="41"/>
  <c r="Y5" i="41"/>
  <c r="X5" i="41"/>
  <c r="W5" i="41"/>
  <c r="S5" i="41"/>
  <c r="Q5" i="41"/>
  <c r="O5" i="41"/>
  <c r="L5" i="41"/>
  <c r="U5" i="41"/>
  <c r="R3" i="41"/>
  <c r="Y3" i="41"/>
  <c r="P3" i="41"/>
  <c r="X3" i="41"/>
  <c r="N3" i="41"/>
  <c r="W3" i="41"/>
  <c r="C100" i="55"/>
  <c r="D10" i="53"/>
  <c r="E19" i="53"/>
  <c r="P99" i="55"/>
  <c r="M99" i="55"/>
  <c r="I99" i="55"/>
  <c r="J99" i="55"/>
  <c r="P98" i="55"/>
  <c r="M98" i="55"/>
  <c r="I98" i="55"/>
  <c r="C97" i="55"/>
  <c r="P96" i="55"/>
  <c r="M96" i="55"/>
  <c r="I96" i="55"/>
  <c r="P95" i="55"/>
  <c r="M95" i="55"/>
  <c r="I95" i="55"/>
  <c r="J95" i="55"/>
  <c r="P94" i="55"/>
  <c r="M94" i="55"/>
  <c r="I94" i="55"/>
  <c r="P93" i="55"/>
  <c r="M93" i="55"/>
  <c r="I93" i="55"/>
  <c r="J93" i="55"/>
  <c r="P92" i="55"/>
  <c r="M92" i="55"/>
  <c r="I92" i="55"/>
  <c r="P91" i="55"/>
  <c r="M91" i="55"/>
  <c r="I91" i="55"/>
  <c r="P90" i="55"/>
  <c r="M90" i="55"/>
  <c r="I90" i="55"/>
  <c r="O90" i="55"/>
  <c r="P89" i="55"/>
  <c r="M89" i="55"/>
  <c r="I89" i="55"/>
  <c r="P88" i="55"/>
  <c r="M88" i="55"/>
  <c r="I88" i="55"/>
  <c r="J88" i="55"/>
  <c r="P87" i="55"/>
  <c r="M87" i="55"/>
  <c r="I87" i="55"/>
  <c r="P86" i="55"/>
  <c r="M86" i="55"/>
  <c r="I86" i="55"/>
  <c r="J86" i="55"/>
  <c r="P85" i="55"/>
  <c r="M85" i="55"/>
  <c r="I85" i="55"/>
  <c r="P84" i="55"/>
  <c r="M84" i="55"/>
  <c r="I84" i="55"/>
  <c r="J84" i="55"/>
  <c r="P83" i="55"/>
  <c r="M83" i="55"/>
  <c r="I83" i="55"/>
  <c r="P82" i="55"/>
  <c r="M82" i="55"/>
  <c r="I82" i="55"/>
  <c r="J82" i="55"/>
  <c r="P81" i="55"/>
  <c r="M81" i="55"/>
  <c r="I81" i="55"/>
  <c r="P80" i="55"/>
  <c r="M80" i="55"/>
  <c r="I80" i="55"/>
  <c r="J80" i="55"/>
  <c r="P79" i="55"/>
  <c r="M79" i="55"/>
  <c r="I79" i="55"/>
  <c r="P78" i="55"/>
  <c r="M78" i="55"/>
  <c r="I78" i="55"/>
  <c r="J78" i="55"/>
  <c r="P77" i="55"/>
  <c r="M77" i="55"/>
  <c r="I77" i="55"/>
  <c r="P76" i="55"/>
  <c r="M76" i="55"/>
  <c r="I76" i="55"/>
  <c r="J76" i="55"/>
  <c r="P75" i="55"/>
  <c r="M75" i="55"/>
  <c r="I75" i="55"/>
  <c r="P74" i="55"/>
  <c r="M74" i="55"/>
  <c r="I74" i="55"/>
  <c r="J74" i="55"/>
  <c r="P73" i="55"/>
  <c r="M73" i="55"/>
  <c r="I73" i="55"/>
  <c r="P72" i="55"/>
  <c r="M72" i="55"/>
  <c r="I72" i="55"/>
  <c r="J72" i="55"/>
  <c r="P71" i="55"/>
  <c r="M71" i="55"/>
  <c r="I71" i="55"/>
  <c r="P70" i="55"/>
  <c r="M70" i="55"/>
  <c r="I70" i="55"/>
  <c r="J70" i="55"/>
  <c r="P69" i="55"/>
  <c r="M69" i="55"/>
  <c r="I69" i="55"/>
  <c r="P68" i="55"/>
  <c r="M68" i="55"/>
  <c r="I68" i="55"/>
  <c r="J68" i="55"/>
  <c r="P67" i="55"/>
  <c r="M67" i="55"/>
  <c r="I67" i="55"/>
  <c r="P66" i="55"/>
  <c r="M66" i="55"/>
  <c r="I66" i="55"/>
  <c r="J66" i="55"/>
  <c r="P65" i="55"/>
  <c r="M65" i="55"/>
  <c r="I65" i="55"/>
  <c r="P64" i="55"/>
  <c r="M64" i="55"/>
  <c r="I64" i="55"/>
  <c r="J64" i="55"/>
  <c r="P63" i="55"/>
  <c r="M63" i="55"/>
  <c r="I63" i="55"/>
  <c r="P62" i="55"/>
  <c r="M62" i="55"/>
  <c r="I62" i="55"/>
  <c r="J62" i="55"/>
  <c r="P61" i="55"/>
  <c r="M61" i="55"/>
  <c r="I61" i="55"/>
  <c r="P60" i="55"/>
  <c r="M60" i="55"/>
  <c r="I60" i="55"/>
  <c r="J60" i="55"/>
  <c r="P59" i="55"/>
  <c r="M59" i="55"/>
  <c r="I59" i="55"/>
  <c r="P58" i="55"/>
  <c r="M58" i="55"/>
  <c r="I58" i="55"/>
  <c r="J58" i="55"/>
  <c r="P57" i="55"/>
  <c r="M57" i="55"/>
  <c r="I57" i="55"/>
  <c r="P56" i="55"/>
  <c r="M56" i="55"/>
  <c r="I56" i="55"/>
  <c r="J56" i="55"/>
  <c r="P55" i="55"/>
  <c r="M55" i="55"/>
  <c r="I55" i="55"/>
  <c r="P54" i="55"/>
  <c r="M54" i="55"/>
  <c r="I54" i="55"/>
  <c r="J54" i="55"/>
  <c r="P53" i="55"/>
  <c r="M53" i="55"/>
  <c r="I53" i="55"/>
  <c r="P52" i="55"/>
  <c r="M52" i="55"/>
  <c r="I52" i="55"/>
  <c r="J52" i="55"/>
  <c r="P51" i="55"/>
  <c r="M51" i="55"/>
  <c r="I51" i="55"/>
  <c r="J51" i="55"/>
  <c r="P50" i="55"/>
  <c r="M50" i="55"/>
  <c r="I50" i="55"/>
  <c r="P49" i="55"/>
  <c r="M49" i="55"/>
  <c r="I49" i="55"/>
  <c r="J49" i="55"/>
  <c r="P48" i="55"/>
  <c r="M48" i="55"/>
  <c r="I48" i="55"/>
  <c r="P47" i="55"/>
  <c r="M47" i="55"/>
  <c r="I47" i="55"/>
  <c r="J47" i="55"/>
  <c r="P46" i="55"/>
  <c r="M46" i="55"/>
  <c r="I46" i="55"/>
  <c r="P45" i="55"/>
  <c r="M45" i="55"/>
  <c r="I45" i="55"/>
  <c r="J45" i="55"/>
  <c r="P44" i="55"/>
  <c r="M44" i="55"/>
  <c r="I44" i="55"/>
  <c r="P43" i="55"/>
  <c r="M43" i="55"/>
  <c r="I43" i="55"/>
  <c r="J43" i="55"/>
  <c r="P42" i="55"/>
  <c r="M42" i="55"/>
  <c r="I42" i="55"/>
  <c r="P41" i="55"/>
  <c r="M41" i="55"/>
  <c r="I41" i="55"/>
  <c r="J41" i="55"/>
  <c r="P40" i="55"/>
  <c r="M40" i="55"/>
  <c r="I40" i="55"/>
  <c r="P39" i="55"/>
  <c r="M39" i="55"/>
  <c r="I39" i="55"/>
  <c r="J39" i="55"/>
  <c r="P38" i="55"/>
  <c r="M38" i="55"/>
  <c r="I38" i="55"/>
  <c r="P37" i="55"/>
  <c r="M37" i="55"/>
  <c r="I37" i="55"/>
  <c r="J37" i="55"/>
  <c r="P36" i="55"/>
  <c r="M36" i="55"/>
  <c r="I36" i="55"/>
  <c r="P35" i="55"/>
  <c r="M35" i="55"/>
  <c r="I35" i="55"/>
  <c r="J35" i="55"/>
  <c r="P34" i="55"/>
  <c r="M34" i="55"/>
  <c r="I34" i="55"/>
  <c r="P33" i="55"/>
  <c r="M33" i="55"/>
  <c r="I33" i="55"/>
  <c r="J33" i="55"/>
  <c r="P32" i="55"/>
  <c r="M32" i="55"/>
  <c r="I32" i="55"/>
  <c r="P31" i="55"/>
  <c r="M31" i="55"/>
  <c r="I31" i="55"/>
  <c r="J31" i="55"/>
  <c r="P30" i="55"/>
  <c r="M30" i="55"/>
  <c r="I30" i="55"/>
  <c r="P29" i="55"/>
  <c r="M29" i="55"/>
  <c r="I29" i="55"/>
  <c r="J29" i="55"/>
  <c r="P28" i="55"/>
  <c r="M28" i="55"/>
  <c r="I28" i="55"/>
  <c r="P27" i="55"/>
  <c r="M27" i="55"/>
  <c r="I27" i="55"/>
  <c r="J27" i="55"/>
  <c r="P26" i="55"/>
  <c r="M26" i="55"/>
  <c r="I26" i="55"/>
  <c r="P25" i="55"/>
  <c r="M25" i="55"/>
  <c r="I25" i="55"/>
  <c r="J25" i="55"/>
  <c r="P24" i="55"/>
  <c r="M24" i="55"/>
  <c r="I24" i="55"/>
  <c r="P23" i="55"/>
  <c r="M23" i="55"/>
  <c r="I23" i="55"/>
  <c r="J23" i="55"/>
  <c r="P22" i="55"/>
  <c r="M22" i="55"/>
  <c r="I22" i="55"/>
  <c r="P21" i="55"/>
  <c r="M21" i="55"/>
  <c r="I21" i="55"/>
  <c r="J21" i="55"/>
  <c r="P20" i="55"/>
  <c r="M20" i="55"/>
  <c r="I20" i="55"/>
  <c r="P19" i="55"/>
  <c r="M19" i="55"/>
  <c r="I19" i="55"/>
  <c r="J19" i="55"/>
  <c r="P18" i="55"/>
  <c r="M18" i="55"/>
  <c r="I18" i="55"/>
  <c r="P17" i="55"/>
  <c r="M17" i="55"/>
  <c r="I17" i="55"/>
  <c r="J17" i="55"/>
  <c r="P16" i="55"/>
  <c r="M16" i="55"/>
  <c r="I16" i="55"/>
  <c r="P15" i="55"/>
  <c r="M15" i="55"/>
  <c r="I15" i="55"/>
  <c r="J15" i="55"/>
  <c r="P14" i="55"/>
  <c r="M14" i="55"/>
  <c r="I14" i="55"/>
  <c r="P13" i="55"/>
  <c r="M13" i="55"/>
  <c r="I13" i="55"/>
  <c r="J13" i="55"/>
  <c r="P12" i="55"/>
  <c r="M12" i="55"/>
  <c r="I12" i="55"/>
  <c r="P11" i="55"/>
  <c r="M11" i="55"/>
  <c r="I11" i="55"/>
  <c r="J11" i="55"/>
  <c r="P10" i="55"/>
  <c r="M10" i="55"/>
  <c r="P9" i="55"/>
  <c r="M9" i="55"/>
  <c r="I9" i="55"/>
  <c r="J9" i="55"/>
  <c r="P8" i="55"/>
  <c r="M8" i="55"/>
  <c r="I8" i="55"/>
  <c r="P7" i="55"/>
  <c r="M7" i="55"/>
  <c r="I7" i="55"/>
  <c r="J7" i="55"/>
  <c r="P6" i="55"/>
  <c r="M6" i="55"/>
  <c r="I6" i="55"/>
  <c r="P5" i="55"/>
  <c r="M5" i="55"/>
  <c r="I5" i="55"/>
  <c r="J5" i="55"/>
  <c r="P4" i="55"/>
  <c r="M4" i="55"/>
  <c r="I4" i="55"/>
  <c r="B10" i="29"/>
  <c r="J10" i="29"/>
  <c r="L10" i="53"/>
  <c r="P23" i="41"/>
  <c r="F81" i="56"/>
  <c r="G93" i="56"/>
  <c r="I93" i="56"/>
  <c r="D32" i="56"/>
  <c r="D81" i="56"/>
  <c r="F32" i="56"/>
  <c r="T32" i="56"/>
  <c r="Z32" i="56"/>
  <c r="K76" i="56"/>
  <c r="H86" i="56"/>
  <c r="E7" i="57"/>
  <c r="E9" i="57"/>
  <c r="I12" i="57"/>
  <c r="J34" i="57"/>
  <c r="E11" i="44"/>
  <c r="E17" i="44"/>
  <c r="D17" i="44"/>
  <c r="P22" i="51"/>
  <c r="L4" i="62"/>
  <c r="J69" i="55"/>
  <c r="E69" i="55"/>
  <c r="D69" i="55"/>
  <c r="F69" i="55"/>
  <c r="J67" i="55"/>
  <c r="E67" i="55"/>
  <c r="D67" i="55"/>
  <c r="F67" i="55"/>
  <c r="J73" i="55"/>
  <c r="E73" i="55"/>
  <c r="D73" i="55"/>
  <c r="F73" i="55"/>
  <c r="J9" i="29"/>
  <c r="N23" i="41"/>
  <c r="R23" i="41"/>
  <c r="D7" i="47"/>
  <c r="D4" i="47"/>
  <c r="K32" i="56"/>
  <c r="L32" i="56"/>
  <c r="D63" i="56"/>
  <c r="F63" i="56"/>
  <c r="T5" i="64"/>
  <c r="Y11" i="64"/>
  <c r="F41" i="62"/>
  <c r="D23" i="77"/>
  <c r="H23" i="77"/>
  <c r="C40" i="77"/>
  <c r="L11" i="53"/>
  <c r="M22" i="53"/>
  <c r="E17" i="56"/>
  <c r="L81" i="56"/>
  <c r="I81" i="56"/>
  <c r="K64" i="56"/>
  <c r="K66" i="56"/>
  <c r="L79" i="56"/>
  <c r="M118" i="56"/>
  <c r="O10" i="58"/>
  <c r="E4" i="48"/>
  <c r="E10" i="48"/>
  <c r="D10" i="48"/>
  <c r="D6" i="48"/>
  <c r="D4" i="48"/>
  <c r="D17" i="48"/>
  <c r="D23" i="54"/>
  <c r="L10" i="54"/>
  <c r="M10" i="54"/>
  <c r="P11" i="54"/>
  <c r="L12" i="54"/>
  <c r="M12" i="54"/>
  <c r="L16" i="54"/>
  <c r="M16" i="54"/>
  <c r="K51" i="54"/>
  <c r="L54" i="54"/>
  <c r="M54" i="54"/>
  <c r="L55" i="54"/>
  <c r="M55" i="54"/>
  <c r="L56" i="54"/>
  <c r="M56" i="54"/>
  <c r="D13" i="44"/>
  <c r="Q27" i="64"/>
  <c r="P5" i="64"/>
  <c r="N22" i="51"/>
  <c r="R22" i="51"/>
  <c r="D13" i="49"/>
  <c r="C8" i="62"/>
  <c r="G5" i="62"/>
  <c r="K5" i="62"/>
  <c r="K6" i="62"/>
  <c r="D7" i="62"/>
  <c r="G7" i="62"/>
  <c r="F23" i="77"/>
  <c r="J23" i="77"/>
  <c r="J4" i="55"/>
  <c r="E4" i="55"/>
  <c r="D4" i="55"/>
  <c r="F4" i="55"/>
  <c r="J8" i="55"/>
  <c r="E8" i="55"/>
  <c r="D8" i="55"/>
  <c r="F8" i="55"/>
  <c r="J12" i="55"/>
  <c r="E12" i="55"/>
  <c r="D12" i="55"/>
  <c r="F12" i="55"/>
  <c r="J16" i="55"/>
  <c r="E16" i="55"/>
  <c r="D16" i="55"/>
  <c r="F16" i="55"/>
  <c r="J20" i="55"/>
  <c r="E20" i="55"/>
  <c r="D20" i="55"/>
  <c r="F20" i="55"/>
  <c r="J24" i="55"/>
  <c r="E24" i="55"/>
  <c r="D24" i="55"/>
  <c r="F24" i="55"/>
  <c r="J28" i="55"/>
  <c r="E28" i="55"/>
  <c r="D28" i="55"/>
  <c r="F28" i="55"/>
  <c r="J32" i="55"/>
  <c r="E32" i="55"/>
  <c r="D32" i="55"/>
  <c r="F32" i="55"/>
  <c r="K5" i="55"/>
  <c r="L5" i="55"/>
  <c r="Q5" i="55"/>
  <c r="Q7" i="55"/>
  <c r="K7" i="55"/>
  <c r="L7" i="55"/>
  <c r="Q9" i="55"/>
  <c r="K9" i="55"/>
  <c r="L9" i="55"/>
  <c r="Q11" i="55"/>
  <c r="K11" i="55"/>
  <c r="L11" i="55"/>
  <c r="Q13" i="55"/>
  <c r="K13" i="55"/>
  <c r="L13" i="55"/>
  <c r="Q15" i="55"/>
  <c r="K15" i="55"/>
  <c r="L15" i="55"/>
  <c r="Q17" i="55"/>
  <c r="K17" i="55"/>
  <c r="L17" i="55"/>
  <c r="Q19" i="55"/>
  <c r="K19" i="55"/>
  <c r="L19" i="55"/>
  <c r="Q21" i="55"/>
  <c r="K21" i="55"/>
  <c r="L21" i="55"/>
  <c r="Q23" i="55"/>
  <c r="K23" i="55"/>
  <c r="L23" i="55"/>
  <c r="Q25" i="55"/>
  <c r="K25" i="55"/>
  <c r="L25" i="55"/>
  <c r="Q27" i="55"/>
  <c r="K27" i="55"/>
  <c r="L27" i="55"/>
  <c r="Q29" i="55"/>
  <c r="K29" i="55"/>
  <c r="L29" i="55"/>
  <c r="Q31" i="55"/>
  <c r="K31" i="55"/>
  <c r="L31" i="55"/>
  <c r="Q33" i="55"/>
  <c r="K33" i="55"/>
  <c r="L33" i="55"/>
  <c r="Q35" i="55"/>
  <c r="K35" i="55"/>
  <c r="L35" i="55"/>
  <c r="Q37" i="55"/>
  <c r="K37" i="55"/>
  <c r="L37" i="55"/>
  <c r="Q39" i="55"/>
  <c r="K39" i="55"/>
  <c r="L39" i="55"/>
  <c r="Q41" i="55"/>
  <c r="K41" i="55"/>
  <c r="L41" i="55"/>
  <c r="Q43" i="55"/>
  <c r="K43" i="55"/>
  <c r="L43" i="55"/>
  <c r="Q45" i="55"/>
  <c r="K45" i="55"/>
  <c r="L45" i="55"/>
  <c r="Q47" i="55"/>
  <c r="K47" i="55"/>
  <c r="L47" i="55"/>
  <c r="Q49" i="55"/>
  <c r="K49" i="55"/>
  <c r="L49" i="55"/>
  <c r="Q51" i="55"/>
  <c r="K51" i="55"/>
  <c r="L51" i="55"/>
  <c r="J6" i="55"/>
  <c r="E6" i="55"/>
  <c r="D6" i="55"/>
  <c r="F6" i="55"/>
  <c r="M100" i="55"/>
  <c r="I10" i="55"/>
  <c r="J14" i="55"/>
  <c r="E14" i="55"/>
  <c r="D14" i="55"/>
  <c r="F14" i="55"/>
  <c r="J18" i="55"/>
  <c r="E18" i="55"/>
  <c r="D18" i="55"/>
  <c r="F18" i="55"/>
  <c r="J22" i="55"/>
  <c r="E22" i="55"/>
  <c r="D22" i="55"/>
  <c r="F22" i="55"/>
  <c r="J26" i="55"/>
  <c r="E26" i="55"/>
  <c r="D26" i="55"/>
  <c r="F26" i="55"/>
  <c r="J30" i="55"/>
  <c r="E30" i="55"/>
  <c r="D30" i="55"/>
  <c r="F30" i="55"/>
  <c r="J34" i="55"/>
  <c r="E34" i="55"/>
  <c r="D34" i="55"/>
  <c r="F34" i="55"/>
  <c r="J36" i="55"/>
  <c r="E36" i="55"/>
  <c r="D36" i="55"/>
  <c r="F36" i="55"/>
  <c r="J38" i="55"/>
  <c r="E38" i="55"/>
  <c r="D38" i="55"/>
  <c r="F38" i="55"/>
  <c r="J40" i="55"/>
  <c r="E40" i="55"/>
  <c r="D40" i="55"/>
  <c r="F40" i="55"/>
  <c r="J42" i="55"/>
  <c r="E42" i="55"/>
  <c r="J44" i="55"/>
  <c r="E44" i="55"/>
  <c r="D44" i="55"/>
  <c r="F44" i="55"/>
  <c r="J46" i="55"/>
  <c r="E46" i="55"/>
  <c r="J48" i="55"/>
  <c r="E48" i="55"/>
  <c r="D48" i="55"/>
  <c r="F48" i="55"/>
  <c r="J50" i="55"/>
  <c r="E50" i="55"/>
  <c r="Q52" i="55"/>
  <c r="K52" i="55"/>
  <c r="L52" i="55"/>
  <c r="Q54" i="55"/>
  <c r="K54" i="55"/>
  <c r="L54" i="55"/>
  <c r="Q56" i="55"/>
  <c r="K56" i="55"/>
  <c r="L56" i="55"/>
  <c r="Q58" i="55"/>
  <c r="K58" i="55"/>
  <c r="L58" i="55"/>
  <c r="Q60" i="55"/>
  <c r="K60" i="55"/>
  <c r="L60" i="55"/>
  <c r="Q62" i="55"/>
  <c r="K62" i="55"/>
  <c r="L62" i="55"/>
  <c r="E5" i="55"/>
  <c r="D5" i="55"/>
  <c r="F5" i="55"/>
  <c r="E7" i="55"/>
  <c r="D7" i="55"/>
  <c r="F7" i="55"/>
  <c r="E9" i="55"/>
  <c r="D9" i="55"/>
  <c r="F9" i="55"/>
  <c r="E11" i="55"/>
  <c r="D11" i="55"/>
  <c r="F11" i="55"/>
  <c r="E13" i="55"/>
  <c r="D13" i="55"/>
  <c r="F13" i="55"/>
  <c r="E15" i="55"/>
  <c r="D15" i="55"/>
  <c r="F15" i="55"/>
  <c r="E17" i="55"/>
  <c r="D17" i="55"/>
  <c r="F17" i="55"/>
  <c r="E19" i="55"/>
  <c r="D19" i="55"/>
  <c r="F19" i="55"/>
  <c r="E21" i="55"/>
  <c r="D21" i="55"/>
  <c r="F21" i="55"/>
  <c r="E23" i="55"/>
  <c r="D23" i="55"/>
  <c r="F23" i="55"/>
  <c r="E25" i="55"/>
  <c r="D25" i="55"/>
  <c r="F25" i="55"/>
  <c r="E27" i="55"/>
  <c r="E29" i="55"/>
  <c r="D29" i="55"/>
  <c r="F29" i="55"/>
  <c r="E31" i="55"/>
  <c r="D31" i="55"/>
  <c r="F31" i="55"/>
  <c r="E33" i="55"/>
  <c r="D33" i="55"/>
  <c r="F33" i="55"/>
  <c r="E35" i="55"/>
  <c r="D35" i="55"/>
  <c r="F35" i="55"/>
  <c r="E37" i="55"/>
  <c r="D37" i="55"/>
  <c r="F37" i="55"/>
  <c r="E39" i="55"/>
  <c r="D39" i="55"/>
  <c r="F39" i="55"/>
  <c r="E41" i="55"/>
  <c r="D41" i="55"/>
  <c r="F41" i="55"/>
  <c r="E43" i="55"/>
  <c r="D43" i="55"/>
  <c r="F43" i="55"/>
  <c r="E45" i="55"/>
  <c r="D45" i="55"/>
  <c r="F45" i="55"/>
  <c r="E47" i="55"/>
  <c r="E49" i="55"/>
  <c r="D49" i="55"/>
  <c r="F49" i="55"/>
  <c r="E51" i="55"/>
  <c r="D51" i="55"/>
  <c r="F51" i="55"/>
  <c r="E52" i="55"/>
  <c r="D52" i="55"/>
  <c r="F52" i="55"/>
  <c r="J53" i="55"/>
  <c r="E53" i="55"/>
  <c r="D53" i="55"/>
  <c r="F53" i="55"/>
  <c r="E54" i="55"/>
  <c r="D54" i="55"/>
  <c r="F54" i="55"/>
  <c r="J55" i="55"/>
  <c r="E55" i="55"/>
  <c r="D55" i="55"/>
  <c r="F55" i="55"/>
  <c r="E56" i="55"/>
  <c r="D56" i="55"/>
  <c r="F56" i="55"/>
  <c r="J57" i="55"/>
  <c r="E57" i="55"/>
  <c r="D57" i="55"/>
  <c r="F57" i="55"/>
  <c r="E58" i="55"/>
  <c r="D58" i="55"/>
  <c r="F58" i="55"/>
  <c r="J59" i="55"/>
  <c r="E59" i="55"/>
  <c r="D59" i="55"/>
  <c r="F59" i="55"/>
  <c r="E60" i="55"/>
  <c r="D60" i="55"/>
  <c r="F60" i="55"/>
  <c r="J61" i="55"/>
  <c r="E61" i="55"/>
  <c r="D61" i="55"/>
  <c r="F61" i="55"/>
  <c r="E62" i="55"/>
  <c r="D62" i="55"/>
  <c r="F62" i="55"/>
  <c r="J63" i="55"/>
  <c r="E63" i="55"/>
  <c r="D63" i="55"/>
  <c r="F63" i="55"/>
  <c r="J65" i="55"/>
  <c r="E65" i="55"/>
  <c r="D65" i="55"/>
  <c r="F65" i="55"/>
  <c r="Q68" i="55"/>
  <c r="K68" i="55"/>
  <c r="L68" i="55"/>
  <c r="Q69" i="55"/>
  <c r="K69" i="55"/>
  <c r="L69" i="55"/>
  <c r="J71" i="55"/>
  <c r="E71" i="55"/>
  <c r="D71" i="55"/>
  <c r="F71" i="55"/>
  <c r="Q74" i="55"/>
  <c r="K74" i="55"/>
  <c r="L74" i="55"/>
  <c r="Q76" i="55"/>
  <c r="K76" i="55"/>
  <c r="L76" i="55"/>
  <c r="Q78" i="55"/>
  <c r="K78" i="55"/>
  <c r="L78" i="55"/>
  <c r="Q80" i="55"/>
  <c r="K80" i="55"/>
  <c r="L80" i="55"/>
  <c r="Q82" i="55"/>
  <c r="K82" i="55"/>
  <c r="L82" i="55"/>
  <c r="Q84" i="55"/>
  <c r="K84" i="55"/>
  <c r="L84" i="55"/>
  <c r="Q86" i="55"/>
  <c r="K86" i="55"/>
  <c r="L86" i="55"/>
  <c r="Q88" i="55"/>
  <c r="K88" i="55"/>
  <c r="L88" i="55"/>
  <c r="J92" i="55"/>
  <c r="E92" i="55"/>
  <c r="D92" i="55"/>
  <c r="F92" i="55"/>
  <c r="J94" i="55"/>
  <c r="E94" i="55"/>
  <c r="D94" i="55"/>
  <c r="F94" i="55"/>
  <c r="J96" i="55"/>
  <c r="E96" i="55"/>
  <c r="D96" i="55"/>
  <c r="F96" i="55"/>
  <c r="J98" i="55"/>
  <c r="E98" i="55"/>
  <c r="D98" i="55"/>
  <c r="F98" i="55"/>
  <c r="N24" i="41"/>
  <c r="N25" i="41"/>
  <c r="D11" i="47"/>
  <c r="D8" i="47"/>
  <c r="D9" i="47"/>
  <c r="Y7" i="56"/>
  <c r="Q7" i="56"/>
  <c r="M7" i="56"/>
  <c r="Y15" i="56"/>
  <c r="Q15" i="56"/>
  <c r="Y16" i="56"/>
  <c r="Q16" i="56"/>
  <c r="M16" i="56"/>
  <c r="T81" i="56"/>
  <c r="J81" i="56"/>
  <c r="Z18" i="56"/>
  <c r="Z81" i="56"/>
  <c r="S18" i="56"/>
  <c r="P18" i="56"/>
  <c r="Y32" i="56"/>
  <c r="Q32" i="56"/>
  <c r="M32" i="56"/>
  <c r="Y38" i="56"/>
  <c r="Q38" i="56"/>
  <c r="M38" i="56"/>
  <c r="Q64" i="55"/>
  <c r="K64" i="55"/>
  <c r="L64" i="55"/>
  <c r="Q66" i="55"/>
  <c r="K66" i="55"/>
  <c r="L66" i="55"/>
  <c r="Q67" i="55"/>
  <c r="K67" i="55"/>
  <c r="L67" i="55"/>
  <c r="Q70" i="55"/>
  <c r="K70" i="55"/>
  <c r="L70" i="55"/>
  <c r="Q72" i="55"/>
  <c r="K72" i="55"/>
  <c r="L72" i="55"/>
  <c r="Q73" i="55"/>
  <c r="K73" i="55"/>
  <c r="L73" i="55"/>
  <c r="J75" i="55"/>
  <c r="E75" i="55"/>
  <c r="D75" i="55"/>
  <c r="F75" i="55"/>
  <c r="J77" i="55"/>
  <c r="E77" i="55"/>
  <c r="D77" i="55"/>
  <c r="F77" i="55"/>
  <c r="J79" i="55"/>
  <c r="E79" i="55"/>
  <c r="D79" i="55"/>
  <c r="F79" i="55"/>
  <c r="J81" i="55"/>
  <c r="E81" i="55"/>
  <c r="D81" i="55"/>
  <c r="F81" i="55"/>
  <c r="J83" i="55"/>
  <c r="E83" i="55"/>
  <c r="D83" i="55"/>
  <c r="F83" i="55"/>
  <c r="J85" i="55"/>
  <c r="E85" i="55"/>
  <c r="D85" i="55"/>
  <c r="F85" i="55"/>
  <c r="J87" i="55"/>
  <c r="E87" i="55"/>
  <c r="D87" i="55"/>
  <c r="F87" i="55"/>
  <c r="J89" i="55"/>
  <c r="E89" i="55"/>
  <c r="D89" i="55"/>
  <c r="F89" i="55"/>
  <c r="J91" i="55"/>
  <c r="K91" i="55"/>
  <c r="L91" i="55"/>
  <c r="E91" i="55"/>
  <c r="D91" i="55"/>
  <c r="F91" i="55"/>
  <c r="Q93" i="55"/>
  <c r="K93" i="55"/>
  <c r="L93" i="55"/>
  <c r="Q95" i="55"/>
  <c r="K95" i="55"/>
  <c r="L95" i="55"/>
  <c r="Q99" i="55"/>
  <c r="K99" i="55"/>
  <c r="L99" i="55"/>
  <c r="P10" i="58"/>
  <c r="Q19" i="58"/>
  <c r="B10" i="58"/>
  <c r="Y8" i="56"/>
  <c r="Q8" i="56"/>
  <c r="M8" i="56"/>
  <c r="Y61" i="56"/>
  <c r="Q61" i="56"/>
  <c r="M61" i="56"/>
  <c r="E64" i="55"/>
  <c r="D64" i="55"/>
  <c r="F64" i="55"/>
  <c r="E66" i="55"/>
  <c r="D66" i="55"/>
  <c r="F66" i="55"/>
  <c r="E68" i="55"/>
  <c r="D68" i="55"/>
  <c r="F68" i="55"/>
  <c r="E70" i="55"/>
  <c r="D70" i="55"/>
  <c r="F70" i="55"/>
  <c r="E72" i="55"/>
  <c r="D72" i="55"/>
  <c r="F72" i="55"/>
  <c r="E74" i="55"/>
  <c r="D74" i="55"/>
  <c r="F74" i="55"/>
  <c r="E76" i="55"/>
  <c r="D76" i="55"/>
  <c r="F76" i="55"/>
  <c r="E78" i="55"/>
  <c r="D78" i="55"/>
  <c r="F78" i="55"/>
  <c r="E80" i="55"/>
  <c r="D80" i="55"/>
  <c r="F80" i="55"/>
  <c r="E82" i="55"/>
  <c r="D82" i="55"/>
  <c r="F82" i="55"/>
  <c r="E84" i="55"/>
  <c r="D84" i="55"/>
  <c r="F84" i="55"/>
  <c r="E86" i="55"/>
  <c r="D86" i="55"/>
  <c r="F86" i="55"/>
  <c r="E88" i="55"/>
  <c r="D88" i="55"/>
  <c r="F88" i="55"/>
  <c r="E90" i="55"/>
  <c r="D90" i="55"/>
  <c r="J90" i="55"/>
  <c r="E93" i="55"/>
  <c r="D93" i="55"/>
  <c r="F93" i="55"/>
  <c r="E95" i="55"/>
  <c r="D95" i="55"/>
  <c r="F95" i="55"/>
  <c r="E99" i="55"/>
  <c r="D99" i="55"/>
  <c r="F99" i="55"/>
  <c r="E9" i="53"/>
  <c r="F20" i="53"/>
  <c r="E4" i="47"/>
  <c r="E10" i="47"/>
  <c r="D10" i="47"/>
  <c r="N18" i="56"/>
  <c r="E81" i="56"/>
  <c r="Q69" i="56"/>
  <c r="Y69" i="56"/>
  <c r="Q70" i="56"/>
  <c r="Y70" i="56"/>
  <c r="Q71" i="56"/>
  <c r="Y71" i="56"/>
  <c r="Q73" i="56"/>
  <c r="Y73" i="56"/>
  <c r="Q75" i="56"/>
  <c r="Y75" i="56"/>
  <c r="M19" i="58"/>
  <c r="M10" i="58"/>
  <c r="E9" i="58"/>
  <c r="D20" i="58"/>
  <c r="N11" i="54"/>
  <c r="H11" i="54"/>
  <c r="P12" i="54"/>
  <c r="N14" i="54"/>
  <c r="H14" i="54"/>
  <c r="N18" i="54"/>
  <c r="H18" i="54"/>
  <c r="P33" i="54"/>
  <c r="L33" i="54"/>
  <c r="M33" i="54"/>
  <c r="K33" i="54"/>
  <c r="P46" i="54"/>
  <c r="L46" i="54"/>
  <c r="M46" i="54"/>
  <c r="N46" i="54"/>
  <c r="K46" i="54"/>
  <c r="B10" i="53"/>
  <c r="D16" i="53"/>
  <c r="O18" i="56"/>
  <c r="Y18" i="56"/>
  <c r="Y81" i="56"/>
  <c r="M24" i="56"/>
  <c r="Q24" i="56"/>
  <c r="M33" i="56"/>
  <c r="Q33" i="56"/>
  <c r="E19" i="58"/>
  <c r="E10" i="58"/>
  <c r="E11" i="58"/>
  <c r="F22" i="58"/>
  <c r="G19" i="58"/>
  <c r="G10" i="58"/>
  <c r="I19" i="58"/>
  <c r="I10" i="58"/>
  <c r="K19" i="58"/>
  <c r="K10" i="58"/>
  <c r="Q72" i="56"/>
  <c r="Y72" i="56"/>
  <c r="Q74" i="56"/>
  <c r="Y74" i="56"/>
  <c r="Q76" i="56"/>
  <c r="Y76" i="56"/>
  <c r="Y77" i="56"/>
  <c r="Q77" i="56"/>
  <c r="M77" i="56"/>
  <c r="Q32" i="58"/>
  <c r="G32" i="58"/>
  <c r="H32" i="58"/>
  <c r="I32" i="58"/>
  <c r="J32" i="58"/>
  <c r="K32" i="58"/>
  <c r="L32" i="58"/>
  <c r="M32" i="58"/>
  <c r="N32" i="58"/>
  <c r="O32" i="58"/>
  <c r="P32" i="58"/>
  <c r="D11" i="48"/>
  <c r="D9" i="48"/>
  <c r="B10" i="57"/>
  <c r="K7" i="54"/>
  <c r="P7" i="54"/>
  <c r="L7" i="54"/>
  <c r="M7" i="54"/>
  <c r="H10" i="54"/>
  <c r="N10" i="54"/>
  <c r="N12" i="54"/>
  <c r="H12" i="54"/>
  <c r="H16" i="54"/>
  <c r="N16" i="54"/>
  <c r="N19" i="54"/>
  <c r="H19" i="54"/>
  <c r="N30" i="54"/>
  <c r="H30" i="54"/>
  <c r="K63" i="56"/>
  <c r="K65" i="56"/>
  <c r="Y63" i="56"/>
  <c r="K67" i="56"/>
  <c r="D69" i="56"/>
  <c r="M69" i="56"/>
  <c r="L69" i="56"/>
  <c r="T69" i="56"/>
  <c r="Z69" i="56"/>
  <c r="AG69" i="56"/>
  <c r="D70" i="56"/>
  <c r="M70" i="56"/>
  <c r="L70" i="56"/>
  <c r="T70" i="56"/>
  <c r="Z70" i="56"/>
  <c r="AG70" i="56"/>
  <c r="D71" i="56"/>
  <c r="M71" i="56"/>
  <c r="L71" i="56"/>
  <c r="T71" i="56"/>
  <c r="Z71" i="56"/>
  <c r="AG71" i="56"/>
  <c r="D72" i="56"/>
  <c r="M72" i="56"/>
  <c r="L72" i="56"/>
  <c r="T72" i="56"/>
  <c r="Z72" i="56"/>
  <c r="AG72" i="56"/>
  <c r="D73" i="56"/>
  <c r="M73" i="56"/>
  <c r="L73" i="56"/>
  <c r="T73" i="56"/>
  <c r="Z73" i="56"/>
  <c r="AG73" i="56"/>
  <c r="D74" i="56"/>
  <c r="M74" i="56"/>
  <c r="L74" i="56"/>
  <c r="T74" i="56"/>
  <c r="Z74" i="56"/>
  <c r="AG74" i="56"/>
  <c r="D75" i="56"/>
  <c r="M75" i="56"/>
  <c r="L75" i="56"/>
  <c r="T75" i="56"/>
  <c r="Z75" i="56"/>
  <c r="AG75" i="56"/>
  <c r="D76" i="56"/>
  <c r="M76" i="56"/>
  <c r="L76" i="56"/>
  <c r="T76" i="56"/>
  <c r="Z76" i="56"/>
  <c r="AG76" i="56"/>
  <c r="K79" i="56"/>
  <c r="H80" i="56"/>
  <c r="K80" i="56"/>
  <c r="H118" i="56"/>
  <c r="O118" i="56"/>
  <c r="H21" i="58"/>
  <c r="J21" i="58"/>
  <c r="L21" i="58"/>
  <c r="N21" i="58"/>
  <c r="P21" i="58"/>
  <c r="H33" i="58"/>
  <c r="J33" i="58"/>
  <c r="L33" i="58"/>
  <c r="N33" i="58"/>
  <c r="P33" i="58"/>
  <c r="K5" i="54"/>
  <c r="L6" i="54"/>
  <c r="M6" i="54"/>
  <c r="P6" i="54"/>
  <c r="K8" i="54"/>
  <c r="L9" i="54"/>
  <c r="M9" i="54"/>
  <c r="P9" i="54"/>
  <c r="P10" i="54"/>
  <c r="K13" i="54"/>
  <c r="L15" i="54"/>
  <c r="M15" i="54"/>
  <c r="P15" i="54"/>
  <c r="P16" i="54"/>
  <c r="K17" i="54"/>
  <c r="K18" i="54"/>
  <c r="L20" i="54"/>
  <c r="M20" i="54"/>
  <c r="P20" i="54"/>
  <c r="K21" i="54"/>
  <c r="L22" i="54"/>
  <c r="M22" i="54"/>
  <c r="P22" i="54"/>
  <c r="D49" i="54"/>
  <c r="D10" i="57"/>
  <c r="L24" i="54"/>
  <c r="M24" i="54"/>
  <c r="P24" i="54"/>
  <c r="K25" i="54"/>
  <c r="L26" i="54"/>
  <c r="M26" i="54"/>
  <c r="P26" i="54"/>
  <c r="K27" i="54"/>
  <c r="L28" i="54"/>
  <c r="M28" i="54"/>
  <c r="P28" i="54"/>
  <c r="K29" i="54"/>
  <c r="L31" i="54"/>
  <c r="M31" i="54"/>
  <c r="P31" i="54"/>
  <c r="K32" i="54"/>
  <c r="L34" i="54"/>
  <c r="M34" i="54"/>
  <c r="P34" i="54"/>
  <c r="K35" i="54"/>
  <c r="L36" i="54"/>
  <c r="M36" i="54"/>
  <c r="P36" i="54"/>
  <c r="K37" i="54"/>
  <c r="L38" i="54"/>
  <c r="M38" i="54"/>
  <c r="N38" i="54"/>
  <c r="P38" i="54"/>
  <c r="K39" i="54"/>
  <c r="L40" i="54"/>
  <c r="M40" i="54"/>
  <c r="P40" i="54"/>
  <c r="K41" i="54"/>
  <c r="L42" i="54"/>
  <c r="M42" i="54"/>
  <c r="P42" i="54"/>
  <c r="K43" i="54"/>
  <c r="L44" i="54"/>
  <c r="M44" i="54"/>
  <c r="P44" i="54"/>
  <c r="K45" i="54"/>
  <c r="K47" i="54"/>
  <c r="P47" i="54"/>
  <c r="L47" i="54"/>
  <c r="M47" i="54"/>
  <c r="I19" i="57"/>
  <c r="I10" i="57"/>
  <c r="J19" i="57"/>
  <c r="M32" i="57"/>
  <c r="G32" i="57"/>
  <c r="H32" i="57"/>
  <c r="I32" i="57"/>
  <c r="J32" i="57"/>
  <c r="K32" i="57"/>
  <c r="L32" i="57"/>
  <c r="E37" i="44"/>
  <c r="D37" i="44"/>
  <c r="Q31" i="64"/>
  <c r="Q32" i="64"/>
  <c r="H4" i="62"/>
  <c r="M5" i="62"/>
  <c r="I5" i="62"/>
  <c r="L5" i="62"/>
  <c r="H5" i="62"/>
  <c r="K7" i="62"/>
  <c r="J7" i="62"/>
  <c r="J6" i="62"/>
  <c r="J8" i="62"/>
  <c r="J9" i="62"/>
  <c r="M7" i="62"/>
  <c r="I7" i="62"/>
  <c r="L7" i="62"/>
  <c r="H7" i="62"/>
  <c r="G21" i="77"/>
  <c r="G27" i="77"/>
  <c r="I21" i="77"/>
  <c r="I24" i="77"/>
  <c r="I27" i="77"/>
  <c r="L67" i="56"/>
  <c r="D8" i="48"/>
  <c r="D12" i="48"/>
  <c r="D13" i="48"/>
  <c r="L5" i="54"/>
  <c r="M5" i="54"/>
  <c r="P5" i="54"/>
  <c r="L8" i="54"/>
  <c r="M8" i="54"/>
  <c r="L13" i="54"/>
  <c r="M13" i="54"/>
  <c r="L17" i="54"/>
  <c r="M17" i="54"/>
  <c r="L21" i="54"/>
  <c r="M21" i="54"/>
  <c r="K24" i="54"/>
  <c r="L25" i="54"/>
  <c r="M25" i="54"/>
  <c r="L27" i="54"/>
  <c r="M27" i="54"/>
  <c r="L29" i="54"/>
  <c r="M29" i="54"/>
  <c r="L32" i="54"/>
  <c r="M32" i="54"/>
  <c r="L35" i="54"/>
  <c r="M35" i="54"/>
  <c r="L37" i="54"/>
  <c r="M37" i="54"/>
  <c r="L39" i="54"/>
  <c r="M39" i="54"/>
  <c r="L41" i="54"/>
  <c r="M41" i="54"/>
  <c r="L43" i="54"/>
  <c r="M43" i="54"/>
  <c r="L45" i="54"/>
  <c r="M45" i="54"/>
  <c r="H54" i="54"/>
  <c r="N54" i="54"/>
  <c r="H55" i="54"/>
  <c r="N55" i="54"/>
  <c r="H56" i="54"/>
  <c r="N56" i="54"/>
  <c r="F20" i="57"/>
  <c r="G9" i="57"/>
  <c r="D11" i="44"/>
  <c r="D16" i="44"/>
  <c r="O32" i="64"/>
  <c r="O31" i="64"/>
  <c r="S27" i="64"/>
  <c r="D19" i="49"/>
  <c r="D20" i="49"/>
  <c r="D11" i="49"/>
  <c r="M6" i="62"/>
  <c r="I6" i="62"/>
  <c r="L6" i="62"/>
  <c r="K48" i="54"/>
  <c r="K50" i="54"/>
  <c r="L51" i="54"/>
  <c r="M51" i="54"/>
  <c r="K52" i="54"/>
  <c r="D53" i="54"/>
  <c r="F10" i="57"/>
  <c r="P54" i="54"/>
  <c r="P55" i="54"/>
  <c r="P56" i="54"/>
  <c r="K58" i="54"/>
  <c r="D59" i="54"/>
  <c r="J10" i="57"/>
  <c r="H21" i="57"/>
  <c r="J21" i="57"/>
  <c r="L21" i="57"/>
  <c r="D35" i="44"/>
  <c r="R5" i="64"/>
  <c r="T10" i="64"/>
  <c r="T14" i="64"/>
  <c r="R18" i="64"/>
  <c r="D35" i="49"/>
  <c r="D41" i="49"/>
  <c r="D43" i="49"/>
  <c r="D46" i="49"/>
  <c r="D47" i="49"/>
  <c r="K4" i="62"/>
  <c r="M4" i="62"/>
  <c r="L48" i="54"/>
  <c r="M48" i="54"/>
  <c r="L50" i="54"/>
  <c r="M50" i="54"/>
  <c r="L52" i="54"/>
  <c r="M52" i="54"/>
  <c r="K54" i="54"/>
  <c r="L58" i="54"/>
  <c r="M58" i="54"/>
  <c r="R10" i="64"/>
  <c r="R13" i="64"/>
  <c r="T18" i="64"/>
  <c r="R21" i="64"/>
  <c r="E11" i="49"/>
  <c r="E17" i="49"/>
  <c r="D17" i="49"/>
  <c r="D15" i="49"/>
  <c r="F27" i="77"/>
  <c r="F21" i="77"/>
  <c r="F24" i="77"/>
  <c r="H27" i="77"/>
  <c r="H21" i="77"/>
  <c r="H24" i="77"/>
  <c r="J27" i="77"/>
  <c r="J21" i="77"/>
  <c r="J24" i="77"/>
  <c r="E23" i="77"/>
  <c r="G23" i="77"/>
  <c r="C41" i="77"/>
  <c r="C44" i="77"/>
  <c r="J17" i="62"/>
  <c r="D21" i="45"/>
  <c r="M29" i="53"/>
  <c r="M23" i="53"/>
  <c r="M26" i="53"/>
  <c r="M30" i="53"/>
  <c r="M31" i="53"/>
  <c r="M35" i="53"/>
  <c r="M37" i="53"/>
  <c r="F29" i="58"/>
  <c r="F23" i="58"/>
  <c r="C10" i="53"/>
  <c r="E10" i="53"/>
  <c r="B13" i="53"/>
  <c r="D13" i="53"/>
  <c r="L13" i="53"/>
  <c r="M25" i="53"/>
  <c r="C19" i="53"/>
  <c r="M19" i="53"/>
  <c r="P11" i="58"/>
  <c r="Q22" i="58"/>
  <c r="B13" i="58"/>
  <c r="C25" i="58"/>
  <c r="F19" i="58"/>
  <c r="H19" i="58"/>
  <c r="J19" i="58"/>
  <c r="L19" i="58"/>
  <c r="N19" i="58"/>
  <c r="P19" i="58"/>
  <c r="D13" i="58"/>
  <c r="F13" i="58"/>
  <c r="H13" i="58"/>
  <c r="J13" i="58"/>
  <c r="L13" i="58"/>
  <c r="N13" i="58"/>
  <c r="P13" i="58"/>
  <c r="Q25" i="58"/>
  <c r="D20" i="48"/>
  <c r="C12" i="57"/>
  <c r="D34" i="57"/>
  <c r="G12" i="57"/>
  <c r="H34" i="57"/>
  <c r="K12" i="57"/>
  <c r="L34" i="57"/>
  <c r="B13" i="57"/>
  <c r="D13" i="57"/>
  <c r="F13" i="57"/>
  <c r="H13" i="57"/>
  <c r="J13" i="57"/>
  <c r="D16" i="57"/>
  <c r="D24" i="44"/>
  <c r="D24" i="49"/>
  <c r="D34" i="45"/>
  <c r="D15" i="44"/>
  <c r="D16" i="45"/>
  <c r="D34" i="49"/>
  <c r="H28" i="77"/>
  <c r="H29" i="77"/>
  <c r="H33" i="77"/>
  <c r="H34" i="77"/>
  <c r="D26" i="49"/>
  <c r="D23" i="49"/>
  <c r="D18" i="44"/>
  <c r="D19" i="44"/>
  <c r="D20" i="44"/>
  <c r="D26" i="44"/>
  <c r="H6" i="62"/>
  <c r="D12" i="47"/>
  <c r="D13" i="47"/>
  <c r="D19" i="47"/>
  <c r="N23" i="51"/>
  <c r="N24" i="51"/>
  <c r="D16" i="48"/>
  <c r="C45" i="77"/>
  <c r="C51" i="77"/>
  <c r="C48" i="77"/>
  <c r="N50" i="54"/>
  <c r="H50" i="54"/>
  <c r="K19" i="57"/>
  <c r="K10" i="57"/>
  <c r="L19" i="57"/>
  <c r="D18" i="49"/>
  <c r="D16" i="49"/>
  <c r="S32" i="64"/>
  <c r="S31" i="64"/>
  <c r="O28" i="64"/>
  <c r="O30" i="64"/>
  <c r="N43" i="54"/>
  <c r="H43" i="54"/>
  <c r="N39" i="54"/>
  <c r="H39" i="54"/>
  <c r="N35" i="54"/>
  <c r="H35" i="54"/>
  <c r="N29" i="54"/>
  <c r="H29" i="54"/>
  <c r="N25" i="54"/>
  <c r="H25" i="54"/>
  <c r="N21" i="54"/>
  <c r="H21" i="54"/>
  <c r="N13" i="54"/>
  <c r="H13" i="54"/>
  <c r="I28" i="77"/>
  <c r="I29" i="77"/>
  <c r="I33" i="77"/>
  <c r="I34" i="77"/>
  <c r="H8" i="62"/>
  <c r="H9" i="62"/>
  <c r="N44" i="54"/>
  <c r="H44" i="54"/>
  <c r="N40" i="54"/>
  <c r="H40" i="54"/>
  <c r="N36" i="54"/>
  <c r="H36" i="54"/>
  <c r="N31" i="54"/>
  <c r="H31" i="54"/>
  <c r="N26" i="54"/>
  <c r="H26" i="54"/>
  <c r="E19" i="57"/>
  <c r="E10" i="57"/>
  <c r="N22" i="54"/>
  <c r="H22" i="54"/>
  <c r="N15" i="54"/>
  <c r="H15" i="54"/>
  <c r="N9" i="54"/>
  <c r="H9" i="54"/>
  <c r="Q80" i="56"/>
  <c r="M80" i="56"/>
  <c r="Y67" i="56"/>
  <c r="Q67" i="56"/>
  <c r="M67" i="56"/>
  <c r="Q63" i="56"/>
  <c r="M63" i="56"/>
  <c r="O30" i="54"/>
  <c r="I30" i="54"/>
  <c r="O19" i="54"/>
  <c r="I19" i="54"/>
  <c r="O12" i="54"/>
  <c r="I12" i="54"/>
  <c r="C19" i="57"/>
  <c r="C10" i="57"/>
  <c r="O74" i="56"/>
  <c r="R74" i="56"/>
  <c r="N74" i="56"/>
  <c r="O33" i="56"/>
  <c r="R33" i="56"/>
  <c r="N33" i="56"/>
  <c r="O24" i="56"/>
  <c r="R24" i="56"/>
  <c r="N24" i="56"/>
  <c r="O46" i="54"/>
  <c r="I46" i="54"/>
  <c r="I18" i="54"/>
  <c r="O18" i="54"/>
  <c r="O14" i="54"/>
  <c r="I14" i="54"/>
  <c r="O75" i="56"/>
  <c r="R75" i="56"/>
  <c r="N75" i="56"/>
  <c r="O71" i="56"/>
  <c r="R71" i="56"/>
  <c r="N71" i="56"/>
  <c r="O69" i="56"/>
  <c r="R69" i="56"/>
  <c r="N69" i="56"/>
  <c r="Q90" i="55"/>
  <c r="K90" i="55"/>
  <c r="R61" i="56"/>
  <c r="N61" i="56"/>
  <c r="O61" i="56"/>
  <c r="N91" i="55"/>
  <c r="G91" i="55"/>
  <c r="O91" i="55"/>
  <c r="Q89" i="55"/>
  <c r="K89" i="55"/>
  <c r="L89" i="55"/>
  <c r="Q87" i="55"/>
  <c r="K87" i="55"/>
  <c r="L87" i="55"/>
  <c r="Q85" i="55"/>
  <c r="K85" i="55"/>
  <c r="L85" i="55"/>
  <c r="Q83" i="55"/>
  <c r="K83" i="55"/>
  <c r="L83" i="55"/>
  <c r="Q81" i="55"/>
  <c r="K81" i="55"/>
  <c r="L81" i="55"/>
  <c r="Q79" i="55"/>
  <c r="K79" i="55"/>
  <c r="L79" i="55"/>
  <c r="Q77" i="55"/>
  <c r="K77" i="55"/>
  <c r="L77" i="55"/>
  <c r="Q75" i="55"/>
  <c r="K75" i="55"/>
  <c r="L75" i="55"/>
  <c r="R38" i="56"/>
  <c r="N38" i="56"/>
  <c r="O38" i="56"/>
  <c r="R16" i="56"/>
  <c r="N16" i="56"/>
  <c r="O16" i="56"/>
  <c r="R15" i="56"/>
  <c r="N15" i="56"/>
  <c r="O15" i="56"/>
  <c r="O88" i="55"/>
  <c r="N88" i="55"/>
  <c r="G88" i="55"/>
  <c r="O86" i="55"/>
  <c r="N86" i="55"/>
  <c r="G86" i="55"/>
  <c r="O84" i="55"/>
  <c r="N84" i="55"/>
  <c r="G84" i="55"/>
  <c r="O82" i="55"/>
  <c r="N82" i="55"/>
  <c r="G82" i="55"/>
  <c r="O80" i="55"/>
  <c r="N80" i="55"/>
  <c r="G80" i="55"/>
  <c r="O78" i="55"/>
  <c r="N78" i="55"/>
  <c r="G78" i="55"/>
  <c r="O76" i="55"/>
  <c r="N76" i="55"/>
  <c r="G76" i="55"/>
  <c r="O74" i="55"/>
  <c r="N74" i="55"/>
  <c r="G74" i="55"/>
  <c r="N69" i="55"/>
  <c r="G69" i="55"/>
  <c r="O69" i="55"/>
  <c r="O68" i="55"/>
  <c r="N68" i="55"/>
  <c r="G68" i="55"/>
  <c r="Q61" i="55"/>
  <c r="K61" i="55"/>
  <c r="L61" i="55"/>
  <c r="Q57" i="55"/>
  <c r="K57" i="55"/>
  <c r="L57" i="55"/>
  <c r="Q53" i="55"/>
  <c r="K53" i="55"/>
  <c r="L53" i="55"/>
  <c r="D47" i="55"/>
  <c r="F47" i="55"/>
  <c r="G47" i="55"/>
  <c r="D27" i="55"/>
  <c r="F27" i="55"/>
  <c r="G27" i="55"/>
  <c r="O62" i="55"/>
  <c r="G62" i="55"/>
  <c r="N62" i="55"/>
  <c r="O60" i="55"/>
  <c r="G60" i="55"/>
  <c r="N60" i="55"/>
  <c r="O58" i="55"/>
  <c r="G58" i="55"/>
  <c r="N58" i="55"/>
  <c r="O56" i="55"/>
  <c r="G56" i="55"/>
  <c r="N56" i="55"/>
  <c r="O54" i="55"/>
  <c r="G54" i="55"/>
  <c r="N54" i="55"/>
  <c r="O52" i="55"/>
  <c r="G52" i="55"/>
  <c r="N52" i="55"/>
  <c r="G50" i="55"/>
  <c r="D50" i="55"/>
  <c r="F50" i="55"/>
  <c r="G46" i="55"/>
  <c r="D46" i="55"/>
  <c r="F46" i="55"/>
  <c r="G42" i="55"/>
  <c r="D42" i="55"/>
  <c r="F42" i="55"/>
  <c r="J10" i="55"/>
  <c r="E10" i="55"/>
  <c r="D10" i="55"/>
  <c r="F10" i="55"/>
  <c r="N51" i="55"/>
  <c r="O51" i="55"/>
  <c r="G51" i="55"/>
  <c r="O49" i="55"/>
  <c r="N49" i="55"/>
  <c r="G49" i="55"/>
  <c r="O47" i="55"/>
  <c r="N47" i="55"/>
  <c r="O45" i="55"/>
  <c r="N45" i="55"/>
  <c r="G45" i="55"/>
  <c r="O43" i="55"/>
  <c r="N43" i="55"/>
  <c r="G43" i="55"/>
  <c r="O41" i="55"/>
  <c r="N41" i="55"/>
  <c r="G41" i="55"/>
  <c r="O39" i="55"/>
  <c r="N39" i="55"/>
  <c r="G39" i="55"/>
  <c r="O37" i="55"/>
  <c r="N37" i="55"/>
  <c r="G37" i="55"/>
  <c r="O35" i="55"/>
  <c r="N35" i="55"/>
  <c r="G35" i="55"/>
  <c r="O33" i="55"/>
  <c r="N33" i="55"/>
  <c r="G33" i="55"/>
  <c r="O31" i="55"/>
  <c r="N31" i="55"/>
  <c r="G31" i="55"/>
  <c r="O29" i="55"/>
  <c r="N29" i="55"/>
  <c r="G29" i="55"/>
  <c r="O27" i="55"/>
  <c r="N27" i="55"/>
  <c r="O25" i="55"/>
  <c r="N25" i="55"/>
  <c r="G25" i="55"/>
  <c r="O23" i="55"/>
  <c r="N23" i="55"/>
  <c r="G23" i="55"/>
  <c r="O21" i="55"/>
  <c r="N21" i="55"/>
  <c r="G21" i="55"/>
  <c r="O19" i="55"/>
  <c r="N19" i="55"/>
  <c r="G19" i="55"/>
  <c r="O17" i="55"/>
  <c r="N17" i="55"/>
  <c r="G17" i="55"/>
  <c r="O15" i="55"/>
  <c r="N15" i="55"/>
  <c r="G15" i="55"/>
  <c r="O13" i="55"/>
  <c r="N13" i="55"/>
  <c r="G13" i="55"/>
  <c r="O11" i="55"/>
  <c r="N11" i="55"/>
  <c r="G11" i="55"/>
  <c r="O9" i="55"/>
  <c r="N9" i="55"/>
  <c r="G9" i="55"/>
  <c r="N7" i="55"/>
  <c r="G7" i="55"/>
  <c r="O7" i="55"/>
  <c r="D19" i="48"/>
  <c r="F28" i="77"/>
  <c r="F29" i="77"/>
  <c r="F33" i="77"/>
  <c r="F34" i="77"/>
  <c r="N58" i="54"/>
  <c r="H58" i="54"/>
  <c r="N52" i="54"/>
  <c r="H52" i="54"/>
  <c r="N48" i="54"/>
  <c r="H48" i="54"/>
  <c r="I4" i="62"/>
  <c r="G19" i="57"/>
  <c r="G10" i="57"/>
  <c r="N51" i="54"/>
  <c r="H51" i="54"/>
  <c r="I9" i="57"/>
  <c r="H20" i="57"/>
  <c r="O56" i="54"/>
  <c r="I56" i="54"/>
  <c r="O55" i="54"/>
  <c r="I55" i="54"/>
  <c r="N57" i="54"/>
  <c r="O54" i="54"/>
  <c r="I54" i="54"/>
  <c r="N45" i="54"/>
  <c r="H45" i="54"/>
  <c r="N41" i="54"/>
  <c r="H41" i="54"/>
  <c r="N37" i="54"/>
  <c r="H37" i="54"/>
  <c r="N32" i="54"/>
  <c r="H32" i="54"/>
  <c r="N27" i="54"/>
  <c r="H27" i="54"/>
  <c r="N17" i="54"/>
  <c r="H17" i="54"/>
  <c r="N8" i="54"/>
  <c r="H8" i="54"/>
  <c r="N5" i="54"/>
  <c r="H5" i="54"/>
  <c r="G24" i="77"/>
  <c r="G28" i="77"/>
  <c r="G29" i="77"/>
  <c r="G33" i="77"/>
  <c r="G34" i="77"/>
  <c r="L8" i="62"/>
  <c r="N47" i="54"/>
  <c r="H47" i="54"/>
  <c r="N42" i="54"/>
  <c r="H42" i="54"/>
  <c r="O38" i="54"/>
  <c r="I38" i="54"/>
  <c r="N34" i="54"/>
  <c r="H34" i="54"/>
  <c r="N28" i="54"/>
  <c r="H28" i="54"/>
  <c r="N24" i="54"/>
  <c r="H24" i="54"/>
  <c r="N20" i="54"/>
  <c r="H20" i="54"/>
  <c r="N6" i="54"/>
  <c r="H6" i="54"/>
  <c r="Y79" i="56"/>
  <c r="Q79" i="56"/>
  <c r="M79" i="56"/>
  <c r="O16" i="54"/>
  <c r="I16" i="54"/>
  <c r="O10" i="54"/>
  <c r="I10" i="54"/>
  <c r="N7" i="54"/>
  <c r="H7" i="54"/>
  <c r="L10" i="57"/>
  <c r="O77" i="56"/>
  <c r="R77" i="56"/>
  <c r="N77" i="56"/>
  <c r="O76" i="56"/>
  <c r="R76" i="56"/>
  <c r="N76" i="56"/>
  <c r="O72" i="56"/>
  <c r="R72" i="56"/>
  <c r="N72" i="56"/>
  <c r="Q81" i="56"/>
  <c r="K81" i="56"/>
  <c r="M81" i="56"/>
  <c r="N33" i="54"/>
  <c r="H33" i="54"/>
  <c r="O11" i="54"/>
  <c r="I11" i="54"/>
  <c r="F20" i="58"/>
  <c r="G9" i="58"/>
  <c r="O73" i="56"/>
  <c r="R73" i="56"/>
  <c r="N73" i="56"/>
  <c r="O70" i="56"/>
  <c r="R70" i="56"/>
  <c r="N70" i="56"/>
  <c r="R8" i="56"/>
  <c r="N8" i="56"/>
  <c r="O8" i="56"/>
  <c r="C19" i="58"/>
  <c r="C10" i="58"/>
  <c r="O99" i="55"/>
  <c r="N99" i="55"/>
  <c r="G99" i="55"/>
  <c r="O95" i="55"/>
  <c r="N95" i="55"/>
  <c r="G95" i="55"/>
  <c r="O93" i="55"/>
  <c r="N93" i="55"/>
  <c r="G93" i="55"/>
  <c r="N73" i="55"/>
  <c r="G73" i="55"/>
  <c r="O73" i="55"/>
  <c r="O72" i="55"/>
  <c r="N72" i="55"/>
  <c r="G72" i="55"/>
  <c r="O70" i="55"/>
  <c r="N70" i="55"/>
  <c r="G70" i="55"/>
  <c r="N67" i="55"/>
  <c r="G67" i="55"/>
  <c r="O67" i="55"/>
  <c r="O66" i="55"/>
  <c r="N66" i="55"/>
  <c r="G66" i="55"/>
  <c r="O64" i="55"/>
  <c r="N64" i="55"/>
  <c r="G64" i="55"/>
  <c r="R32" i="56"/>
  <c r="N32" i="56"/>
  <c r="O32" i="56"/>
  <c r="R7" i="56"/>
  <c r="N7" i="56"/>
  <c r="O7" i="56"/>
  <c r="Q98" i="55"/>
  <c r="K98" i="55"/>
  <c r="L98" i="55"/>
  <c r="Q96" i="55"/>
  <c r="K96" i="55"/>
  <c r="L96" i="55"/>
  <c r="Q94" i="55"/>
  <c r="K94" i="55"/>
  <c r="L94" i="55"/>
  <c r="Q92" i="55"/>
  <c r="K92" i="55"/>
  <c r="L92" i="55"/>
  <c r="Q71" i="55"/>
  <c r="K71" i="55"/>
  <c r="L71" i="55"/>
  <c r="Q65" i="55"/>
  <c r="K65" i="55"/>
  <c r="L65" i="55"/>
  <c r="Q63" i="55"/>
  <c r="K63" i="55"/>
  <c r="L63" i="55"/>
  <c r="Q59" i="55"/>
  <c r="K59" i="55"/>
  <c r="L59" i="55"/>
  <c r="Q55" i="55"/>
  <c r="K55" i="55"/>
  <c r="L55" i="55"/>
  <c r="Q50" i="55"/>
  <c r="K50" i="55"/>
  <c r="L50" i="55"/>
  <c r="Q48" i="55"/>
  <c r="K48" i="55"/>
  <c r="L48" i="55"/>
  <c r="Q46" i="55"/>
  <c r="K46" i="55"/>
  <c r="L46" i="55"/>
  <c r="Q44" i="55"/>
  <c r="K44" i="55"/>
  <c r="L44" i="55"/>
  <c r="Q42" i="55"/>
  <c r="K42" i="55"/>
  <c r="L42" i="55"/>
  <c r="Q40" i="55"/>
  <c r="K40" i="55"/>
  <c r="L40" i="55"/>
  <c r="Q38" i="55"/>
  <c r="K38" i="55"/>
  <c r="L38" i="55"/>
  <c r="Q36" i="55"/>
  <c r="K36" i="55"/>
  <c r="L36" i="55"/>
  <c r="Q34" i="55"/>
  <c r="K34" i="55"/>
  <c r="L34" i="55"/>
  <c r="Q30" i="55"/>
  <c r="K30" i="55"/>
  <c r="L30" i="55"/>
  <c r="Q26" i="55"/>
  <c r="K26" i="55"/>
  <c r="L26" i="55"/>
  <c r="Q22" i="55"/>
  <c r="K22" i="55"/>
  <c r="L22" i="55"/>
  <c r="Q18" i="55"/>
  <c r="K18" i="55"/>
  <c r="L18" i="55"/>
  <c r="Q14" i="55"/>
  <c r="K14" i="55"/>
  <c r="L14" i="55"/>
  <c r="Q6" i="55"/>
  <c r="K6" i="55"/>
  <c r="L6" i="55"/>
  <c r="O5" i="55"/>
  <c r="N5" i="55"/>
  <c r="G5" i="55"/>
  <c r="Q32" i="55"/>
  <c r="K32" i="55"/>
  <c r="L32" i="55"/>
  <c r="Q28" i="55"/>
  <c r="K28" i="55"/>
  <c r="L28" i="55"/>
  <c r="Q24" i="55"/>
  <c r="K24" i="55"/>
  <c r="L24" i="55"/>
  <c r="Q20" i="55"/>
  <c r="K20" i="55"/>
  <c r="L20" i="55"/>
  <c r="Q16" i="55"/>
  <c r="K16" i="55"/>
  <c r="L16" i="55"/>
  <c r="Q12" i="55"/>
  <c r="K12" i="55"/>
  <c r="L12" i="55"/>
  <c r="Q8" i="55"/>
  <c r="K8" i="55"/>
  <c r="L8" i="55"/>
  <c r="Q4" i="55"/>
  <c r="K4" i="55"/>
  <c r="L4" i="55"/>
  <c r="B9" i="77"/>
  <c r="C20" i="77"/>
  <c r="J18" i="62"/>
  <c r="G18" i="62"/>
  <c r="G17" i="62"/>
  <c r="G23" i="62"/>
  <c r="C9" i="77"/>
  <c r="D20" i="77"/>
  <c r="I13" i="57"/>
  <c r="J25" i="57"/>
  <c r="I25" i="57"/>
  <c r="E13" i="57"/>
  <c r="F25" i="57"/>
  <c r="E25" i="57"/>
  <c r="M25" i="58"/>
  <c r="M13" i="58"/>
  <c r="N25" i="58"/>
  <c r="I25" i="58"/>
  <c r="I13" i="58"/>
  <c r="J25" i="58"/>
  <c r="E25" i="58"/>
  <c r="E13" i="58"/>
  <c r="F25" i="58"/>
  <c r="E13" i="53"/>
  <c r="F25" i="53"/>
  <c r="E25" i="53"/>
  <c r="F19" i="53"/>
  <c r="E11" i="53"/>
  <c r="F22" i="53"/>
  <c r="D17" i="45"/>
  <c r="D20" i="45"/>
  <c r="D26" i="45"/>
  <c r="K13" i="57"/>
  <c r="L25" i="57"/>
  <c r="K25" i="57"/>
  <c r="G13" i="57"/>
  <c r="H25" i="57"/>
  <c r="G25" i="57"/>
  <c r="C13" i="57"/>
  <c r="D25" i="57"/>
  <c r="C25" i="57"/>
  <c r="O25" i="58"/>
  <c r="O13" i="58"/>
  <c r="P25" i="58"/>
  <c r="K25" i="58"/>
  <c r="K13" i="58"/>
  <c r="L25" i="58"/>
  <c r="G25" i="58"/>
  <c r="G13" i="58"/>
  <c r="H25" i="58"/>
  <c r="Q29" i="58"/>
  <c r="Q23" i="58"/>
  <c r="Q26" i="58"/>
  <c r="Q30" i="58"/>
  <c r="Q31" i="58"/>
  <c r="Q35" i="58"/>
  <c r="Q37" i="58"/>
  <c r="C13" i="53"/>
  <c r="D25" i="53"/>
  <c r="C25" i="53"/>
  <c r="D19" i="53"/>
  <c r="C11" i="53"/>
  <c r="D22" i="53"/>
  <c r="D29" i="49"/>
  <c r="D22" i="48"/>
  <c r="P27" i="58"/>
  <c r="C54" i="77"/>
  <c r="L46" i="77"/>
  <c r="L45" i="77"/>
  <c r="L43" i="77"/>
  <c r="E26" i="77"/>
  <c r="L41" i="77"/>
  <c r="C26" i="77"/>
  <c r="L44" i="77"/>
  <c r="L42" i="77"/>
  <c r="D26" i="77"/>
  <c r="C38" i="77"/>
  <c r="N25" i="77"/>
  <c r="C25" i="77"/>
  <c r="N22" i="77"/>
  <c r="C22" i="77"/>
  <c r="L27" i="58"/>
  <c r="O24" i="58"/>
  <c r="G24" i="58"/>
  <c r="Q27" i="58"/>
  <c r="I27" i="58"/>
  <c r="P24" i="58"/>
  <c r="H24" i="58"/>
  <c r="T13" i="58"/>
  <c r="T11" i="58"/>
  <c r="T6" i="58"/>
  <c r="J27" i="58"/>
  <c r="Q24" i="58"/>
  <c r="I24" i="58"/>
  <c r="D24" i="48"/>
  <c r="K27" i="58"/>
  <c r="C27" i="58"/>
  <c r="J24" i="58"/>
  <c r="T16" i="58"/>
  <c r="P28" i="58"/>
  <c r="T12" i="58"/>
  <c r="N28" i="58"/>
  <c r="T9" i="58"/>
  <c r="J28" i="58"/>
  <c r="T4" i="58"/>
  <c r="O6" i="55"/>
  <c r="N6" i="55"/>
  <c r="G6" i="55"/>
  <c r="N14" i="55"/>
  <c r="G14" i="55"/>
  <c r="O14" i="55"/>
  <c r="N18" i="55"/>
  <c r="G18" i="55"/>
  <c r="O18" i="55"/>
  <c r="N22" i="55"/>
  <c r="G22" i="55"/>
  <c r="O22" i="55"/>
  <c r="N26" i="55"/>
  <c r="G26" i="55"/>
  <c r="O26" i="55"/>
  <c r="N30" i="55"/>
  <c r="G30" i="55"/>
  <c r="O30" i="55"/>
  <c r="N34" i="55"/>
  <c r="G34" i="55"/>
  <c r="O34" i="55"/>
  <c r="N36" i="55"/>
  <c r="G36" i="55"/>
  <c r="O36" i="55"/>
  <c r="N38" i="55"/>
  <c r="G38" i="55"/>
  <c r="O38" i="55"/>
  <c r="N40" i="55"/>
  <c r="G40" i="55"/>
  <c r="O40" i="55"/>
  <c r="N42" i="55"/>
  <c r="O42" i="55"/>
  <c r="N44" i="55"/>
  <c r="G44" i="55"/>
  <c r="O44" i="55"/>
  <c r="N46" i="55"/>
  <c r="O46" i="55"/>
  <c r="N48" i="55"/>
  <c r="G48" i="55"/>
  <c r="O48" i="55"/>
  <c r="N50" i="55"/>
  <c r="O50" i="55"/>
  <c r="N55" i="55"/>
  <c r="G55" i="55"/>
  <c r="O55" i="55"/>
  <c r="N59" i="55"/>
  <c r="G59" i="55"/>
  <c r="O59" i="55"/>
  <c r="N63" i="55"/>
  <c r="G63" i="55"/>
  <c r="O63" i="55"/>
  <c r="N65" i="55"/>
  <c r="G65" i="55"/>
  <c r="O65" i="55"/>
  <c r="N71" i="55"/>
  <c r="G71" i="55"/>
  <c r="O71" i="55"/>
  <c r="N92" i="55"/>
  <c r="G92" i="55"/>
  <c r="O92" i="55"/>
  <c r="N94" i="55"/>
  <c r="G94" i="55"/>
  <c r="O94" i="55"/>
  <c r="N96" i="55"/>
  <c r="G96" i="55"/>
  <c r="O96" i="55"/>
  <c r="L100" i="55"/>
  <c r="N98" i="55"/>
  <c r="G98" i="55"/>
  <c r="O98" i="55"/>
  <c r="P7" i="56"/>
  <c r="S7" i="56"/>
  <c r="S73" i="56"/>
  <c r="P73" i="56"/>
  <c r="I9" i="58"/>
  <c r="H20" i="58"/>
  <c r="S76" i="56"/>
  <c r="P76" i="56"/>
  <c r="O6" i="54"/>
  <c r="I6" i="54"/>
  <c r="O20" i="54"/>
  <c r="I20" i="54"/>
  <c r="N49" i="54"/>
  <c r="O24" i="54"/>
  <c r="I24" i="54"/>
  <c r="O28" i="54"/>
  <c r="I28" i="54"/>
  <c r="O34" i="54"/>
  <c r="I34" i="54"/>
  <c r="O42" i="54"/>
  <c r="I42" i="54"/>
  <c r="O47" i="54"/>
  <c r="I47" i="54"/>
  <c r="N23" i="54"/>
  <c r="O5" i="54"/>
  <c r="I5" i="54"/>
  <c r="O8" i="54"/>
  <c r="I8" i="54"/>
  <c r="O17" i="54"/>
  <c r="I17" i="54"/>
  <c r="O27" i="54"/>
  <c r="I27" i="54"/>
  <c r="O32" i="54"/>
  <c r="I32" i="54"/>
  <c r="O37" i="54"/>
  <c r="I37" i="54"/>
  <c r="O41" i="54"/>
  <c r="I41" i="54"/>
  <c r="O45" i="54"/>
  <c r="I45" i="54"/>
  <c r="H19" i="57"/>
  <c r="G11" i="57"/>
  <c r="H22" i="57"/>
  <c r="O48" i="54"/>
  <c r="I48" i="54"/>
  <c r="O52" i="54"/>
  <c r="I52" i="54"/>
  <c r="N59" i="54"/>
  <c r="O58" i="54"/>
  <c r="I58" i="54"/>
  <c r="N53" i="55"/>
  <c r="G53" i="55"/>
  <c r="O53" i="55"/>
  <c r="N57" i="55"/>
  <c r="G57" i="55"/>
  <c r="O57" i="55"/>
  <c r="N61" i="55"/>
  <c r="G61" i="55"/>
  <c r="O61" i="55"/>
  <c r="R17" i="56"/>
  <c r="P15" i="56"/>
  <c r="S15" i="56"/>
  <c r="R62" i="56"/>
  <c r="P38" i="56"/>
  <c r="S38" i="56"/>
  <c r="P61" i="56"/>
  <c r="S61" i="56"/>
  <c r="S69" i="56"/>
  <c r="P69" i="56"/>
  <c r="S75" i="56"/>
  <c r="P75" i="56"/>
  <c r="S24" i="56"/>
  <c r="P24" i="56"/>
  <c r="R36" i="56"/>
  <c r="R81" i="56"/>
  <c r="R63" i="56"/>
  <c r="N63" i="56"/>
  <c r="O63" i="56"/>
  <c r="R67" i="56"/>
  <c r="N67" i="56"/>
  <c r="O67" i="56"/>
  <c r="F19" i="57"/>
  <c r="E11" i="57"/>
  <c r="F22" i="57"/>
  <c r="N53" i="54"/>
  <c r="O50" i="54"/>
  <c r="I50" i="54"/>
  <c r="D16" i="47"/>
  <c r="D22" i="47"/>
  <c r="D23" i="44"/>
  <c r="O4" i="55"/>
  <c r="N4" i="55"/>
  <c r="G4" i="55"/>
  <c r="N8" i="55"/>
  <c r="G8" i="55"/>
  <c r="O8" i="55"/>
  <c r="N12" i="55"/>
  <c r="G12" i="55"/>
  <c r="O12" i="55"/>
  <c r="N16" i="55"/>
  <c r="G16" i="55"/>
  <c r="O16" i="55"/>
  <c r="N20" i="55"/>
  <c r="G20" i="55"/>
  <c r="O20" i="55"/>
  <c r="N24" i="55"/>
  <c r="G24" i="55"/>
  <c r="O24" i="55"/>
  <c r="N28" i="55"/>
  <c r="G28" i="55"/>
  <c r="O28" i="55"/>
  <c r="N32" i="55"/>
  <c r="G32" i="55"/>
  <c r="O32" i="55"/>
  <c r="P32" i="56"/>
  <c r="S32" i="56"/>
  <c r="C11" i="58"/>
  <c r="D22" i="58"/>
  <c r="D19" i="58"/>
  <c r="D27" i="58"/>
  <c r="P8" i="56"/>
  <c r="S8" i="56"/>
  <c r="S70" i="56"/>
  <c r="P70" i="56"/>
  <c r="O33" i="54"/>
  <c r="I33" i="54"/>
  <c r="O81" i="56"/>
  <c r="N81" i="56"/>
  <c r="H81" i="56"/>
  <c r="S72" i="56"/>
  <c r="P72" i="56"/>
  <c r="S77" i="56"/>
  <c r="P77" i="56"/>
  <c r="M19" i="57"/>
  <c r="L13" i="57"/>
  <c r="M25" i="57"/>
  <c r="L11" i="57"/>
  <c r="M22" i="57"/>
  <c r="O7" i="54"/>
  <c r="I7" i="54"/>
  <c r="R79" i="56"/>
  <c r="N79" i="56"/>
  <c r="O79" i="56"/>
  <c r="L9" i="62"/>
  <c r="H11" i="62"/>
  <c r="H12" i="62"/>
  <c r="M8" i="62"/>
  <c r="H11" i="57"/>
  <c r="O57" i="54"/>
  <c r="I57" i="54"/>
  <c r="J20" i="57"/>
  <c r="K7" i="57"/>
  <c r="K9" i="57"/>
  <c r="I11" i="57"/>
  <c r="J22" i="57"/>
  <c r="O51" i="54"/>
  <c r="I51" i="54"/>
  <c r="Q10" i="55"/>
  <c r="K10" i="55"/>
  <c r="L10" i="55"/>
  <c r="P16" i="56"/>
  <c r="S16" i="56"/>
  <c r="N75" i="55"/>
  <c r="G75" i="55"/>
  <c r="O75" i="55"/>
  <c r="N77" i="55"/>
  <c r="G77" i="55"/>
  <c r="O77" i="55"/>
  <c r="N79" i="55"/>
  <c r="G79" i="55"/>
  <c r="O79" i="55"/>
  <c r="N81" i="55"/>
  <c r="G81" i="55"/>
  <c r="O81" i="55"/>
  <c r="N83" i="55"/>
  <c r="G83" i="55"/>
  <c r="O83" i="55"/>
  <c r="N85" i="55"/>
  <c r="G85" i="55"/>
  <c r="O85" i="55"/>
  <c r="N87" i="55"/>
  <c r="G87" i="55"/>
  <c r="O87" i="55"/>
  <c r="N89" i="55"/>
  <c r="G89" i="55"/>
  <c r="O89" i="55"/>
  <c r="F90" i="55"/>
  <c r="L90" i="55"/>
  <c r="S71" i="56"/>
  <c r="P71" i="56"/>
  <c r="S33" i="56"/>
  <c r="P33" i="56"/>
  <c r="G11" i="58"/>
  <c r="H22" i="58"/>
  <c r="S74" i="56"/>
  <c r="P74" i="56"/>
  <c r="D19" i="57"/>
  <c r="C11" i="57"/>
  <c r="D22" i="57"/>
  <c r="O80" i="56"/>
  <c r="R80" i="56"/>
  <c r="N80" i="56"/>
  <c r="O9" i="54"/>
  <c r="I9" i="54"/>
  <c r="O15" i="54"/>
  <c r="I15" i="54"/>
  <c r="O22" i="54"/>
  <c r="I22" i="54"/>
  <c r="O26" i="54"/>
  <c r="I26" i="54"/>
  <c r="O31" i="54"/>
  <c r="I31" i="54"/>
  <c r="O36" i="54"/>
  <c r="I36" i="54"/>
  <c r="O40" i="54"/>
  <c r="I40" i="54"/>
  <c r="O44" i="54"/>
  <c r="I44" i="54"/>
  <c r="O13" i="54"/>
  <c r="I13" i="54"/>
  <c r="O21" i="54"/>
  <c r="I21" i="54"/>
  <c r="O25" i="54"/>
  <c r="I25" i="54"/>
  <c r="O29" i="54"/>
  <c r="I29" i="54"/>
  <c r="O35" i="54"/>
  <c r="I35" i="54"/>
  <c r="O39" i="54"/>
  <c r="I39" i="54"/>
  <c r="O43" i="54"/>
  <c r="I43" i="54"/>
  <c r="G24" i="62"/>
  <c r="D23" i="45"/>
  <c r="D29" i="53"/>
  <c r="D23" i="53"/>
  <c r="Q28" i="58"/>
  <c r="O28" i="58"/>
  <c r="M28" i="58"/>
  <c r="K28" i="58"/>
  <c r="I28" i="58"/>
  <c r="G28" i="58"/>
  <c r="E28" i="58"/>
  <c r="C28" i="58"/>
  <c r="C42" i="58"/>
  <c r="D29" i="44"/>
  <c r="F29" i="53"/>
  <c r="F23" i="53"/>
  <c r="D9" i="77"/>
  <c r="E20" i="77"/>
  <c r="C21" i="77"/>
  <c r="C24" i="77"/>
  <c r="C27" i="77"/>
  <c r="D21" i="77"/>
  <c r="D27" i="77"/>
  <c r="K16" i="62"/>
  <c r="T7" i="58"/>
  <c r="F28" i="58"/>
  <c r="T5" i="58"/>
  <c r="T14" i="58"/>
  <c r="F24" i="58"/>
  <c r="F26" i="58"/>
  <c r="F30" i="58"/>
  <c r="F31" i="58"/>
  <c r="F35" i="58"/>
  <c r="F37" i="58"/>
  <c r="N24" i="58"/>
  <c r="G27" i="58"/>
  <c r="O27" i="58"/>
  <c r="E24" i="58"/>
  <c r="M24" i="58"/>
  <c r="F27" i="58"/>
  <c r="N27" i="58"/>
  <c r="T8" i="58"/>
  <c r="H28" i="58"/>
  <c r="T10" i="58"/>
  <c r="L28" i="58"/>
  <c r="T15" i="58"/>
  <c r="L24" i="58"/>
  <c r="E27" i="58"/>
  <c r="M27" i="58"/>
  <c r="C24" i="58"/>
  <c r="K24" i="58"/>
  <c r="H27" i="58"/>
  <c r="E36" i="49"/>
  <c r="D36" i="49"/>
  <c r="D38" i="49"/>
  <c r="D31" i="49"/>
  <c r="C28" i="77"/>
  <c r="C29" i="77"/>
  <c r="C33" i="77"/>
  <c r="C34" i="77"/>
  <c r="K27" i="53"/>
  <c r="I27" i="53"/>
  <c r="G27" i="53"/>
  <c r="J24" i="53"/>
  <c r="H24" i="53"/>
  <c r="P13" i="53"/>
  <c r="P11" i="53"/>
  <c r="D24" i="47"/>
  <c r="Q29" i="53"/>
  <c r="J27" i="53"/>
  <c r="H27" i="53"/>
  <c r="K24" i="53"/>
  <c r="I24" i="53"/>
  <c r="G24" i="53"/>
  <c r="P14" i="53"/>
  <c r="P12" i="53"/>
  <c r="P10" i="53"/>
  <c r="P9" i="53"/>
  <c r="P8" i="53"/>
  <c r="P7" i="53"/>
  <c r="P6" i="53"/>
  <c r="F28" i="53"/>
  <c r="P5" i="53"/>
  <c r="D28" i="53"/>
  <c r="P4" i="53"/>
  <c r="E27" i="53"/>
  <c r="E24" i="53"/>
  <c r="C27" i="53"/>
  <c r="C24" i="53"/>
  <c r="M27" i="53"/>
  <c r="M24" i="53"/>
  <c r="F27" i="53"/>
  <c r="D27" i="53"/>
  <c r="F24" i="53"/>
  <c r="D24" i="53"/>
  <c r="N11" i="58"/>
  <c r="S80" i="56"/>
  <c r="P80" i="56"/>
  <c r="D23" i="57"/>
  <c r="D29" i="57"/>
  <c r="H23" i="58"/>
  <c r="H26" i="58"/>
  <c r="H30" i="58"/>
  <c r="H31" i="58"/>
  <c r="H35" i="58"/>
  <c r="H37" i="58"/>
  <c r="H29" i="58"/>
  <c r="L20" i="57"/>
  <c r="K11" i="57"/>
  <c r="L22" i="57"/>
  <c r="I22" i="57"/>
  <c r="H9" i="57"/>
  <c r="I20" i="57"/>
  <c r="P79" i="56"/>
  <c r="L11" i="58"/>
  <c r="S79" i="56"/>
  <c r="D23" i="58"/>
  <c r="D29" i="58"/>
  <c r="F11" i="57"/>
  <c r="O53" i="54"/>
  <c r="I53" i="54"/>
  <c r="P63" i="56"/>
  <c r="H11" i="58"/>
  <c r="S63" i="56"/>
  <c r="S81" i="56"/>
  <c r="P81" i="56"/>
  <c r="B11" i="58"/>
  <c r="S17" i="56"/>
  <c r="J11" i="57"/>
  <c r="O59" i="54"/>
  <c r="D11" i="57"/>
  <c r="O49" i="54"/>
  <c r="J20" i="58"/>
  <c r="K9" i="58"/>
  <c r="I11" i="58"/>
  <c r="J22" i="58"/>
  <c r="N100" i="55"/>
  <c r="D11" i="53"/>
  <c r="J25" i="77"/>
  <c r="J28" i="77"/>
  <c r="J29" i="77"/>
  <c r="J33" i="77"/>
  <c r="J34" i="77"/>
  <c r="D25" i="77"/>
  <c r="E25" i="77"/>
  <c r="F26" i="53"/>
  <c r="F30" i="53"/>
  <c r="F31" i="53"/>
  <c r="F35" i="53"/>
  <c r="F37" i="53"/>
  <c r="N90" i="55"/>
  <c r="G90" i="55"/>
  <c r="N10" i="55"/>
  <c r="G10" i="55"/>
  <c r="O10" i="55"/>
  <c r="J29" i="57"/>
  <c r="J23" i="57"/>
  <c r="M29" i="57"/>
  <c r="M23" i="57"/>
  <c r="M26" i="57"/>
  <c r="M30" i="57"/>
  <c r="M31" i="57"/>
  <c r="M35" i="57"/>
  <c r="M37" i="57"/>
  <c r="L97" i="55"/>
  <c r="F29" i="57"/>
  <c r="F23" i="57"/>
  <c r="P67" i="56"/>
  <c r="R78" i="56"/>
  <c r="S67" i="56"/>
  <c r="D11" i="58"/>
  <c r="S36" i="56"/>
  <c r="F11" i="58"/>
  <c r="S62" i="56"/>
  <c r="H23" i="57"/>
  <c r="H29" i="57"/>
  <c r="B11" i="57"/>
  <c r="O23" i="54"/>
  <c r="D28" i="58"/>
  <c r="D24" i="58"/>
  <c r="E22" i="77"/>
  <c r="D22" i="77"/>
  <c r="D24" i="77"/>
  <c r="D28" i="77"/>
  <c r="D29" i="77"/>
  <c r="D33" i="77"/>
  <c r="D34" i="77"/>
  <c r="D31" i="45"/>
  <c r="E21" i="77"/>
  <c r="E24" i="77"/>
  <c r="E27" i="77"/>
  <c r="L27" i="57"/>
  <c r="J27" i="57"/>
  <c r="H27" i="57"/>
  <c r="F27" i="57"/>
  <c r="D27" i="57"/>
  <c r="M24" i="57"/>
  <c r="K24" i="57"/>
  <c r="I24" i="57"/>
  <c r="G24" i="57"/>
  <c r="E24" i="57"/>
  <c r="C24" i="57"/>
  <c r="P16" i="57"/>
  <c r="P15" i="57"/>
  <c r="P12" i="57"/>
  <c r="P11" i="57"/>
  <c r="P9" i="57"/>
  <c r="P8" i="57"/>
  <c r="J28" i="57"/>
  <c r="P7" i="57"/>
  <c r="P6" i="57"/>
  <c r="P5" i="57"/>
  <c r="D28" i="57"/>
  <c r="P4" i="57"/>
  <c r="D38" i="44"/>
  <c r="E36" i="44"/>
  <c r="D36" i="44"/>
  <c r="D31" i="44"/>
  <c r="D39" i="44"/>
  <c r="M27" i="57"/>
  <c r="K27" i="57"/>
  <c r="I27" i="57"/>
  <c r="G27" i="57"/>
  <c r="E27" i="57"/>
  <c r="C27" i="57"/>
  <c r="L24" i="57"/>
  <c r="J24" i="57"/>
  <c r="J26" i="57"/>
  <c r="J30" i="57"/>
  <c r="J31" i="57"/>
  <c r="J35" i="57"/>
  <c r="J37" i="57"/>
  <c r="H24" i="57"/>
  <c r="F24" i="57"/>
  <c r="F26" i="57"/>
  <c r="F30" i="57"/>
  <c r="F31" i="57"/>
  <c r="F35" i="57"/>
  <c r="F37" i="57"/>
  <c r="D24" i="57"/>
  <c r="D26" i="57"/>
  <c r="D30" i="57"/>
  <c r="D31" i="57"/>
  <c r="D35" i="57"/>
  <c r="D37" i="57"/>
  <c r="P14" i="57"/>
  <c r="P13" i="57"/>
  <c r="P10" i="57"/>
  <c r="L28" i="57"/>
  <c r="D26" i="53"/>
  <c r="D30" i="53"/>
  <c r="D31" i="53"/>
  <c r="D35" i="53"/>
  <c r="D37" i="53"/>
  <c r="H26" i="57"/>
  <c r="H30" i="57"/>
  <c r="H31" i="57"/>
  <c r="H35" i="57"/>
  <c r="H37" i="57"/>
  <c r="D39" i="49"/>
  <c r="D49" i="49"/>
  <c r="D53" i="49"/>
  <c r="D54" i="49"/>
  <c r="E28" i="77"/>
  <c r="E29" i="77"/>
  <c r="E33" i="77"/>
  <c r="E34" i="77"/>
  <c r="C35" i="77"/>
  <c r="C36" i="77"/>
  <c r="C22" i="57"/>
  <c r="B9" i="57"/>
  <c r="C20" i="57"/>
  <c r="G22" i="58"/>
  <c r="F9" i="58"/>
  <c r="G20" i="58"/>
  <c r="E22" i="58"/>
  <c r="D9" i="58"/>
  <c r="E20" i="58"/>
  <c r="J11" i="58"/>
  <c r="S78" i="56"/>
  <c r="B11" i="53"/>
  <c r="N97" i="55"/>
  <c r="M7" i="58"/>
  <c r="M9" i="58"/>
  <c r="L20" i="58"/>
  <c r="K11" i="58"/>
  <c r="L22" i="58"/>
  <c r="I29" i="57"/>
  <c r="I23" i="57"/>
  <c r="I26" i="57"/>
  <c r="I30" i="57"/>
  <c r="I31" i="57"/>
  <c r="I35" i="57"/>
  <c r="I37" i="57"/>
  <c r="E22" i="53"/>
  <c r="D9" i="53"/>
  <c r="E20" i="53"/>
  <c r="J23" i="58"/>
  <c r="J26" i="58"/>
  <c r="J30" i="58"/>
  <c r="J31" i="58"/>
  <c r="J35" i="58"/>
  <c r="J37" i="58"/>
  <c r="J29" i="58"/>
  <c r="E22" i="57"/>
  <c r="D9" i="57"/>
  <c r="E20" i="57"/>
  <c r="K22" i="57"/>
  <c r="J9" i="57"/>
  <c r="K20" i="57"/>
  <c r="C22" i="58"/>
  <c r="B9" i="58"/>
  <c r="C20" i="58"/>
  <c r="I22" i="58"/>
  <c r="H9" i="58"/>
  <c r="I20" i="58"/>
  <c r="G22" i="57"/>
  <c r="F9" i="57"/>
  <c r="G20" i="57"/>
  <c r="D26" i="58"/>
  <c r="D30" i="58"/>
  <c r="D31" i="58"/>
  <c r="D35" i="58"/>
  <c r="D37" i="58"/>
  <c r="M22" i="58"/>
  <c r="L9" i="58"/>
  <c r="M20" i="58"/>
  <c r="L23" i="57"/>
  <c r="L26" i="57"/>
  <c r="L30" i="57"/>
  <c r="L31" i="57"/>
  <c r="L35" i="57"/>
  <c r="L37" i="57"/>
  <c r="L29" i="57"/>
  <c r="O22" i="58"/>
  <c r="N9" i="58"/>
  <c r="O20" i="58"/>
  <c r="E28" i="53"/>
  <c r="C28" i="53"/>
  <c r="M28" i="53"/>
  <c r="D41" i="53"/>
  <c r="D20" i="60"/>
  <c r="F39" i="62"/>
  <c r="H28" i="57"/>
  <c r="F28" i="57"/>
  <c r="D41" i="44"/>
  <c r="D43" i="44"/>
  <c r="D46" i="44"/>
  <c r="D34" i="44"/>
  <c r="M28" i="57"/>
  <c r="K28" i="57"/>
  <c r="I28" i="57"/>
  <c r="G28" i="57"/>
  <c r="E28" i="57"/>
  <c r="C28" i="57"/>
  <c r="C41" i="57"/>
  <c r="G29" i="57"/>
  <c r="G23" i="57"/>
  <c r="G26" i="57"/>
  <c r="G30" i="57"/>
  <c r="G31" i="57"/>
  <c r="G35" i="57"/>
  <c r="G37" i="57"/>
  <c r="I23" i="58"/>
  <c r="I26" i="58"/>
  <c r="I30" i="58"/>
  <c r="I31" i="58"/>
  <c r="I35" i="58"/>
  <c r="I37" i="58"/>
  <c r="I29" i="58"/>
  <c r="C29" i="58"/>
  <c r="C23" i="58"/>
  <c r="C26" i="58"/>
  <c r="C30" i="58"/>
  <c r="C31" i="58"/>
  <c r="K29" i="57"/>
  <c r="K23" i="57"/>
  <c r="K26" i="57"/>
  <c r="K30" i="57"/>
  <c r="K31" i="57"/>
  <c r="K35" i="57"/>
  <c r="K37" i="57"/>
  <c r="E29" i="57"/>
  <c r="E23" i="57"/>
  <c r="E26" i="57"/>
  <c r="E30" i="57"/>
  <c r="E31" i="57"/>
  <c r="E35" i="57"/>
  <c r="E37" i="57"/>
  <c r="E29" i="53"/>
  <c r="E23" i="53"/>
  <c r="E26" i="53"/>
  <c r="E30" i="53"/>
  <c r="E31" i="53"/>
  <c r="E35" i="53"/>
  <c r="E37" i="53"/>
  <c r="O29" i="58"/>
  <c r="O23" i="58"/>
  <c r="O26" i="58"/>
  <c r="O30" i="58"/>
  <c r="O31" i="58"/>
  <c r="O35" i="58"/>
  <c r="O37" i="58"/>
  <c r="M23" i="58"/>
  <c r="M26" i="58"/>
  <c r="M30" i="58"/>
  <c r="M31" i="58"/>
  <c r="M35" i="58"/>
  <c r="M37" i="58"/>
  <c r="M29" i="58"/>
  <c r="L23" i="58"/>
  <c r="L26" i="58"/>
  <c r="L30" i="58"/>
  <c r="L31" i="58"/>
  <c r="L35" i="58"/>
  <c r="L37" i="58"/>
  <c r="L29" i="58"/>
  <c r="N20" i="58"/>
  <c r="O4" i="58"/>
  <c r="O5" i="58"/>
  <c r="O6" i="58"/>
  <c r="O9" i="58"/>
  <c r="M11" i="58"/>
  <c r="N22" i="58"/>
  <c r="C22" i="53"/>
  <c r="B9" i="53"/>
  <c r="C20" i="53"/>
  <c r="K22" i="58"/>
  <c r="J9" i="58"/>
  <c r="K20" i="58"/>
  <c r="E23" i="58"/>
  <c r="E26" i="58"/>
  <c r="E30" i="58"/>
  <c r="E31" i="58"/>
  <c r="E35" i="58"/>
  <c r="E37" i="58"/>
  <c r="E29" i="58"/>
  <c r="G29" i="58"/>
  <c r="G23" i="58"/>
  <c r="G26" i="58"/>
  <c r="G30" i="58"/>
  <c r="G31" i="58"/>
  <c r="G35" i="58"/>
  <c r="G37" i="58"/>
  <c r="C29" i="57"/>
  <c r="C23" i="57"/>
  <c r="C26" i="57"/>
  <c r="C30" i="57"/>
  <c r="C31" i="57"/>
  <c r="C35" i="57"/>
  <c r="C37" i="57"/>
  <c r="C38" i="57"/>
  <c r="C39" i="57"/>
  <c r="F42" i="62"/>
  <c r="F40" i="62"/>
  <c r="N23" i="58"/>
  <c r="N26" i="58"/>
  <c r="N30" i="58"/>
  <c r="N31" i="58"/>
  <c r="N35" i="58"/>
  <c r="N37" i="58"/>
  <c r="N29" i="58"/>
  <c r="K29" i="58"/>
  <c r="K23" i="58"/>
  <c r="K26" i="58"/>
  <c r="K30" i="58"/>
  <c r="K31" i="58"/>
  <c r="K35" i="58"/>
  <c r="K37" i="58"/>
  <c r="C23" i="53"/>
  <c r="C26" i="53"/>
  <c r="C30" i="53"/>
  <c r="C31" i="53"/>
  <c r="C29" i="53"/>
  <c r="P20" i="58"/>
  <c r="O11" i="58"/>
  <c r="P22" i="58"/>
  <c r="C45" i="57"/>
  <c r="C46" i="57"/>
  <c r="C35" i="58"/>
  <c r="C37" i="58"/>
  <c r="C38" i="58"/>
  <c r="C39" i="58"/>
  <c r="C46" i="58"/>
  <c r="C47" i="58"/>
  <c r="F34" i="62"/>
  <c r="F43" i="62"/>
  <c r="F44" i="62"/>
  <c r="F45" i="62"/>
  <c r="G19" i="62"/>
  <c r="K22" i="62"/>
  <c r="C35" i="53"/>
  <c r="C37" i="53"/>
  <c r="C38" i="53"/>
  <c r="C39" i="53"/>
  <c r="D45" i="53"/>
  <c r="D46" i="53"/>
  <c r="P23" i="58"/>
  <c r="P26" i="58"/>
  <c r="P30" i="58"/>
  <c r="P31" i="58"/>
  <c r="P35" i="58"/>
  <c r="P37" i="58"/>
  <c r="P29" i="58"/>
  <c r="R22" i="58"/>
  <c r="D35" i="60"/>
  <c r="E33" i="60"/>
  <c r="D33" i="60"/>
  <c r="D31" i="60" s="1"/>
  <c r="D28" i="60"/>
  <c r="D36" i="60" s="1"/>
  <c r="E33" i="45"/>
  <c r="D33" i="45"/>
  <c r="D35" i="45"/>
  <c r="D28" i="45"/>
  <c r="D36" i="45" s="1"/>
  <c r="D38" i="45" s="1"/>
  <c r="D40" i="45" s="1"/>
  <c r="D55" i="45"/>
  <c r="D46" i="45"/>
  <c r="O24" i="87"/>
  <c r="T41" i="85"/>
  <c r="R41" i="85"/>
  <c r="P41" i="85"/>
  <c r="D38" i="60" l="1"/>
  <c r="D40" i="60" s="1"/>
  <c r="L34" i="60" s="1"/>
  <c r="D50" i="45"/>
  <c r="D51" i="45" s="1"/>
  <c r="L33" i="60"/>
  <c r="L30" i="60" s="1"/>
  <c r="L31" i="60" s="1"/>
  <c r="M25" i="45"/>
  <c r="D43" i="60"/>
  <c r="D42" i="45"/>
  <c r="D43" i="45" s="1"/>
  <c r="D59" i="82"/>
  <c r="R37" i="85"/>
  <c r="R39" i="85" s="1"/>
  <c r="U21" i="85"/>
  <c r="T40" i="85"/>
  <c r="T39" i="85"/>
  <c r="I37" i="85"/>
  <c r="E37" i="85"/>
  <c r="P39" i="85"/>
  <c r="G37" i="85"/>
  <c r="P40" i="85"/>
  <c r="D56" i="45" l="1"/>
  <c r="F56" i="45" s="1"/>
  <c r="M29" i="45"/>
  <c r="M30" i="45" s="1"/>
  <c r="D57" i="45"/>
  <c r="D63" i="45"/>
  <c r="D64" i="45" s="1"/>
  <c r="D44" i="45"/>
  <c r="D45" i="45" s="1"/>
  <c r="F55" i="45"/>
  <c r="O29" i="45"/>
  <c r="O30" i="45" s="1"/>
  <c r="D44" i="60"/>
  <c r="E5" i="87" s="1"/>
  <c r="N30" i="60"/>
  <c r="N31" i="60" s="1"/>
  <c r="D5" i="87"/>
  <c r="R40" i="85"/>
  <c r="P38" i="85"/>
  <c r="C38" i="85"/>
  <c r="E4" i="87" s="1"/>
  <c r="C37" i="85"/>
  <c r="H4" i="87" l="1"/>
  <c r="G4" i="87" s="1"/>
  <c r="F57" i="45"/>
  <c r="F58" i="45"/>
  <c r="D60" i="45" s="1"/>
  <c r="D4" i="87"/>
  <c r="J4" i="87"/>
  <c r="J5" i="87"/>
  <c r="I4" i="87" l="1"/>
  <c r="I5" i="87"/>
  <c r="K51" i="85" l="1"/>
  <c r="O40" i="60"/>
  <c r="N40" i="60" s="1"/>
  <c r="L51" i="85"/>
  <c r="N41" i="60" l="1"/>
  <c r="H16" i="87" s="1"/>
  <c r="M41" i="60"/>
  <c r="G16" i="87" s="1"/>
  <c r="G19" i="87" s="1"/>
  <c r="G20" i="87" s="1"/>
  <c r="P40" i="60"/>
  <c r="K52" i="85"/>
  <c r="L52" i="85" s="1"/>
  <c r="K53" i="85"/>
  <c r="L53" i="85" s="1"/>
  <c r="K54" i="85"/>
  <c r="L54" i="85" s="1"/>
  <c r="K55" i="85"/>
  <c r="L55" i="85" s="1"/>
  <c r="K56" i="85"/>
  <c r="L56" i="85" s="1"/>
  <c r="L57" i="85" l="1"/>
  <c r="I16" i="87" s="1"/>
  <c r="K57" i="85" l="1"/>
  <c r="J16" i="87" s="1"/>
  <c r="P41" i="60" s="1"/>
  <c r="L41" i="60" s="1"/>
  <c r="F16" i="87" s="1"/>
  <c r="O41" i="60"/>
  <c r="K41" i="60" s="1"/>
  <c r="E16" i="87" s="1"/>
  <c r="E19" i="87" s="1"/>
  <c r="E20" i="87" s="1"/>
  <c r="I19" i="87"/>
  <c r="I20" i="87"/>
  <c r="E23" i="87" l="1"/>
  <c r="E24" i="87" s="1"/>
  <c r="M27" i="87"/>
  <c r="H25" i="87"/>
</calcChain>
</file>

<file path=xl/comments1.xml><?xml version="1.0" encoding="utf-8"?>
<comments xmlns="http://schemas.openxmlformats.org/spreadsheetml/2006/main">
  <authors>
    <author>08084196</author>
    <author>08084667</author>
    <author>User</author>
  </authors>
  <commentList>
    <comment ref="B7" authorId="0">
      <text>
        <r>
          <rPr>
            <sz val="9"/>
            <rFont val="宋体"/>
            <family val="3"/>
            <charset val="134"/>
          </rPr>
          <t xml:space="preserve">08084196:
从C1405搬入。
）
</t>
        </r>
      </text>
    </comment>
    <comment ref="A15" authorId="1">
      <text>
        <r>
          <rPr>
            <sz val="9"/>
            <rFont val="宋体"/>
            <family val="3"/>
            <charset val="134"/>
          </rPr>
          <t xml:space="preserve">08084667:从C1302搬入
</t>
        </r>
      </text>
    </comment>
    <comment ref="U15" authorId="0">
      <text>
        <r>
          <rPr>
            <sz val="9"/>
            <rFont val="宋体"/>
            <family val="3"/>
            <charset val="134"/>
          </rPr>
          <t>08084196:
搬到C1302
房间从3.月5日</t>
        </r>
      </text>
    </comment>
    <comment ref="A46" authorId="0">
      <text>
        <r>
          <rPr>
            <sz val="9"/>
            <rFont val="宋体"/>
            <family val="3"/>
            <charset val="134"/>
          </rPr>
          <t>08084196:
从4月1日C1902搬入</t>
        </r>
      </text>
    </comment>
    <comment ref="A59" authorId="2">
      <text>
        <r>
          <rPr>
            <sz val="9"/>
            <rFont val="宋体"/>
            <family val="3"/>
            <charset val="134"/>
          </rPr>
          <t xml:space="preserve">User:
搬到D1101房间。
</t>
        </r>
      </text>
    </comment>
    <comment ref="A85" authorId="0">
      <text>
        <r>
          <rPr>
            <sz val="9"/>
            <rFont val="宋体"/>
            <family val="3"/>
            <charset val="134"/>
          </rPr>
          <t xml:space="preserve">08084196:
D704单元搬入。2009-12-17
</t>
        </r>
      </text>
    </comment>
    <comment ref="B93" authorId="0">
      <text>
        <r>
          <rPr>
            <sz val="9"/>
            <rFont val="宋体"/>
            <family val="3"/>
            <charset val="134"/>
          </rPr>
          <t xml:space="preserve">08084196:
</t>
        </r>
      </text>
    </comment>
  </commentList>
</comments>
</file>

<file path=xl/comments2.xml><?xml version="1.0" encoding="utf-8"?>
<comments xmlns="http://schemas.openxmlformats.org/spreadsheetml/2006/main">
  <authors>
    <author>08084196</author>
    <author>xxl</author>
  </authors>
  <commentList>
    <comment ref="Y12" authorId="0">
      <text>
        <r>
          <rPr>
            <sz val="9"/>
            <rFont val="宋体"/>
            <family val="3"/>
            <charset val="134"/>
          </rPr>
          <t>08084196:
免除押金</t>
        </r>
      </text>
    </comment>
    <comment ref="H15" authorId="1">
      <text>
        <r>
          <rPr>
            <sz val="9"/>
            <rFont val="宋体"/>
            <family val="3"/>
            <charset val="134"/>
          </rPr>
          <t>xxl:
read the remark
2002 ,1-6 us$40
2002, 7  us$60
2002, 8-12 us$100</t>
        </r>
      </text>
    </comment>
    <comment ref="I15" authorId="1">
      <text>
        <r>
          <rPr>
            <sz val="9"/>
            <rFont val="宋体"/>
            <family val="3"/>
            <charset val="134"/>
          </rPr>
          <t>xxl:
read the remark
2002 ,1-6 us$40
2002, 7  us$60
2002, 8-12 us$100</t>
        </r>
      </text>
    </comment>
    <comment ref="Y77" authorId="1">
      <text>
        <r>
          <rPr>
            <sz val="9"/>
            <rFont val="宋体"/>
            <family val="3"/>
            <charset val="134"/>
          </rPr>
          <t>xxl:
押金随租金变化而进行调整，合同规定
（128+48）*1375*2=484000，
（147.2+48）*1375*2=536800</t>
        </r>
      </text>
    </comment>
    <comment ref="AF77" authorId="1">
      <text>
        <r>
          <rPr>
            <sz val="9"/>
            <rFont val="宋体"/>
            <family val="3"/>
            <charset val="134"/>
          </rPr>
          <t>xxl:
押金不随租金变化而进行调整，合同规定</t>
        </r>
      </text>
    </comment>
    <comment ref="E79" authorId="0">
      <text>
        <r>
          <rPr>
            <sz val="9"/>
            <rFont val="宋体"/>
            <family val="3"/>
            <charset val="134"/>
          </rPr>
          <t xml:space="preserve">08084196:
</t>
        </r>
      </text>
    </comment>
    <comment ref="E102" authorId="0">
      <text>
        <r>
          <rPr>
            <sz val="9"/>
            <rFont val="宋体"/>
            <family val="3"/>
            <charset val="134"/>
          </rPr>
          <t xml:space="preserve">08084196:
</t>
        </r>
      </text>
    </comment>
  </commentList>
</comments>
</file>

<file path=xl/comments3.xml><?xml version="1.0" encoding="utf-8"?>
<comments xmlns="http://schemas.openxmlformats.org/spreadsheetml/2006/main">
  <authors>
    <author>User</author>
  </authors>
  <commentList>
    <comment ref="C14" authorId="0">
      <text>
        <r>
          <rPr>
            <sz val="9"/>
            <rFont val="宋体"/>
            <family val="3"/>
            <charset val="134"/>
          </rPr>
          <t>User:
8月调整，陈工图纸及邮件20120830</t>
        </r>
      </text>
    </comment>
    <comment ref="C19" authorId="0">
      <text>
        <r>
          <rPr>
            <sz val="9"/>
            <rFont val="宋体"/>
            <family val="3"/>
            <charset val="134"/>
          </rPr>
          <t>User:
8月调整，陈工图纸及邮件20120830</t>
        </r>
      </text>
    </comment>
  </commentList>
</comments>
</file>

<file path=xl/comments4.xml><?xml version="1.0" encoding="utf-8"?>
<comments xmlns="http://schemas.openxmlformats.org/spreadsheetml/2006/main">
  <authors>
    <author>韩烨</author>
  </authors>
  <commentList>
    <comment ref="L9" authorId="0">
      <text>
        <r>
          <rPr>
            <sz val="9"/>
            <rFont val="宋体"/>
            <family val="3"/>
            <charset val="134"/>
          </rPr>
          <t>韩烨:
办公租金水平比同期租约水平高？且比商业高？</t>
        </r>
      </text>
    </comment>
  </commentList>
</comments>
</file>

<file path=xl/comments5.xml><?xml version="1.0" encoding="utf-8"?>
<comments xmlns="http://schemas.openxmlformats.org/spreadsheetml/2006/main">
  <authors>
    <author>Sky123.Org</author>
    <author>USER</author>
  </authors>
  <commentList>
    <comment ref="B11" authorId="0">
      <text>
        <r>
          <rPr>
            <sz val="9"/>
            <color indexed="81"/>
            <rFont val="宋体"/>
            <family val="3"/>
            <charset val="134"/>
          </rPr>
          <t xml:space="preserve">所在区域的性质（商服区、住宅区还是工业区）、距各类商服中心的距离、商务设施的种类规模与集聚程度、商服氛围、经营类别、客流的数量与质量
</t>
        </r>
      </text>
    </comment>
    <comment ref="B12" authorId="1">
      <text>
        <r>
          <rPr>
            <b/>
            <sz val="9"/>
            <color indexed="81"/>
            <rFont val="宋体"/>
            <family val="3"/>
            <charset val="134"/>
          </rPr>
          <t>侧重公共交通通达、停车便捷程度</t>
        </r>
        <r>
          <rPr>
            <sz val="9"/>
            <color indexed="81"/>
            <rFont val="宋体"/>
            <family val="3"/>
            <charset val="134"/>
          </rPr>
          <t xml:space="preserve">
</t>
        </r>
      </text>
    </comment>
    <comment ref="B14" authorId="0">
      <text>
        <r>
          <rPr>
            <sz val="9"/>
            <color indexed="81"/>
            <rFont val="宋体"/>
            <family val="3"/>
            <charset val="134"/>
          </rPr>
          <t xml:space="preserve">主要为人文环境和自然环境。人文环境包括学校数目和类型；文体休闲设施状况；居民素质；自然环境包括：景观、绿化环境、卫生条件、噪音、空气和水体污染及危险设施或污染源的临近程度
</t>
        </r>
      </text>
    </comment>
    <comment ref="B15" authorId="0">
      <text>
        <r>
          <rPr>
            <b/>
            <sz val="9"/>
            <color indexed="81"/>
            <rFont val="宋体"/>
            <family val="3"/>
            <charset val="134"/>
          </rPr>
          <t xml:space="preserve">不临街、单面临街、两面临街、多面临街
</t>
        </r>
        <r>
          <rPr>
            <sz val="9"/>
            <color indexed="81"/>
            <rFont val="宋体"/>
            <family val="3"/>
            <charset val="134"/>
          </rPr>
          <t xml:space="preserve">
</t>
        </r>
      </text>
    </comment>
    <comment ref="B28" authorId="1">
      <text>
        <r>
          <rPr>
            <b/>
            <sz val="9"/>
            <color indexed="81"/>
            <rFont val="宋体"/>
            <family val="3"/>
            <charset val="134"/>
          </rPr>
          <t>能否餐饮</t>
        </r>
        <r>
          <rPr>
            <sz val="9"/>
            <color indexed="81"/>
            <rFont val="宋体"/>
            <family val="3"/>
            <charset val="134"/>
          </rPr>
          <t xml:space="preserve">
</t>
        </r>
      </text>
    </comment>
  </commentList>
</comments>
</file>

<file path=xl/comments6.xml><?xml version="1.0" encoding="utf-8"?>
<comments xmlns="http://schemas.openxmlformats.org/spreadsheetml/2006/main">
  <authors>
    <author>韩烨</author>
  </authors>
  <commentList>
    <comment ref="E5" authorId="0">
      <text>
        <r>
          <rPr>
            <sz val="9"/>
            <rFont val="宋体"/>
            <family val="3"/>
            <charset val="134"/>
          </rPr>
          <t>韩烨:
地下室非车库？</t>
        </r>
      </text>
    </comment>
    <comment ref="G23" authorId="0">
      <text>
        <r>
          <rPr>
            <sz val="9"/>
            <rFont val="宋体"/>
            <family val="3"/>
            <charset val="134"/>
          </rPr>
          <t>韩烨:
不是联通结构？</t>
        </r>
      </text>
    </comment>
  </commentList>
</comments>
</file>

<file path=xl/comments7.xml><?xml version="1.0" encoding="utf-8"?>
<comments xmlns="http://schemas.openxmlformats.org/spreadsheetml/2006/main">
  <authors>
    <author>作者</author>
  </authors>
  <commentList>
    <comment ref="H36" authorId="0">
      <text>
        <r>
          <rPr>
            <sz val="9"/>
            <rFont val="宋体"/>
            <family val="3"/>
            <charset val="134"/>
          </rPr>
          <t xml:space="preserve">崔锴:正常缴税计算时，不能提供已支付的地价款凭据的，不允许扣除取得土地使用权所支付的金额。
</t>
        </r>
      </text>
    </comment>
    <comment ref="H41" authorId="0">
      <text>
        <r>
          <rPr>
            <sz val="9"/>
            <rFont val="宋体"/>
            <family val="3"/>
            <charset val="134"/>
          </rPr>
          <t>两税一费</t>
        </r>
      </text>
    </comment>
    <comment ref="I41" authorId="0">
      <text>
        <r>
          <rPr>
            <sz val="9"/>
            <rFont val="宋体"/>
            <family val="3"/>
            <charset val="134"/>
          </rPr>
          <t xml:space="preserve">印花税
</t>
        </r>
      </text>
    </comment>
  </commentList>
</comments>
</file>

<file path=xl/sharedStrings.xml><?xml version="1.0" encoding="utf-8"?>
<sst xmlns="http://schemas.openxmlformats.org/spreadsheetml/2006/main" count="3538" uniqueCount="1562">
  <si>
    <t>国有土地使用证</t>
  </si>
  <si>
    <t>证号</t>
  </si>
  <si>
    <t>京朝国用（2009出）第0570号</t>
  </si>
  <si>
    <t>京朝国用（2009出）第0571号</t>
  </si>
  <si>
    <t>京朝国用（2009出）第0599号</t>
  </si>
  <si>
    <t>土地使用权人</t>
  </si>
  <si>
    <t>北京京威房地产开发有限公司</t>
  </si>
  <si>
    <t>坐落</t>
  </si>
  <si>
    <t>朝阳区工人体育场北路甲2号（西部）</t>
  </si>
  <si>
    <t>朝阳区工人体育场北路甲2号（东部）</t>
  </si>
  <si>
    <t>地号</t>
  </si>
  <si>
    <t>未标注</t>
  </si>
  <si>
    <t>图号</t>
  </si>
  <si>
    <t>I-2-2-[4][9]</t>
  </si>
  <si>
    <t>地类（用途）</t>
  </si>
  <si>
    <t>商业、住宅、办公</t>
  </si>
  <si>
    <t>商业、办公</t>
  </si>
  <si>
    <t>使用权类型</t>
  </si>
  <si>
    <t>出让</t>
  </si>
  <si>
    <t>终止日期</t>
  </si>
  <si>
    <t>商业2034.1.3，办公2044.1.3，住宅2064.1.3</t>
  </si>
  <si>
    <t>商业2034.1.3，办公2044.1.3</t>
  </si>
  <si>
    <t>2048.6.15</t>
  </si>
  <si>
    <t>使用权面积</t>
  </si>
  <si>
    <t>各地块间关系</t>
  </si>
  <si>
    <t>房屋所有权证</t>
  </si>
  <si>
    <r>
      <t>京房权证朝其1</t>
    </r>
    <r>
      <rPr>
        <sz val="12"/>
        <color indexed="8"/>
        <rFont val="宋体"/>
        <family val="3"/>
        <charset val="134"/>
      </rPr>
      <t>0字第003015号</t>
    </r>
  </si>
  <si>
    <r>
      <t>X京房权证朝字第</t>
    </r>
    <r>
      <rPr>
        <sz val="12"/>
        <color indexed="8"/>
        <rFont val="宋体"/>
        <family val="3"/>
        <charset val="134"/>
      </rPr>
      <t>804988号</t>
    </r>
  </si>
  <si>
    <r>
      <t>X京房权证朝字第</t>
    </r>
    <r>
      <rPr>
        <sz val="12"/>
        <color indexed="8"/>
        <rFont val="宋体"/>
        <family val="3"/>
        <charset val="134"/>
      </rPr>
      <t>804977号</t>
    </r>
  </si>
  <si>
    <t>房屋所有权人</t>
  </si>
  <si>
    <t>共有情况</t>
  </si>
  <si>
    <t>单独所有</t>
  </si>
  <si>
    <t>房屋坐落</t>
  </si>
  <si>
    <t>朝阳区工人体育场北路甲2号</t>
  </si>
  <si>
    <t>朝阳区工人体育场北路甲2号停车楼</t>
  </si>
  <si>
    <t>登记时间</t>
  </si>
  <si>
    <t>房屋性质</t>
  </si>
  <si>
    <t>商品房</t>
  </si>
  <si>
    <t>规划用途</t>
  </si>
  <si>
    <t>办公、住宅、地下车库</t>
  </si>
  <si>
    <t>停车楼</t>
  </si>
  <si>
    <t>建筑面积</t>
  </si>
  <si>
    <t>具体房号部位</t>
  </si>
  <si>
    <t>A,C,D栋</t>
  </si>
  <si>
    <t>B栋及裙房</t>
  </si>
  <si>
    <t>有无不可分摊面积</t>
  </si>
  <si>
    <t>出让合同</t>
  </si>
  <si>
    <t>补充协议（建筑规模变化）</t>
  </si>
  <si>
    <t>规划总建筑面积</t>
  </si>
  <si>
    <t>原出让面积</t>
  </si>
  <si>
    <t>出让规划总建筑面积</t>
  </si>
  <si>
    <t>调整后</t>
  </si>
  <si>
    <t>出让年限</t>
  </si>
  <si>
    <t>新增政府土地收益</t>
  </si>
  <si>
    <t>地价款</t>
  </si>
  <si>
    <t>面积变化明细</t>
  </si>
  <si>
    <t>其中：政府收益</t>
  </si>
  <si>
    <t>土地开发补偿费</t>
  </si>
  <si>
    <t>其他特殊约定</t>
  </si>
  <si>
    <t>各部分文件取得情况（需填入证号）</t>
  </si>
  <si>
    <t>建设内容/楼号</t>
  </si>
  <si>
    <t>国土证</t>
  </si>
  <si>
    <t>工程规划</t>
  </si>
  <si>
    <t>施工证</t>
  </si>
  <si>
    <t>预售证</t>
  </si>
  <si>
    <t>竣工备案</t>
  </si>
  <si>
    <t>测绘报告</t>
  </si>
  <si>
    <t>房产证</t>
  </si>
  <si>
    <t>现状（现房/在建/土地）</t>
  </si>
  <si>
    <t>序号</t>
  </si>
  <si>
    <t>用途</t>
  </si>
  <si>
    <t>分摊土地面积</t>
  </si>
  <si>
    <t>地下车库</t>
  </si>
  <si>
    <t>办公</t>
  </si>
  <si>
    <t>容积率</t>
  </si>
  <si>
    <t>总额</t>
  </si>
  <si>
    <t>楼面单价</t>
  </si>
  <si>
    <t>总价</t>
  </si>
  <si>
    <t>车库</t>
  </si>
  <si>
    <t>抵押物名称</t>
  </si>
  <si>
    <t>建筑物价值</t>
  </si>
  <si>
    <t>房地产价值</t>
  </si>
  <si>
    <t>总 价</t>
  </si>
  <si>
    <t>合计</t>
  </si>
  <si>
    <t>大写金额</t>
  </si>
  <si>
    <t>房地产估价师知悉的法定优先受偿款</t>
  </si>
  <si>
    <t>房地产抵押价值</t>
  </si>
  <si>
    <t>项目</t>
  </si>
  <si>
    <t>日租金</t>
  </si>
  <si>
    <t>Tenant</t>
  </si>
  <si>
    <t>Units</t>
  </si>
  <si>
    <r>
      <t>GFA (occupied)</t>
    </r>
    <r>
      <rPr>
        <b/>
        <sz val="10"/>
        <rFont val="宋体"/>
        <family val="3"/>
        <charset val="134"/>
      </rPr>
      <t>建筑面积（使用中）</t>
    </r>
  </si>
  <si>
    <r>
      <t>Face Rent per GFA</t>
    </r>
    <r>
      <rPr>
        <b/>
        <sz val="10"/>
        <rFont val="宋体"/>
        <family val="3"/>
        <charset val="134"/>
      </rPr>
      <t>每建筑面积的租金</t>
    </r>
  </si>
  <si>
    <r>
      <t>Face Rent per GFA</t>
    </r>
    <r>
      <rPr>
        <b/>
        <sz val="10"/>
        <rFont val="宋体"/>
        <family val="3"/>
        <charset val="134"/>
      </rPr>
      <t>单位建筑面积的租金</t>
    </r>
  </si>
  <si>
    <r>
      <t>Effective Rent per GFA</t>
    </r>
    <r>
      <rPr>
        <b/>
        <sz val="10"/>
        <rFont val="宋体"/>
        <family val="3"/>
        <charset val="134"/>
      </rPr>
      <t>单位建筑面积的有效租金</t>
    </r>
  </si>
  <si>
    <r>
      <t>Mgt per GFA</t>
    </r>
    <r>
      <rPr>
        <b/>
        <sz val="10"/>
        <rFont val="宋体"/>
        <family val="3"/>
        <charset val="134"/>
      </rPr>
      <t>单位建筑面积的物管费</t>
    </r>
  </si>
  <si>
    <r>
      <t xml:space="preserve">Monthly Face Rent </t>
    </r>
    <r>
      <rPr>
        <b/>
        <sz val="10"/>
        <rFont val="宋体"/>
        <family val="3"/>
        <charset val="134"/>
      </rPr>
      <t>月租金</t>
    </r>
  </si>
  <si>
    <r>
      <t>Monthly Face Rent</t>
    </r>
    <r>
      <rPr>
        <b/>
        <sz val="10"/>
        <rFont val="宋体"/>
        <family val="3"/>
        <charset val="134"/>
      </rPr>
      <t>月租金</t>
    </r>
  </si>
  <si>
    <r>
      <t>Monthly Effective Rent</t>
    </r>
    <r>
      <rPr>
        <b/>
        <sz val="10"/>
        <rFont val="宋体"/>
        <family val="3"/>
        <charset val="134"/>
      </rPr>
      <t>月有效租金</t>
    </r>
  </si>
  <si>
    <t>Monthly Mgt fee</t>
  </si>
  <si>
    <r>
      <t>Contract Amount</t>
    </r>
    <r>
      <rPr>
        <b/>
        <sz val="10"/>
        <rFont val="宋体"/>
        <family val="3"/>
        <charset val="134"/>
      </rPr>
      <t>合同金额</t>
    </r>
  </si>
  <si>
    <r>
      <t>Monthly Mgt fee</t>
    </r>
    <r>
      <rPr>
        <b/>
        <sz val="10"/>
        <rFont val="宋体"/>
        <family val="3"/>
        <charset val="134"/>
      </rPr>
      <t>月物管费</t>
    </r>
  </si>
  <si>
    <t>Contract Amount
USD</t>
  </si>
  <si>
    <t>Type</t>
  </si>
  <si>
    <r>
      <t>Term</t>
    </r>
    <r>
      <rPr>
        <b/>
        <sz val="10"/>
        <rFont val="宋体"/>
        <family val="3"/>
        <charset val="134"/>
      </rPr>
      <t>周期</t>
    </r>
  </si>
  <si>
    <r>
      <t>Rent Period</t>
    </r>
    <r>
      <rPr>
        <b/>
        <sz val="10"/>
        <rFont val="宋体"/>
        <family val="3"/>
        <charset val="134"/>
      </rPr>
      <t>租期</t>
    </r>
  </si>
  <si>
    <t>承租人</t>
  </si>
  <si>
    <t>单位</t>
  </si>
  <si>
    <t>单位租金</t>
  </si>
  <si>
    <r>
      <t>Months</t>
    </r>
    <r>
      <rPr>
        <b/>
        <sz val="10"/>
        <rFont val="宋体"/>
        <family val="3"/>
        <charset val="134"/>
      </rPr>
      <t>月</t>
    </r>
  </si>
  <si>
    <t>from</t>
  </si>
  <si>
    <t xml:space="preserve">to </t>
  </si>
  <si>
    <t>SQM</t>
  </si>
  <si>
    <t>USD</t>
  </si>
  <si>
    <t>RMB</t>
  </si>
  <si>
    <t>TOYOTA</t>
  </si>
  <si>
    <t>Renew</t>
  </si>
  <si>
    <t>爱导</t>
  </si>
  <si>
    <t>箱崎大先生</t>
  </si>
  <si>
    <t>上海艾杰飞人力资源</t>
  </si>
  <si>
    <t>北京索爱普天移动通信有限公司</t>
  </si>
  <si>
    <t>12</t>
  </si>
  <si>
    <t>菱重环环境技术服务北京有限公司</t>
  </si>
  <si>
    <t>丰田</t>
  </si>
  <si>
    <r>
      <rPr>
        <sz val="10"/>
        <rFont val="宋体"/>
        <family val="3"/>
        <charset val="134"/>
      </rPr>
      <t>三菱东京日联银行（中国）有限公司北京分行</t>
    </r>
  </si>
  <si>
    <t>New</t>
  </si>
  <si>
    <r>
      <rPr>
        <sz val="10"/>
        <rFont val="宋体"/>
        <family val="3"/>
        <charset val="134"/>
      </rPr>
      <t>三井物产中国有限公司</t>
    </r>
  </si>
  <si>
    <t>美达王</t>
  </si>
  <si>
    <r>
      <rPr>
        <sz val="10"/>
        <rFont val="宋体"/>
        <family val="3"/>
        <charset val="134"/>
      </rPr>
      <t>索尼移动通信产品中国有限公司</t>
    </r>
  </si>
  <si>
    <r>
      <rPr>
        <sz val="10"/>
        <rFont val="宋体"/>
        <family val="3"/>
        <charset val="134"/>
      </rPr>
      <t>野村综研（北京）系统集成有限公司</t>
    </r>
  </si>
  <si>
    <r>
      <rPr>
        <sz val="10"/>
        <rFont val="宋体"/>
        <family val="3"/>
        <charset val="134"/>
      </rPr>
      <t>第一三共制药</t>
    </r>
  </si>
  <si>
    <r>
      <t>TOYOTA</t>
    </r>
    <r>
      <rPr>
        <sz val="10"/>
        <rFont val="宋体"/>
        <family val="3"/>
        <charset val="134"/>
      </rPr>
      <t>丰田</t>
    </r>
  </si>
  <si>
    <t>大卫·赫尔姆斯布拉德利</t>
  </si>
  <si>
    <r>
      <rPr>
        <sz val="10"/>
        <rFont val="宋体"/>
        <family val="3"/>
        <charset val="134"/>
      </rPr>
      <t>山田</t>
    </r>
    <r>
      <rPr>
        <sz val="10"/>
        <rFont val="Arial"/>
        <family val="2"/>
      </rPr>
      <t xml:space="preserve"> </t>
    </r>
    <r>
      <rPr>
        <sz val="10"/>
        <rFont val="宋体"/>
        <family val="3"/>
        <charset val="134"/>
      </rPr>
      <t>佑先生</t>
    </r>
  </si>
  <si>
    <r>
      <rPr>
        <sz val="10"/>
        <rFont val="宋体"/>
        <family val="3"/>
        <charset val="134"/>
      </rPr>
      <t>恩梯梯通信系统中国有限公司背景分公司</t>
    </r>
  </si>
  <si>
    <r>
      <rPr>
        <sz val="10"/>
        <rFont val="宋体"/>
        <family val="3"/>
        <charset val="134"/>
      </rPr>
      <t>水翼中国环境工程有限公司</t>
    </r>
  </si>
  <si>
    <t>佳能</t>
  </si>
  <si>
    <r>
      <rPr>
        <sz val="10"/>
        <rFont val="宋体"/>
        <family val="3"/>
        <charset val="134"/>
      </rPr>
      <t>佳能</t>
    </r>
  </si>
  <si>
    <t>奥林巴斯中国有限公司</t>
  </si>
  <si>
    <t>三菱东京日联银行（中国）有限公司北京分行</t>
  </si>
  <si>
    <t>永井嘉和先生（JICA)</t>
  </si>
  <si>
    <t>日本住友生命保险公司北京代表处</t>
  </si>
  <si>
    <r>
      <rPr>
        <sz val="10"/>
        <rFont val="宋体"/>
        <family val="3"/>
        <charset val="134"/>
      </rPr>
      <t>荻原</t>
    </r>
    <r>
      <rPr>
        <sz val="10"/>
        <rFont val="Arial"/>
        <family val="2"/>
      </rPr>
      <t xml:space="preserve"> </t>
    </r>
    <r>
      <rPr>
        <sz val="10"/>
        <rFont val="宋体"/>
        <family val="3"/>
        <charset val="134"/>
      </rPr>
      <t>直先生</t>
    </r>
  </si>
  <si>
    <t>联合航空</t>
  </si>
  <si>
    <t>24</t>
  </si>
  <si>
    <r>
      <t>UnitedAirlines</t>
    </r>
    <r>
      <rPr>
        <sz val="10"/>
        <rFont val="宋体"/>
        <family val="3"/>
        <charset val="134"/>
      </rPr>
      <t>联合航空公司</t>
    </r>
  </si>
  <si>
    <r>
      <rPr>
        <sz val="10"/>
        <rFont val="宋体"/>
        <family val="3"/>
        <charset val="134"/>
      </rPr>
      <t>野口</t>
    </r>
    <r>
      <rPr>
        <sz val="10"/>
        <rFont val="Arial"/>
        <family val="2"/>
      </rPr>
      <t xml:space="preserve"> </t>
    </r>
    <r>
      <rPr>
        <sz val="10"/>
        <rFont val="宋体"/>
        <family val="3"/>
        <charset val="134"/>
      </rPr>
      <t>阳介先生</t>
    </r>
  </si>
  <si>
    <r>
      <t>Mr.Luke M.Peereboom</t>
    </r>
    <r>
      <rPr>
        <sz val="10"/>
        <rFont val="宋体"/>
        <family val="3"/>
        <charset val="134"/>
      </rPr>
      <t>卢克先生</t>
    </r>
  </si>
  <si>
    <t>捷帕瓦电源</t>
  </si>
  <si>
    <t>日产中国</t>
  </si>
  <si>
    <r>
      <rPr>
        <sz val="10"/>
        <rFont val="宋体"/>
        <family val="3"/>
        <charset val="134"/>
      </rPr>
      <t>伊拉克大使馆</t>
    </r>
  </si>
  <si>
    <t>2204&amp;05</t>
  </si>
  <si>
    <r>
      <rPr>
        <sz val="10"/>
        <rFont val="宋体"/>
        <family val="3"/>
        <charset val="134"/>
      </rPr>
      <t>三菱商事（中国）商业有限公司</t>
    </r>
  </si>
  <si>
    <t>株式会社 电通</t>
  </si>
  <si>
    <r>
      <rPr>
        <sz val="10"/>
        <rFont val="宋体"/>
        <family val="3"/>
        <charset val="134"/>
      </rPr>
      <t>高柳</t>
    </r>
    <r>
      <rPr>
        <sz val="10"/>
        <rFont val="Arial"/>
        <family val="2"/>
      </rPr>
      <t xml:space="preserve"> </t>
    </r>
    <r>
      <rPr>
        <sz val="10"/>
        <rFont val="宋体"/>
        <family val="3"/>
        <charset val="134"/>
      </rPr>
      <t>允人先生</t>
    </r>
  </si>
  <si>
    <t>日本财产保险</t>
  </si>
  <si>
    <t>伊拉克大使馆</t>
  </si>
  <si>
    <t>BEIJING HUAWEN-ASATSU INTERNATIONAL ADVERSTING CO.,LTD</t>
  </si>
  <si>
    <r>
      <rPr>
        <sz val="10"/>
        <rFont val="宋体"/>
        <family val="3"/>
        <charset val="134"/>
      </rPr>
      <t>日联汽车</t>
    </r>
  </si>
  <si>
    <t>三井不动产</t>
  </si>
  <si>
    <r>
      <rPr>
        <sz val="10"/>
        <rFont val="宋体"/>
        <family val="3"/>
        <charset val="134"/>
      </rPr>
      <t>久益环球中国投资有限公司</t>
    </r>
    <r>
      <rPr>
        <sz val="10"/>
        <rFont val="Arial"/>
        <family val="2"/>
      </rPr>
      <t xml:space="preserve"> Joy Global (china) investment Co., Ltd</t>
    </r>
  </si>
  <si>
    <t>白石优香女士</t>
  </si>
  <si>
    <r>
      <rPr>
        <sz val="10"/>
        <rFont val="宋体"/>
        <family val="3"/>
        <charset val="134"/>
      </rPr>
      <t>日立</t>
    </r>
    <r>
      <rPr>
        <sz val="10"/>
        <rFont val="Arial"/>
        <family val="2"/>
      </rPr>
      <t>(</t>
    </r>
    <r>
      <rPr>
        <sz val="10"/>
        <rFont val="宋体"/>
        <family val="3"/>
        <charset val="134"/>
      </rPr>
      <t>中国</t>
    </r>
    <r>
      <rPr>
        <sz val="10"/>
        <rFont val="Arial"/>
        <family val="2"/>
      </rPr>
      <t>)</t>
    </r>
    <r>
      <rPr>
        <sz val="10"/>
        <rFont val="宋体"/>
        <family val="3"/>
        <charset val="134"/>
      </rPr>
      <t>有限公司</t>
    </r>
  </si>
  <si>
    <r>
      <rPr>
        <sz val="10"/>
        <rFont val="宋体"/>
        <family val="3"/>
        <charset val="134"/>
      </rPr>
      <t>三井物产株式会社</t>
    </r>
    <r>
      <rPr>
        <sz val="10"/>
        <rFont val="Arial"/>
        <family val="2"/>
      </rPr>
      <t xml:space="preserve"> </t>
    </r>
  </si>
  <si>
    <r>
      <t>TOYOTA (</t>
    </r>
    <r>
      <rPr>
        <sz val="10"/>
        <rFont val="宋体"/>
        <family val="3"/>
        <charset val="134"/>
      </rPr>
      <t>丰田通商）</t>
    </r>
  </si>
  <si>
    <r>
      <rPr>
        <sz val="10"/>
        <rFont val="宋体"/>
        <family val="3"/>
        <charset val="134"/>
      </rPr>
      <t>丸红（北京）商业贸易有限公司</t>
    </r>
  </si>
  <si>
    <r>
      <rPr>
        <sz val="10"/>
        <rFont val="宋体"/>
        <family val="3"/>
        <charset val="134"/>
      </rPr>
      <t>索尼移动通信产品（中国）有限公司</t>
    </r>
  </si>
  <si>
    <r>
      <rPr>
        <sz val="10"/>
        <rFont val="宋体"/>
        <family val="3"/>
        <charset val="134"/>
      </rPr>
      <t>伊藤忠中国集团有限公司</t>
    </r>
  </si>
  <si>
    <t>美达王（北京）商业有限公司</t>
  </si>
  <si>
    <r>
      <rPr>
        <sz val="10"/>
        <rFont val="宋体"/>
        <family val="3"/>
        <charset val="134"/>
      </rPr>
      <t>嘉康利（中国）日用品有限公司</t>
    </r>
  </si>
  <si>
    <r>
      <rPr>
        <sz val="10"/>
        <rFont val="宋体"/>
        <family val="3"/>
        <charset val="134"/>
      </rPr>
      <t>美国电缆有限公司北京代表处</t>
    </r>
  </si>
  <si>
    <t>三菱商事</t>
  </si>
  <si>
    <r>
      <rPr>
        <sz val="10"/>
        <rFont val="宋体"/>
        <family val="3"/>
        <charset val="134"/>
      </rPr>
      <t>双日（中国）有限公司</t>
    </r>
  </si>
  <si>
    <r>
      <rPr>
        <sz val="10"/>
        <rFont val="宋体"/>
        <family val="3"/>
        <charset val="134"/>
      </rPr>
      <t>日本全药工业株式会社北京代表处</t>
    </r>
  </si>
  <si>
    <r>
      <rPr>
        <sz val="10"/>
        <rFont val="宋体"/>
        <family val="3"/>
        <charset val="134"/>
      </rPr>
      <t>日本株式会社三键北京代表处。</t>
    </r>
  </si>
  <si>
    <r>
      <rPr>
        <sz val="10"/>
        <rFont val="宋体"/>
        <family val="3"/>
        <charset val="134"/>
      </rPr>
      <t>高桥</t>
    </r>
    <r>
      <rPr>
        <sz val="10"/>
        <rFont val="Arial"/>
        <family val="2"/>
      </rPr>
      <t xml:space="preserve"> </t>
    </r>
    <r>
      <rPr>
        <sz val="10"/>
        <rFont val="宋体"/>
        <family val="3"/>
        <charset val="134"/>
      </rPr>
      <t>俊裕先生</t>
    </r>
  </si>
  <si>
    <r>
      <rPr>
        <sz val="10"/>
        <rFont val="宋体"/>
        <family val="3"/>
        <charset val="134"/>
      </rPr>
      <t>台湾恩益禧股份有限公司</t>
    </r>
  </si>
  <si>
    <t>日本兴亚损害保险公司驻中国总代表处‘</t>
  </si>
  <si>
    <t>索尼爱立信</t>
  </si>
  <si>
    <r>
      <rPr>
        <sz val="10"/>
        <rFont val="宋体"/>
        <family val="3"/>
        <charset val="134"/>
      </rPr>
      <t>索尼中国有限公司</t>
    </r>
  </si>
  <si>
    <t>出光能源</t>
  </si>
  <si>
    <t>Andew N Wilt</t>
  </si>
  <si>
    <r>
      <rPr>
        <sz val="10"/>
        <rFont val="宋体"/>
        <family val="3"/>
        <charset val="134"/>
      </rPr>
      <t>大鹏药品信息咨询（北京</t>
    </r>
    <r>
      <rPr>
        <sz val="10"/>
        <rFont val="Arial"/>
        <family val="2"/>
      </rPr>
      <t>)</t>
    </r>
    <r>
      <rPr>
        <sz val="10"/>
        <rFont val="宋体"/>
        <family val="3"/>
        <charset val="134"/>
      </rPr>
      <t>有限公司</t>
    </r>
  </si>
  <si>
    <r>
      <t>Gabrielle Sanders</t>
    </r>
    <r>
      <rPr>
        <sz val="10"/>
        <rFont val="宋体"/>
        <family val="3"/>
        <charset val="134"/>
      </rPr>
      <t>希伯来桑德斯</t>
    </r>
  </si>
  <si>
    <t>IHICoproration（石川岛）</t>
  </si>
  <si>
    <t>野村综研北京系统集成有限公司</t>
  </si>
  <si>
    <r>
      <rPr>
        <sz val="10"/>
        <rFont val="宋体"/>
        <family val="3"/>
        <charset val="134"/>
      </rPr>
      <t>本田技研工业中国投资有限公司</t>
    </r>
  </si>
  <si>
    <r>
      <t>Smucker</t>
    </r>
    <r>
      <rPr>
        <sz val="10"/>
        <rFont val="宋体"/>
        <family val="3"/>
        <charset val="134"/>
      </rPr>
      <t>国际有限公司</t>
    </r>
  </si>
  <si>
    <r>
      <t>TOYOTA(</t>
    </r>
    <r>
      <rPr>
        <sz val="10"/>
        <rFont val="宋体"/>
        <family val="3"/>
        <charset val="134"/>
      </rPr>
      <t>丰田研发）</t>
    </r>
  </si>
  <si>
    <r>
      <rPr>
        <sz val="10"/>
        <rFont val="宋体"/>
        <family val="3"/>
        <charset val="134"/>
      </rPr>
      <t>太古地产中国投资有限公司</t>
    </r>
  </si>
  <si>
    <t>立邦</t>
  </si>
  <si>
    <t>野村综研</t>
  </si>
  <si>
    <r>
      <rPr>
        <sz val="10"/>
        <rFont val="宋体"/>
        <family val="3"/>
        <charset val="134"/>
      </rPr>
      <t>北京伊藤忠华糖综合加工有限公司</t>
    </r>
  </si>
  <si>
    <r>
      <t>John Birtles</t>
    </r>
    <r>
      <rPr>
        <sz val="10"/>
        <rFont val="宋体"/>
        <family val="3"/>
        <charset val="134"/>
      </rPr>
      <t>约翰先生</t>
    </r>
  </si>
  <si>
    <t>TOTALTOWERD</t>
  </si>
  <si>
    <t>市场比较法（住宅）</t>
  </si>
  <si>
    <t>表1：比较因素条件指数表</t>
  </si>
  <si>
    <t>表2：因素比较修正系数表</t>
  </si>
  <si>
    <t>因素比较修正系数表</t>
  </si>
  <si>
    <t>比较因素</t>
  </si>
  <si>
    <t>估价对象</t>
  </si>
  <si>
    <t>案例A</t>
  </si>
  <si>
    <t>案例B</t>
  </si>
  <si>
    <t>案例C</t>
  </si>
  <si>
    <t>盈科中心</t>
  </si>
  <si>
    <t>永利国际公寓</t>
  </si>
  <si>
    <t>富力爱丁堡</t>
  </si>
  <si>
    <t>瑞安·君汇</t>
  </si>
  <si>
    <t>交易时间</t>
  </si>
  <si>
    <t>2013.11</t>
  </si>
  <si>
    <t>100/</t>
  </si>
  <si>
    <t>交易情况</t>
  </si>
  <si>
    <t>正常</t>
  </si>
  <si>
    <t>权益状况</t>
  </si>
  <si>
    <t>土地用途</t>
  </si>
  <si>
    <t>住宅</t>
  </si>
  <si>
    <t>土地使用年限</t>
  </si>
  <si>
    <t>50-60年</t>
  </si>
  <si>
    <t>60-70年</t>
  </si>
  <si>
    <t>区位状况</t>
  </si>
  <si>
    <t>土地级别</t>
  </si>
  <si>
    <t>居住类二级</t>
  </si>
  <si>
    <t>居住社区成熟度</t>
  </si>
  <si>
    <t>较好</t>
  </si>
  <si>
    <t>交通便捷度</t>
  </si>
  <si>
    <t>临路状况</t>
  </si>
  <si>
    <t>主干道—工体北路</t>
  </si>
  <si>
    <t>快速路—东三环</t>
  </si>
  <si>
    <t>自然及人文环境</t>
  </si>
  <si>
    <t>基础设施情况及公共服务设施状况</t>
  </si>
  <si>
    <t>实物状况</t>
  </si>
  <si>
    <t>建筑物结构</t>
  </si>
  <si>
    <t>钢混</t>
  </si>
  <si>
    <t>建筑类型</t>
  </si>
  <si>
    <t>塔楼</t>
  </si>
  <si>
    <t>板塔结合</t>
  </si>
  <si>
    <t>高层板楼</t>
  </si>
  <si>
    <t>建成年代</t>
  </si>
  <si>
    <t>套均面积</t>
  </si>
  <si>
    <t>——</t>
  </si>
  <si>
    <t>公共部分装修</t>
  </si>
  <si>
    <t>精装</t>
  </si>
  <si>
    <t>室内装修</t>
  </si>
  <si>
    <t>物业服务条件</t>
  </si>
  <si>
    <t>销售均价（元/平方米）</t>
  </si>
  <si>
    <t xml:space="preserve">居住成熟度 </t>
  </si>
  <si>
    <t>比准价格（元/平方米）</t>
  </si>
  <si>
    <t>一级</t>
  </si>
  <si>
    <t>好</t>
  </si>
  <si>
    <t>高速路</t>
  </si>
  <si>
    <t>楼面价格（元/平方米）</t>
  </si>
  <si>
    <t>二级</t>
  </si>
  <si>
    <t>快速路</t>
  </si>
  <si>
    <t>房地产总值（元）</t>
  </si>
  <si>
    <t>三级</t>
  </si>
  <si>
    <t>一般</t>
  </si>
  <si>
    <t>主干道</t>
  </si>
  <si>
    <t>四级</t>
  </si>
  <si>
    <t>较差</t>
  </si>
  <si>
    <t>次干道</t>
  </si>
  <si>
    <t>五级</t>
  </si>
  <si>
    <t>差</t>
  </si>
  <si>
    <t>支路</t>
  </si>
  <si>
    <t>六级</t>
  </si>
  <si>
    <t>七级</t>
  </si>
  <si>
    <t>公共设施及基础设施</t>
  </si>
  <si>
    <t>建筑物类型</t>
  </si>
  <si>
    <t>砖混</t>
  </si>
  <si>
    <t>板楼</t>
  </si>
  <si>
    <t>内部装修</t>
  </si>
  <si>
    <t>普装</t>
  </si>
  <si>
    <t>简装</t>
  </si>
  <si>
    <t>毛坯</t>
  </si>
  <si>
    <t>估价时点</t>
  </si>
  <si>
    <t>残值率</t>
  </si>
  <si>
    <t>租赁终止日期</t>
  </si>
  <si>
    <t>耐用年限</t>
  </si>
  <si>
    <t>已使用</t>
  </si>
  <si>
    <t>成新度</t>
  </si>
  <si>
    <t>现值单价</t>
  </si>
  <si>
    <t>剩余租期</t>
  </si>
  <si>
    <t>年</t>
  </si>
  <si>
    <t>2013</t>
  </si>
  <si>
    <t>租期外剩余收益年期</t>
  </si>
  <si>
    <t>2014</t>
  </si>
  <si>
    <t>收益年期</t>
  </si>
  <si>
    <t>2015</t>
  </si>
  <si>
    <t>2016</t>
  </si>
  <si>
    <t>时段</t>
  </si>
  <si>
    <t>2014年租期租约期内（2013.11.20至2014.7.30）</t>
  </si>
  <si>
    <t>2014年租期租约期外（2014.7.31至2064.1.3）</t>
  </si>
  <si>
    <t>2015租约期内（2013.11.20至2015.2.28）</t>
  </si>
  <si>
    <t>2015租约期外（2015.3.1至2064.1.3）</t>
  </si>
  <si>
    <t>租约期外</t>
  </si>
  <si>
    <t>2017</t>
  </si>
  <si>
    <t>2018</t>
  </si>
  <si>
    <t>租赁面积</t>
  </si>
  <si>
    <t>年租金</t>
  </si>
  <si>
    <t>租期</t>
  </si>
  <si>
    <t>2021</t>
  </si>
  <si>
    <t>2022</t>
  </si>
  <si>
    <t>2023</t>
  </si>
  <si>
    <t>2025</t>
  </si>
  <si>
    <t>费率</t>
  </si>
  <si>
    <t>公式</t>
  </si>
  <si>
    <t>1-1</t>
  </si>
  <si>
    <t>出租面积</t>
  </si>
  <si>
    <t>1-2</t>
  </si>
  <si>
    <t>1-3</t>
  </si>
  <si>
    <t>空置率</t>
  </si>
  <si>
    <t>年租金小计</t>
  </si>
  <si>
    <t>租金×月数×（1-空置率）</t>
  </si>
  <si>
    <t>2-1-1</t>
  </si>
  <si>
    <t>两税两费</t>
  </si>
  <si>
    <t>年总收益×费率</t>
  </si>
  <si>
    <t>2-1-2</t>
  </si>
  <si>
    <t>房产税</t>
  </si>
  <si>
    <t>房产原值×（1-30%）×费率</t>
  </si>
  <si>
    <t>2-1-3</t>
  </si>
  <si>
    <t>土地使用税</t>
  </si>
  <si>
    <t>土地面积×取费标准</t>
  </si>
  <si>
    <t>2-1</t>
  </si>
  <si>
    <t>税费小计</t>
  </si>
  <si>
    <t>以上3项合计</t>
  </si>
  <si>
    <t>2-2</t>
  </si>
  <si>
    <t>维修费</t>
  </si>
  <si>
    <t>建筑物重置价值×维修费率</t>
  </si>
  <si>
    <t>2-3</t>
  </si>
  <si>
    <t>保险费</t>
  </si>
  <si>
    <t>现值×保险费率</t>
  </si>
  <si>
    <t>2-4</t>
  </si>
  <si>
    <t>管理费用</t>
  </si>
  <si>
    <t>年经营成本费用小计</t>
  </si>
  <si>
    <t>以上4项合计</t>
  </si>
  <si>
    <t>3</t>
  </si>
  <si>
    <t>房地产年纯收益</t>
  </si>
  <si>
    <t>4</t>
  </si>
  <si>
    <t>还原利率（Y）</t>
  </si>
  <si>
    <t>房地产未来第一年净收益×[1-（(1+g)/(1+Y)） ^n ]/(Y-g)</t>
  </si>
  <si>
    <t>5</t>
  </si>
  <si>
    <t>增长率（g）</t>
  </si>
  <si>
    <t>6</t>
  </si>
  <si>
    <t>收益年限（n）</t>
  </si>
  <si>
    <t>7</t>
  </si>
  <si>
    <t>折现率</t>
  </si>
  <si>
    <t>8</t>
  </si>
  <si>
    <t>折现值</t>
  </si>
  <si>
    <t>9</t>
  </si>
  <si>
    <t>10</t>
  </si>
  <si>
    <t>房屋年纯收益</t>
  </si>
  <si>
    <t>建筑物资本化率</t>
  </si>
  <si>
    <t>范围8%-10%</t>
  </si>
  <si>
    <t>两种方式比较，确定合理的建筑物与土地价值比例</t>
  </si>
  <si>
    <t>收益比率</t>
  </si>
  <si>
    <t>价值比率</t>
  </si>
  <si>
    <t>建筑物年收益比率</t>
  </si>
  <si>
    <t>土地年收益比率</t>
  </si>
  <si>
    <t>收益法计算（住宅）</t>
  </si>
  <si>
    <t>（二）建筑物价值</t>
  </si>
  <si>
    <t>单价</t>
  </si>
  <si>
    <t>相关系数</t>
  </si>
  <si>
    <t>建安费用</t>
  </si>
  <si>
    <t>勘察设计和前期工程费</t>
  </si>
  <si>
    <r>
      <t>按建安费用</t>
    </r>
    <r>
      <rPr>
        <sz val="10"/>
        <rFont val="Times New Roman"/>
        <family val="1"/>
      </rPr>
      <t>3%-5%</t>
    </r>
    <r>
      <rPr>
        <sz val="10"/>
        <rFont val="宋体"/>
        <family val="3"/>
        <charset val="134"/>
      </rPr>
      <t>计取</t>
    </r>
  </si>
  <si>
    <t>公共配套设施费用</t>
  </si>
  <si>
    <r>
      <t>按建安费用的</t>
    </r>
    <r>
      <rPr>
        <sz val="10"/>
        <rFont val="Times New Roman"/>
        <family val="1"/>
      </rPr>
      <t>0%-10%</t>
    </r>
    <r>
      <rPr>
        <sz val="10"/>
        <rFont val="宋体"/>
        <family val="3"/>
        <charset val="134"/>
      </rPr>
      <t>计取</t>
    </r>
  </si>
  <si>
    <t>基础设施建设费</t>
  </si>
  <si>
    <t>按实际计取</t>
  </si>
  <si>
    <t>相关税费</t>
  </si>
  <si>
    <t>按建安费用的一定比例计取</t>
  </si>
  <si>
    <t>建造成本</t>
  </si>
  <si>
    <r>
      <t>1</t>
    </r>
    <r>
      <rPr>
        <sz val="10"/>
        <rFont val="宋体"/>
        <family val="3"/>
        <charset val="134"/>
      </rPr>
      <t>.1～1.5项之和</t>
    </r>
  </si>
  <si>
    <r>
      <t>按</t>
    </r>
    <r>
      <rPr>
        <sz val="10"/>
        <rFont val="宋体"/>
        <family val="3"/>
        <charset val="134"/>
      </rPr>
      <t>建造成本</t>
    </r>
    <r>
      <rPr>
        <sz val="10"/>
        <rFont val="宋体"/>
        <family val="3"/>
        <charset val="134"/>
      </rPr>
      <t>的</t>
    </r>
    <r>
      <rPr>
        <sz val="10"/>
        <rFont val="Times New Roman"/>
        <family val="1"/>
      </rPr>
      <t>1%-3%</t>
    </r>
    <r>
      <rPr>
        <sz val="10"/>
        <rFont val="宋体"/>
        <family val="3"/>
        <charset val="134"/>
      </rPr>
      <t>计取</t>
    </r>
  </si>
  <si>
    <t>销售费用</t>
  </si>
  <si>
    <r>
      <t>按建筑物价值的</t>
    </r>
    <r>
      <rPr>
        <sz val="10"/>
        <rFont val="Times New Roman"/>
        <family val="1"/>
      </rPr>
      <t>1%-3%</t>
    </r>
  </si>
  <si>
    <t>贷款利息</t>
  </si>
  <si>
    <t>残值率（%）</t>
  </si>
  <si>
    <t>1-（1-残值率）×已经使用年限÷经济耐用年限</t>
  </si>
  <si>
    <r>
      <t>1-</t>
    </r>
    <r>
      <rPr>
        <sz val="10"/>
        <rFont val="宋体"/>
        <family val="3"/>
        <charset val="134"/>
      </rPr>
      <t>2</t>
    </r>
    <r>
      <rPr>
        <sz val="10"/>
        <rFont val="宋体"/>
        <family val="3"/>
        <charset val="134"/>
      </rPr>
      <t>项</t>
    </r>
    <r>
      <rPr>
        <sz val="10"/>
        <rFont val="宋体"/>
        <family val="3"/>
        <charset val="134"/>
      </rPr>
      <t>产生的利息</t>
    </r>
  </si>
  <si>
    <r>
      <t>（</t>
    </r>
    <r>
      <rPr>
        <sz val="10"/>
        <rFont val="Times New Roman"/>
        <family val="1"/>
      </rPr>
      <t>1+2</t>
    </r>
    <r>
      <rPr>
        <sz val="10"/>
        <rFont val="宋体"/>
        <family val="3"/>
        <charset val="134"/>
      </rPr>
      <t>）</t>
    </r>
    <r>
      <rPr>
        <sz val="10"/>
        <rFont val="Times New Roman"/>
        <family val="1"/>
      </rPr>
      <t>×</t>
    </r>
    <r>
      <rPr>
        <sz val="10"/>
        <rFont val="宋体"/>
        <family val="3"/>
        <charset val="134"/>
      </rPr>
      <t>年利率</t>
    </r>
    <r>
      <rPr>
        <sz val="10"/>
        <rFont val="Times New Roman"/>
        <family val="1"/>
      </rPr>
      <t>×</t>
    </r>
    <r>
      <rPr>
        <sz val="10"/>
        <rFont val="宋体"/>
        <family val="3"/>
        <charset val="134"/>
      </rPr>
      <t>建设期÷</t>
    </r>
    <r>
      <rPr>
        <sz val="10"/>
        <rFont val="Times New Roman"/>
        <family val="1"/>
      </rPr>
      <t>2</t>
    </r>
  </si>
  <si>
    <t>已经使用年限（年）</t>
  </si>
  <si>
    <t>销售费用产生的利息</t>
  </si>
  <si>
    <r>
      <t>销售费用率</t>
    </r>
    <r>
      <rPr>
        <sz val="10"/>
        <rFont val="Times New Roman"/>
        <family val="1"/>
      </rPr>
      <t>×</t>
    </r>
    <r>
      <rPr>
        <sz val="10"/>
        <rFont val="宋体"/>
        <family val="3"/>
        <charset val="134"/>
      </rPr>
      <t>年利率</t>
    </r>
    <r>
      <rPr>
        <sz val="10"/>
        <rFont val="Times New Roman"/>
        <family val="1"/>
      </rPr>
      <t>×</t>
    </r>
    <r>
      <rPr>
        <sz val="10"/>
        <rFont val="宋体"/>
        <family val="3"/>
        <charset val="134"/>
      </rPr>
      <t>建设期÷</t>
    </r>
    <r>
      <rPr>
        <sz val="10"/>
        <rFont val="Times New Roman"/>
        <family val="1"/>
      </rPr>
      <t>2</t>
    </r>
  </si>
  <si>
    <t>经济耐用年限（年）</t>
  </si>
  <si>
    <t>利润</t>
  </si>
  <si>
    <t>成新度（%）</t>
  </si>
  <si>
    <r>
      <t>1</t>
    </r>
    <r>
      <rPr>
        <sz val="10"/>
        <rFont val="宋体"/>
        <family val="3"/>
        <charset val="134"/>
      </rPr>
      <t>-3项</t>
    </r>
    <r>
      <rPr>
        <sz val="10"/>
        <rFont val="宋体"/>
        <family val="3"/>
        <charset val="134"/>
      </rPr>
      <t>产生的利润</t>
    </r>
  </si>
  <si>
    <r>
      <t>（</t>
    </r>
    <r>
      <rPr>
        <sz val="10"/>
        <rFont val="Times New Roman"/>
        <family val="1"/>
      </rPr>
      <t>1+2</t>
    </r>
    <r>
      <rPr>
        <sz val="10"/>
        <rFont val="宋体"/>
        <family val="3"/>
        <charset val="134"/>
      </rPr>
      <t>）</t>
    </r>
    <r>
      <rPr>
        <sz val="10"/>
        <rFont val="Times New Roman"/>
        <family val="1"/>
      </rPr>
      <t>×</t>
    </r>
    <r>
      <rPr>
        <sz val="10"/>
        <rFont val="宋体"/>
        <family val="3"/>
        <charset val="134"/>
      </rPr>
      <t>投资利润率</t>
    </r>
  </si>
  <si>
    <t>销售费用产生的利润</t>
  </si>
  <si>
    <r>
      <t>销售费用率</t>
    </r>
    <r>
      <rPr>
        <sz val="10"/>
        <rFont val="Times New Roman"/>
        <family val="1"/>
      </rPr>
      <t>×</t>
    </r>
    <r>
      <rPr>
        <sz val="10"/>
        <rFont val="宋体"/>
        <family val="3"/>
        <charset val="134"/>
      </rPr>
      <t>投资利润率</t>
    </r>
  </si>
  <si>
    <t>销售税费</t>
  </si>
  <si>
    <t>按建筑物价值的一定比率</t>
  </si>
  <si>
    <t>建筑物重置价值</t>
  </si>
  <si>
    <r>
      <t>1</t>
    </r>
    <r>
      <rPr>
        <sz val="10"/>
        <rFont val="宋体"/>
        <family val="3"/>
        <charset val="134"/>
      </rPr>
      <t>-6项之和</t>
    </r>
  </si>
  <si>
    <t>成新率</t>
  </si>
  <si>
    <t>建筑物重置价格×成新率</t>
  </si>
  <si>
    <r>
      <t>PCP(BEIJING)LEASESUMMARY</t>
    </r>
    <r>
      <rPr>
        <b/>
        <sz val="10"/>
        <rFont val="宋体"/>
        <family val="3"/>
        <charset val="134"/>
      </rPr>
      <t>北京盈科中心租赁汇总表</t>
    </r>
  </si>
  <si>
    <r>
      <t>PODIUM</t>
    </r>
    <r>
      <rPr>
        <b/>
        <sz val="10"/>
        <rFont val="宋体"/>
        <family val="3"/>
        <charset val="134"/>
      </rPr>
      <t>商场</t>
    </r>
  </si>
  <si>
    <r>
      <t>Units</t>
    </r>
    <r>
      <rPr>
        <b/>
        <sz val="10"/>
        <rFont val="宋体"/>
        <family val="3"/>
        <charset val="134"/>
      </rPr>
      <t>单位</t>
    </r>
  </si>
  <si>
    <r>
      <t>NFA</t>
    </r>
    <r>
      <rPr>
        <b/>
        <sz val="10"/>
        <rFont val="宋体"/>
        <family val="3"/>
        <charset val="134"/>
      </rPr>
      <t>净面积</t>
    </r>
  </si>
  <si>
    <t>NFA</t>
  </si>
  <si>
    <r>
      <t>GFA</t>
    </r>
    <r>
      <rPr>
        <b/>
        <sz val="10"/>
        <rFont val="宋体"/>
        <family val="3"/>
        <charset val="134"/>
      </rPr>
      <t>建筑面积</t>
    </r>
  </si>
  <si>
    <t>GFA</t>
  </si>
  <si>
    <r>
      <t>Face Rent per NFA (Contract)</t>
    </r>
    <r>
      <rPr>
        <b/>
        <sz val="10"/>
        <rFont val="宋体"/>
        <family val="3"/>
        <charset val="134"/>
      </rPr>
      <t>单位净面积的租金（合同价）</t>
    </r>
  </si>
  <si>
    <t>Face Rent per NFA (Contract)</t>
  </si>
  <si>
    <r>
      <t>Mgt per NFA</t>
    </r>
    <r>
      <rPr>
        <b/>
        <sz val="10"/>
        <rFont val="宋体"/>
        <family val="3"/>
        <charset val="134"/>
      </rPr>
      <t>单位净面积物管费</t>
    </r>
  </si>
  <si>
    <r>
      <t>Face Rent per NFA (Survey)</t>
    </r>
    <r>
      <rPr>
        <b/>
        <sz val="10"/>
        <rFont val="宋体"/>
        <family val="3"/>
        <charset val="134"/>
      </rPr>
      <t>单位净面积的租金（测量）</t>
    </r>
  </si>
  <si>
    <r>
      <t>Effective Rent per NFA (Survey)</t>
    </r>
    <r>
      <rPr>
        <b/>
        <sz val="10"/>
        <rFont val="宋体"/>
        <family val="3"/>
        <charset val="134"/>
      </rPr>
      <t>单位净面积的有效租金（测量）</t>
    </r>
  </si>
  <si>
    <r>
      <t>Effective Rent per GFA  (Survey)</t>
    </r>
    <r>
      <rPr>
        <b/>
        <sz val="10"/>
        <rFont val="宋体"/>
        <family val="3"/>
        <charset val="134"/>
      </rPr>
      <t>单位建筑面积的有效租金（测量）</t>
    </r>
  </si>
  <si>
    <r>
      <t xml:space="preserve"> Monthly Effective Rent</t>
    </r>
    <r>
      <rPr>
        <b/>
        <sz val="10"/>
        <rFont val="宋体"/>
        <family val="3"/>
        <charset val="134"/>
      </rPr>
      <t>月有效租金</t>
    </r>
  </si>
  <si>
    <t>租金单价</t>
  </si>
  <si>
    <r>
      <t>Monthly Mgt Fee</t>
    </r>
    <r>
      <rPr>
        <b/>
        <sz val="10"/>
        <rFont val="宋体"/>
        <family val="3"/>
        <charset val="134"/>
      </rPr>
      <t>月物管费</t>
    </r>
  </si>
  <si>
    <t>Date of Signing Lease Agmt</t>
  </si>
  <si>
    <r>
      <t>Term</t>
    </r>
    <r>
      <rPr>
        <b/>
        <sz val="10"/>
        <rFont val="宋体"/>
        <family val="3"/>
        <charset val="134"/>
      </rPr>
      <t>期限</t>
    </r>
  </si>
  <si>
    <r>
      <t>Security Deposit</t>
    </r>
    <r>
      <rPr>
        <b/>
        <sz val="10"/>
        <rFont val="宋体"/>
        <family val="3"/>
        <charset val="134"/>
      </rPr>
      <t>押金</t>
    </r>
  </si>
  <si>
    <r>
      <t xml:space="preserve">Contract </t>
    </r>
    <r>
      <rPr>
        <b/>
        <sz val="10"/>
        <rFont val="宋体"/>
        <family val="3"/>
        <charset val="134"/>
      </rPr>
      <t>合同</t>
    </r>
  </si>
  <si>
    <r>
      <t>Survey</t>
    </r>
    <r>
      <rPr>
        <b/>
        <sz val="10"/>
        <rFont val="宋体"/>
        <family val="3"/>
        <charset val="134"/>
      </rPr>
      <t>测量</t>
    </r>
  </si>
  <si>
    <r>
      <t>Contract</t>
    </r>
    <r>
      <rPr>
        <b/>
        <sz val="10"/>
        <rFont val="宋体"/>
        <family val="3"/>
        <charset val="134"/>
      </rPr>
      <t>合同</t>
    </r>
  </si>
  <si>
    <r>
      <t>Vacant</t>
    </r>
    <r>
      <rPr>
        <b/>
        <sz val="10"/>
        <rFont val="宋体"/>
        <family val="3"/>
        <charset val="134"/>
      </rPr>
      <t>空置</t>
    </r>
  </si>
  <si>
    <r>
      <t>Rent</t>
    </r>
    <r>
      <rPr>
        <b/>
        <sz val="10"/>
        <rFont val="宋体"/>
        <family val="3"/>
        <charset val="134"/>
      </rPr>
      <t>租金</t>
    </r>
  </si>
  <si>
    <r>
      <t>Mgt Fee</t>
    </r>
    <r>
      <rPr>
        <b/>
        <sz val="10"/>
        <rFont val="宋体"/>
        <family val="3"/>
        <charset val="134"/>
      </rPr>
      <t>物管费</t>
    </r>
  </si>
  <si>
    <r>
      <rPr>
        <sz val="10"/>
        <rFont val="宋体"/>
        <family val="3"/>
        <charset val="134"/>
      </rPr>
      <t>北京龙神东方洗衣代收店</t>
    </r>
  </si>
  <si>
    <t>106-1&amp;106-3</t>
  </si>
  <si>
    <t>36</t>
  </si>
  <si>
    <t xml:space="preserve"> </t>
  </si>
  <si>
    <t>佣金0 。</t>
  </si>
  <si>
    <t>每日历月7日前，提供上个月的营业额呈报给许可方审核，并于收到账单后7日内支付。报低租金+营业额总收入大的20%。出租人认为适当的时候，有权要求承租人将其收银系统连接至出租人系统中。承租人必须予以配合。因此而发生的费用将由出租人与承租人另行协商。弱承租人不予配合，则出租人有权随时核查承租人的营业额。因此而产生的审计核查费用将全部由承租人承担。</t>
  </si>
  <si>
    <r>
      <rPr>
        <sz val="10"/>
        <rFont val="宋体"/>
        <family val="3"/>
        <charset val="134"/>
      </rPr>
      <t>陈瑾瑾（幽唐广告）</t>
    </r>
  </si>
  <si>
    <t>105-2</t>
  </si>
  <si>
    <r>
      <rPr>
        <sz val="10"/>
        <rFont val="宋体"/>
        <family val="3"/>
        <charset val="134"/>
      </rPr>
      <t>佣金0</t>
    </r>
    <r>
      <rPr>
        <sz val="10"/>
        <rFont val="Arial"/>
        <family val="2"/>
      </rPr>
      <t xml:space="preserve"> </t>
    </r>
  </si>
  <si>
    <t>该单元只能用作红酒展示机销售。</t>
  </si>
  <si>
    <t>星巴克</t>
  </si>
  <si>
    <t xml:space="preserve">101A </t>
  </si>
  <si>
    <t>0+2 Terms</t>
  </si>
  <si>
    <r>
      <rPr>
        <sz val="10"/>
        <rFont val="宋体"/>
        <family val="3"/>
        <charset val="134"/>
      </rPr>
      <t>北京晨曦玖品企业管理有限公司</t>
    </r>
  </si>
  <si>
    <t>106-2</t>
  </si>
  <si>
    <r>
      <t>Mike'sChoice(</t>
    </r>
    <r>
      <rPr>
        <sz val="10"/>
        <rFont val="宋体"/>
        <family val="3"/>
        <charset val="134"/>
      </rPr>
      <t>高雅茹）</t>
    </r>
  </si>
  <si>
    <r>
      <rPr>
        <sz val="10"/>
        <rFont val="宋体"/>
        <family val="3"/>
        <charset val="134"/>
      </rPr>
      <t>佣金</t>
    </r>
    <r>
      <rPr>
        <sz val="10"/>
        <rFont val="Arial"/>
        <family val="2"/>
      </rPr>
      <t xml:space="preserve">14287.50 </t>
    </r>
    <r>
      <rPr>
        <sz val="10"/>
        <rFont val="宋体"/>
        <family val="3"/>
        <charset val="134"/>
      </rPr>
      <t>恒茂圣佳企业咨询有限责任公司。</t>
    </r>
  </si>
  <si>
    <r>
      <rPr>
        <sz val="10"/>
        <rFont val="宋体"/>
        <family val="3"/>
        <charset val="134"/>
      </rPr>
      <t>自</t>
    </r>
    <r>
      <rPr>
        <sz val="10"/>
        <rFont val="Arial"/>
        <family val="2"/>
      </rPr>
      <t>2012.07.01</t>
    </r>
    <r>
      <rPr>
        <sz val="10"/>
        <rFont val="宋体"/>
        <family val="3"/>
        <charset val="134"/>
      </rPr>
      <t>日起，变更为北京晨曦玖品企业管理有限公司</t>
    </r>
  </si>
  <si>
    <t>该单元只能用作红酒屋用途。租金将每三个月支付一次。承租人将设立一家新的公司实际租用该单元，成立后，权利义务将由新公司承继，出租人与新公司签订租约，同意月付。、</t>
  </si>
  <si>
    <r>
      <rPr>
        <sz val="10"/>
        <rFont val="宋体"/>
        <family val="3"/>
        <charset val="134"/>
      </rPr>
      <t>华联咖世家</t>
    </r>
  </si>
  <si>
    <t>105A</t>
  </si>
  <si>
    <t>72</t>
  </si>
  <si>
    <r>
      <rPr>
        <b/>
        <sz val="10"/>
        <rFont val="宋体"/>
        <family val="3"/>
        <charset val="134"/>
      </rPr>
      <t>出租人同意在租区外免费摆放带有承租方标识的餐桌椅、遮阳伞、暖炉</t>
    </r>
  </si>
  <si>
    <r>
      <rPr>
        <b/>
        <sz val="10"/>
        <rFont val="宋体"/>
        <family val="3"/>
        <charset val="134"/>
      </rPr>
      <t>销售佣金：</t>
    </r>
    <r>
      <rPr>
        <b/>
        <sz val="10"/>
        <rFont val="Arial"/>
        <family val="2"/>
      </rPr>
      <t>59624.</t>
    </r>
    <r>
      <rPr>
        <b/>
        <sz val="10"/>
        <rFont val="宋体"/>
        <family val="3"/>
        <charset val="134"/>
      </rPr>
      <t>中介：中原房地产经纪有限公司</t>
    </r>
    <r>
      <rPr>
        <b/>
        <sz val="10"/>
        <rFont val="Arial"/>
        <family val="2"/>
      </rPr>
      <t xml:space="preserve"> </t>
    </r>
    <r>
      <rPr>
        <b/>
        <sz val="10"/>
        <rFont val="宋体"/>
        <family val="3"/>
        <charset val="134"/>
      </rPr>
      <t>装修免租期：</t>
    </r>
    <r>
      <rPr>
        <b/>
        <sz val="10"/>
        <rFont val="Arial"/>
        <family val="2"/>
      </rPr>
      <t>2009/02/13-2009/03/14</t>
    </r>
  </si>
  <si>
    <t>博士山（北京）国际文化传播有限公司</t>
  </si>
  <si>
    <t>204-2</t>
  </si>
  <si>
    <t>60</t>
  </si>
  <si>
    <r>
      <t>Denominated in RMB; paid in RMB</t>
    </r>
    <r>
      <rPr>
        <sz val="10"/>
        <rFont val="宋体"/>
        <family val="3"/>
        <charset val="134"/>
      </rPr>
      <t>面值人民币，人民币支付</t>
    </r>
  </si>
  <si>
    <r>
      <rPr>
        <b/>
        <sz val="10"/>
        <rFont val="宋体"/>
        <family val="3"/>
        <charset val="134"/>
      </rPr>
      <t>如同层租区西侧组合到期退租，承租人在同等条件下有优先扩租赁权。</t>
    </r>
  </si>
  <si>
    <r>
      <t>1</t>
    </r>
    <r>
      <rPr>
        <b/>
        <sz val="10"/>
        <rFont val="宋体"/>
        <family val="3"/>
        <charset val="134"/>
      </rPr>
      <t>个地上东车楼非固定免费车位。</t>
    </r>
    <r>
      <rPr>
        <b/>
        <sz val="10"/>
        <rFont val="Arial"/>
        <family val="2"/>
      </rPr>
      <t>2011-1-1-2011-12-31</t>
    </r>
    <r>
      <rPr>
        <b/>
        <sz val="10"/>
        <rFont val="宋体"/>
        <family val="3"/>
        <charset val="134"/>
      </rPr>
      <t>日可以按大厦统一标准购买</t>
    </r>
    <r>
      <rPr>
        <b/>
        <sz val="10"/>
        <rFont val="Arial"/>
        <family val="2"/>
      </rPr>
      <t>6.5</t>
    </r>
    <r>
      <rPr>
        <b/>
        <sz val="10"/>
        <rFont val="宋体"/>
        <family val="3"/>
        <charset val="134"/>
      </rPr>
      <t>折优惠停车票</t>
    </r>
  </si>
  <si>
    <r>
      <rPr>
        <sz val="10"/>
        <rFont val="宋体"/>
        <family val="3"/>
        <charset val="134"/>
      </rPr>
      <t>佣金为</t>
    </r>
    <r>
      <rPr>
        <sz val="10"/>
        <rFont val="Arial"/>
        <family val="2"/>
      </rPr>
      <t xml:space="preserve">92480.76  </t>
    </r>
    <r>
      <rPr>
        <sz val="10"/>
        <rFont val="宋体"/>
        <family val="3"/>
        <charset val="134"/>
      </rPr>
      <t>代理是北京嘉阁房地产经纪有限公司，</t>
    </r>
    <r>
      <rPr>
        <sz val="10"/>
        <rFont val="Arial"/>
        <family val="2"/>
      </rPr>
      <t xml:space="preserve"> 2</t>
    </r>
    <r>
      <rPr>
        <sz val="10"/>
        <rFont val="宋体"/>
        <family val="3"/>
        <charset val="134"/>
      </rPr>
      <t>个月押金。综合调理养生美容。出租人免费为承租人在盈科中心正面标示牌上提供一处免费指示空间。</t>
    </r>
  </si>
  <si>
    <t>36+3Terms</t>
  </si>
  <si>
    <r>
      <rPr>
        <sz val="10"/>
        <rFont val="宋体"/>
        <family val="3"/>
        <charset val="134"/>
      </rPr>
      <t>补充协议，出租方满</t>
    </r>
    <r>
      <rPr>
        <sz val="10"/>
        <rFont val="Arial"/>
        <family val="2"/>
      </rPr>
      <t>36</t>
    </r>
    <r>
      <rPr>
        <sz val="10"/>
        <rFont val="宋体"/>
        <family val="3"/>
        <charset val="134"/>
      </rPr>
      <t>个月后可以提前</t>
    </r>
    <r>
      <rPr>
        <sz val="10"/>
        <rFont val="Arial"/>
        <family val="2"/>
      </rPr>
      <t>3</t>
    </r>
    <r>
      <rPr>
        <sz val="10"/>
        <rFont val="宋体"/>
        <family val="3"/>
        <charset val="134"/>
      </rPr>
      <t>个月提出解约。（无条件）。只能开展中医美容康复活动，而不能涉及有关治疗，细菌等</t>
    </r>
  </si>
  <si>
    <t>北京丁和李朴形象设计有限公司第一分公司</t>
  </si>
  <si>
    <t>103B &amp; 108</t>
  </si>
  <si>
    <t>N/A</t>
  </si>
  <si>
    <r>
      <t>2011.01.01-2011.12.31</t>
    </r>
    <r>
      <rPr>
        <b/>
        <sz val="10"/>
        <rFont val="宋体"/>
        <family val="3"/>
        <charset val="134"/>
      </rPr>
      <t>日给与承租方停车券</t>
    </r>
    <r>
      <rPr>
        <b/>
        <sz val="10"/>
        <rFont val="Arial"/>
        <family val="2"/>
      </rPr>
      <t>6</t>
    </r>
    <r>
      <rPr>
        <b/>
        <sz val="10"/>
        <rFont val="宋体"/>
        <family val="3"/>
        <charset val="134"/>
      </rPr>
      <t>折的优惠</t>
    </r>
  </si>
  <si>
    <t>吉野家</t>
  </si>
  <si>
    <r>
      <t>2010.01.06</t>
    </r>
    <r>
      <rPr>
        <sz val="10"/>
        <rFont val="宋体"/>
        <family val="3"/>
        <charset val="134"/>
      </rPr>
      <t>交房，</t>
    </r>
    <r>
      <rPr>
        <sz val="10"/>
        <rFont val="Arial"/>
        <family val="2"/>
      </rPr>
      <t>2.06</t>
    </r>
    <r>
      <rPr>
        <sz val="10"/>
        <rFont val="宋体"/>
        <family val="3"/>
        <charset val="134"/>
      </rPr>
      <t>日起租。</t>
    </r>
    <r>
      <rPr>
        <sz val="10"/>
        <rFont val="Arial"/>
        <family val="2"/>
      </rPr>
      <t>1</t>
    </r>
    <r>
      <rPr>
        <sz val="10"/>
        <rFont val="宋体"/>
        <family val="3"/>
        <charset val="134"/>
      </rPr>
      <t>个月的装修期。备忘录。</t>
    </r>
  </si>
  <si>
    <t>浙江海利普</t>
  </si>
  <si>
    <t>110-1</t>
  </si>
  <si>
    <t>76</t>
  </si>
  <si>
    <r>
      <rPr>
        <sz val="10"/>
        <rFont val="宋体"/>
        <family val="3"/>
        <charset val="134"/>
      </rPr>
      <t>承租人需要</t>
    </r>
    <r>
      <rPr>
        <sz val="10"/>
        <rFont val="Arial"/>
        <family val="2"/>
      </rPr>
      <t>220KVA</t>
    </r>
    <r>
      <rPr>
        <sz val="10"/>
        <rFont val="宋体"/>
        <family val="3"/>
        <charset val="134"/>
      </rPr>
      <t>的电量要求，需要增容，费用</t>
    </r>
    <r>
      <rPr>
        <sz val="10"/>
        <rFont val="Arial"/>
        <family val="2"/>
      </rPr>
      <t>10</t>
    </r>
    <r>
      <rPr>
        <sz val="10"/>
        <rFont val="宋体"/>
        <family val="3"/>
        <charset val="134"/>
      </rPr>
      <t>万元，双方合力摊分。因为政府禁令</t>
    </r>
    <r>
      <rPr>
        <sz val="10"/>
        <rFont val="Arial"/>
        <family val="2"/>
      </rPr>
      <t>110-1</t>
    </r>
    <r>
      <rPr>
        <sz val="10"/>
        <rFont val="宋体"/>
        <family val="3"/>
        <charset val="134"/>
      </rPr>
      <t>单元无法执行，有权解除合同，包括但不限于政府部门认为不能将裙楼</t>
    </r>
    <r>
      <rPr>
        <sz val="10"/>
        <rFont val="Arial"/>
        <family val="2"/>
      </rPr>
      <t>110-1</t>
    </r>
    <r>
      <rPr>
        <sz val="10"/>
        <rFont val="宋体"/>
        <family val="3"/>
        <charset val="134"/>
      </rPr>
      <t>单元用作实验室用途，或者实验室用途无法取得公安消防部门，环保部门或其他部门的审批。如承租人收到禁令后，应积极整改，如无法满足政府要求，出租人书面通知终止合同，本合同将于该书面通知送达之日起第</t>
    </r>
    <r>
      <rPr>
        <sz val="10"/>
        <rFont val="Arial"/>
        <family val="2"/>
      </rPr>
      <t>12</t>
    </r>
    <r>
      <rPr>
        <sz val="10"/>
        <rFont val="宋体"/>
        <family val="3"/>
        <charset val="134"/>
      </rPr>
      <t>个月的相对日终止（政府要求除外），政府另有要求，出租人有权根据政府要求而提前终止合同，不受通知期的限制。</t>
    </r>
  </si>
  <si>
    <r>
      <t>110-1</t>
    </r>
    <r>
      <rPr>
        <sz val="10"/>
        <rFont val="宋体"/>
        <family val="3"/>
        <charset val="134"/>
      </rPr>
      <t>单元边上有空置面积，则承租人可扩租，在</t>
    </r>
    <r>
      <rPr>
        <sz val="10"/>
        <rFont val="Arial"/>
        <family val="2"/>
      </rPr>
      <t>2011.12.31</t>
    </r>
    <r>
      <rPr>
        <sz val="10"/>
        <rFont val="宋体"/>
        <family val="3"/>
        <charset val="134"/>
      </rPr>
      <t>日之前，租金与此合同一致，。</t>
    </r>
  </si>
  <si>
    <r>
      <t xml:space="preserve">19F,20F </t>
    </r>
    <r>
      <rPr>
        <b/>
        <sz val="10"/>
        <rFont val="宋体"/>
        <family val="3"/>
        <charset val="134"/>
      </rPr>
      <t>和本合同为关联承租人。若因政府禁令原因，导致本合同提前终止的，书面通知出租人无需赔偿。</t>
    </r>
  </si>
  <si>
    <t>48+6 terms</t>
  </si>
  <si>
    <r>
      <t xml:space="preserve">佣金为125582.50 </t>
    </r>
    <r>
      <rPr>
        <sz val="10"/>
        <rFont val="宋体"/>
        <family val="3"/>
        <charset val="134"/>
      </rPr>
      <t>（</t>
    </r>
    <r>
      <rPr>
        <sz val="10"/>
        <rFont val="Arial"/>
        <family val="2"/>
      </rPr>
      <t>2</t>
    </r>
    <r>
      <rPr>
        <sz val="10"/>
        <rFont val="宋体"/>
        <family val="3"/>
        <charset val="134"/>
      </rPr>
      <t>个月）</t>
    </r>
    <r>
      <rPr>
        <sz val="10"/>
        <rFont val="Arial"/>
        <family val="2"/>
      </rPr>
      <t xml:space="preserve"> </t>
    </r>
    <r>
      <rPr>
        <sz val="10"/>
        <rFont val="宋体"/>
        <family val="3"/>
        <charset val="134"/>
      </rPr>
      <t>，</t>
    </r>
    <r>
      <rPr>
        <sz val="10"/>
        <rFont val="Arial"/>
        <family val="2"/>
      </rPr>
      <t>cushman &amp; wakefield  4</t>
    </r>
    <r>
      <rPr>
        <sz val="10"/>
        <rFont val="宋体"/>
        <family val="3"/>
        <charset val="134"/>
      </rPr>
      <t>个月的装修期</t>
    </r>
    <r>
      <rPr>
        <sz val="10"/>
        <rFont val="Arial"/>
        <family val="2"/>
      </rPr>
      <t xml:space="preserve"> 2010-10-01--2011-1-31</t>
    </r>
  </si>
  <si>
    <r>
      <rPr>
        <sz val="10"/>
        <rFont val="宋体"/>
        <family val="3"/>
        <charset val="134"/>
      </rPr>
      <t>棒约翰</t>
    </r>
  </si>
  <si>
    <r>
      <rPr>
        <sz val="10"/>
        <rFont val="宋体"/>
        <family val="3"/>
        <charset val="134"/>
      </rPr>
      <t>佣金：</t>
    </r>
    <r>
      <rPr>
        <sz val="10"/>
        <rFont val="Arial"/>
        <family val="2"/>
      </rPr>
      <t>48024</t>
    </r>
  </si>
  <si>
    <t>超鹏世纪房地产经纪公司</t>
  </si>
  <si>
    <r>
      <rPr>
        <sz val="10"/>
        <rFont val="宋体"/>
        <family val="3"/>
        <charset val="134"/>
      </rPr>
      <t>及</t>
    </r>
    <r>
      <rPr>
        <sz val="10"/>
        <rFont val="Arial"/>
        <family val="2"/>
      </rPr>
      <t>2</t>
    </r>
    <r>
      <rPr>
        <sz val="10"/>
        <rFont val="宋体"/>
        <family val="3"/>
        <charset val="134"/>
      </rPr>
      <t>）出租人有权提前十二个月书面通知承租人解除本合同。在此情况下，出租人同意：
若解约日在租期开始的第十二个月之后第二十四个月或以内，则出租人须赔偿承租方</t>
    </r>
    <r>
      <rPr>
        <sz val="10"/>
        <rFont val="Arial"/>
        <family val="2"/>
      </rPr>
      <t>120</t>
    </r>
    <r>
      <rPr>
        <sz val="10"/>
        <rFont val="宋体"/>
        <family val="3"/>
        <charset val="134"/>
      </rPr>
      <t>万元人民币作为解约赔偿金</t>
    </r>
    <r>
      <rPr>
        <sz val="10"/>
        <rFont val="Arial"/>
        <family val="2"/>
      </rPr>
      <t xml:space="preserve"> ;</t>
    </r>
    <r>
      <rPr>
        <sz val="10"/>
        <rFont val="宋体"/>
        <family val="3"/>
        <charset val="134"/>
      </rPr>
      <t>若解约日在租期开始的第二十四个月之后第三十六个月或以内，则出租人须赔偿承租方</t>
    </r>
    <r>
      <rPr>
        <sz val="10"/>
        <rFont val="Arial"/>
        <family val="2"/>
      </rPr>
      <t>90</t>
    </r>
    <r>
      <rPr>
        <sz val="10"/>
        <rFont val="宋体"/>
        <family val="3"/>
        <charset val="134"/>
      </rPr>
      <t>万元人民币作为解约赔偿金</t>
    </r>
    <r>
      <rPr>
        <sz val="10"/>
        <rFont val="Arial"/>
        <family val="2"/>
      </rPr>
      <t xml:space="preserve"> ;</t>
    </r>
    <r>
      <rPr>
        <sz val="10"/>
        <rFont val="宋体"/>
        <family val="3"/>
        <charset val="134"/>
      </rPr>
      <t>若解约日在租期开始的第三十六个月之后第四十八个月或以内，则出租人须赔偿承租方</t>
    </r>
    <r>
      <rPr>
        <sz val="10"/>
        <rFont val="Arial"/>
        <family val="2"/>
      </rPr>
      <t>60</t>
    </r>
    <r>
      <rPr>
        <sz val="10"/>
        <rFont val="宋体"/>
        <family val="3"/>
        <charset val="134"/>
      </rPr>
      <t>万元人民币作为解约赔偿金</t>
    </r>
    <r>
      <rPr>
        <sz val="10"/>
        <rFont val="Arial"/>
        <family val="2"/>
      </rPr>
      <t xml:space="preserve"> ;</t>
    </r>
    <r>
      <rPr>
        <sz val="10"/>
        <rFont val="宋体"/>
        <family val="3"/>
        <charset val="134"/>
      </rPr>
      <t>若解约日在租期开始的第四十八个月之后第六十个月或以内，则出租人须赔偿承租方</t>
    </r>
    <r>
      <rPr>
        <sz val="10"/>
        <rFont val="Arial"/>
        <family val="2"/>
      </rPr>
      <t>30</t>
    </r>
    <r>
      <rPr>
        <sz val="10"/>
        <rFont val="宋体"/>
        <family val="3"/>
        <charset val="134"/>
      </rPr>
      <t>万元人民币作为解约赔偿金。除以上赔偿金外，出租人不须再作任何赔偿</t>
    </r>
    <r>
      <rPr>
        <sz val="10"/>
        <rFont val="Arial"/>
        <family val="2"/>
      </rPr>
      <t xml:space="preserve"> ;
</t>
    </r>
    <r>
      <rPr>
        <sz val="10"/>
        <rFont val="宋体"/>
        <family val="3"/>
        <charset val="134"/>
      </rPr>
      <t>如出租人处置上述物业但不解除本合同，出租人应该告知承租人新业主身份且本合同应在新业主与承租人间继续有效。</t>
    </r>
  </si>
  <si>
    <r>
      <rPr>
        <sz val="10"/>
        <rFont val="宋体"/>
        <family val="3"/>
        <charset val="134"/>
      </rPr>
      <t>（</t>
    </r>
    <r>
      <rPr>
        <sz val="10"/>
        <rFont val="Arial"/>
        <family val="2"/>
      </rPr>
      <t>1</t>
    </r>
    <r>
      <rPr>
        <sz val="10"/>
        <rFont val="宋体"/>
        <family val="3"/>
        <charset val="134"/>
      </rPr>
      <t>）出租人于租期内免费提供给承租人</t>
    </r>
    <r>
      <rPr>
        <sz val="10"/>
        <rFont val="Arial"/>
        <family val="2"/>
      </rPr>
      <t>5</t>
    </r>
    <r>
      <rPr>
        <sz val="10"/>
        <rFont val="宋体"/>
        <family val="3"/>
        <charset val="134"/>
      </rPr>
      <t>个地上自行车车位作为承租人提供送餐服务所使用的自行车停放地点，具体位置由出租人指定。（</t>
    </r>
    <r>
      <rPr>
        <sz val="10"/>
        <rFont val="Arial"/>
        <family val="2"/>
      </rPr>
      <t>2</t>
    </r>
    <r>
      <rPr>
        <sz val="10"/>
        <rFont val="宋体"/>
        <family val="3"/>
        <charset val="134"/>
      </rPr>
      <t>）出租人同意免费在盈科中心周边三个路引水牌上增加承租人公司名称（不包含公司</t>
    </r>
    <r>
      <rPr>
        <sz val="10"/>
        <rFont val="Arial"/>
        <family val="2"/>
      </rPr>
      <t>logo</t>
    </r>
    <r>
      <rPr>
        <sz val="10"/>
        <rFont val="宋体"/>
        <family val="3"/>
        <charset val="134"/>
      </rPr>
      <t>）</t>
    </r>
    <r>
      <rPr>
        <sz val="10"/>
        <rFont val="Arial"/>
        <family val="2"/>
      </rPr>
      <t>,</t>
    </r>
    <r>
      <rPr>
        <sz val="10"/>
        <rFont val="宋体"/>
        <family val="3"/>
        <charset val="134"/>
      </rPr>
      <t>作为路引标志。承租人公司名称在路引水牌上的位置、规格等将由出租人自行决定。承租人知晓其将与其他客户共同使用路引水牌，任何时候出租人均有权无需征得承租人的同意，在路引水牌上加入其他人的名称。如因政府政策等原因，出租人收到相关部门通知，要求更换路引水牌或要求拆除路引水牌，则出租人有权按照政府要求予以更换或拆除，承租人不得提出任何异议，且不得向出租人要求任何对价、赔偿、补偿、索赔、要求。（</t>
    </r>
    <r>
      <rPr>
        <sz val="10"/>
        <rFont val="Arial"/>
        <family val="2"/>
      </rPr>
      <t>3</t>
    </r>
    <r>
      <rPr>
        <sz val="10"/>
        <rFont val="宋体"/>
        <family val="3"/>
        <charset val="134"/>
      </rPr>
      <t>）承租方按照本合同的规定（包括但不限于本合同第</t>
    </r>
    <r>
      <rPr>
        <sz val="10"/>
        <rFont val="Arial"/>
        <family val="2"/>
      </rPr>
      <t>13</t>
    </r>
    <r>
      <rPr>
        <sz val="10"/>
        <rFont val="宋体"/>
        <family val="3"/>
        <charset val="134"/>
      </rPr>
      <t>条的规定），可以自费在承租单元内设置公司标牌，其所有从窗户对外展示的广告设计方案均需得到出租人的认可并由承租人自行向当地城管或相关政府部门报批备案通过。</t>
    </r>
  </si>
  <si>
    <t>龙神东方餐饮</t>
  </si>
  <si>
    <t>202&amp;103A-2</t>
  </si>
  <si>
    <t>99</t>
  </si>
  <si>
    <r>
      <rPr>
        <sz val="10"/>
        <rFont val="宋体"/>
        <family val="3"/>
        <charset val="134"/>
      </rPr>
      <t>恒大文化产业集团有限公司（原为恒大欣业文化投资有限公司）</t>
    </r>
  </si>
  <si>
    <r>
      <t>304</t>
    </r>
    <r>
      <rPr>
        <sz val="10"/>
        <rFont val="宋体"/>
        <family val="3"/>
        <charset val="134"/>
      </rPr>
      <t>及</t>
    </r>
    <r>
      <rPr>
        <sz val="10"/>
        <rFont val="Arial"/>
        <family val="2"/>
      </rPr>
      <t>404-1</t>
    </r>
  </si>
  <si>
    <t>96</t>
  </si>
  <si>
    <t>恒大影视策划有限公司</t>
  </si>
  <si>
    <t>404B-8</t>
  </si>
  <si>
    <r>
      <rPr>
        <sz val="10"/>
        <rFont val="宋体"/>
        <family val="3"/>
        <charset val="134"/>
      </rPr>
      <t>可以扩租</t>
    </r>
    <r>
      <rPr>
        <sz val="10"/>
        <rFont val="Arial"/>
        <family val="2"/>
      </rPr>
      <t>404-3</t>
    </r>
  </si>
  <si>
    <r>
      <t>4</t>
    </r>
    <r>
      <rPr>
        <sz val="10"/>
        <rFont val="宋体"/>
        <family val="3"/>
        <charset val="134"/>
      </rPr>
      <t>个免费的东车楼车位。</t>
    </r>
    <r>
      <rPr>
        <sz val="10"/>
        <rFont val="Arial"/>
        <family val="2"/>
      </rPr>
      <t>4</t>
    </r>
    <r>
      <rPr>
        <sz val="10"/>
        <rFont val="宋体"/>
        <family val="3"/>
        <charset val="134"/>
      </rPr>
      <t>个免费的地下二层车位</t>
    </r>
  </si>
  <si>
    <t>承租人在事先取得出租人的书面认可的前提下，可在该单元内放置标牌或者宣传展示，必须复合法律规定。 2011.09.21日名称变更为恒大文化产业集团有限公司，并承担相关404B-1-8的八家关联公司。</t>
  </si>
  <si>
    <r>
      <rPr>
        <sz val="10"/>
        <rFont val="宋体"/>
        <family val="3"/>
        <charset val="134"/>
      </rPr>
      <t>北京百昌兴业投资顾问有限公司</t>
    </r>
  </si>
  <si>
    <t>404B-1</t>
  </si>
  <si>
    <r>
      <rPr>
        <sz val="10"/>
        <rFont val="宋体"/>
        <family val="3"/>
        <charset val="134"/>
      </rPr>
      <t>无佣金，程总介绍。</t>
    </r>
  </si>
  <si>
    <t>承租人在事先取得出租人的书面认可的前提下，可在该单元内放置标牌或者宣传展示，必须复合法律规定。如果嘉禾影院二期项目报批成功，恒大欣业在报批成功日后的6个月内退还新扩组面积，并不要求赔偿。第52条 有提前退还条款</t>
  </si>
  <si>
    <r>
      <rPr>
        <sz val="10"/>
        <rFont val="宋体"/>
        <family val="3"/>
        <charset val="134"/>
      </rPr>
      <t>北京润业文化艺术有限公司</t>
    </r>
  </si>
  <si>
    <t>404B-2</t>
  </si>
  <si>
    <r>
      <rPr>
        <sz val="10"/>
        <rFont val="宋体"/>
        <family val="3"/>
        <charset val="134"/>
      </rPr>
      <t>恒大院线管理有限公司</t>
    </r>
  </si>
  <si>
    <t>404B-3</t>
  </si>
  <si>
    <r>
      <rPr>
        <sz val="10"/>
        <rFont val="宋体"/>
        <family val="3"/>
        <charset val="134"/>
      </rPr>
      <t>恒大文化经纪有限公司</t>
    </r>
  </si>
  <si>
    <t>404B-4</t>
  </si>
  <si>
    <r>
      <rPr>
        <sz val="10"/>
        <rFont val="宋体"/>
        <family val="3"/>
        <charset val="134"/>
      </rPr>
      <t>恒大影视文化有限公司</t>
    </r>
  </si>
  <si>
    <t>404B-5</t>
  </si>
  <si>
    <r>
      <rPr>
        <sz val="10"/>
        <rFont val="宋体"/>
        <family val="3"/>
        <charset val="134"/>
      </rPr>
      <t>恒大动漫产业有限公司</t>
    </r>
  </si>
  <si>
    <t>404B-6</t>
  </si>
  <si>
    <r>
      <rPr>
        <sz val="10"/>
        <rFont val="宋体"/>
        <family val="3"/>
        <charset val="134"/>
      </rPr>
      <t>恒大音乐有限公司</t>
    </r>
  </si>
  <si>
    <t>404B-7</t>
  </si>
  <si>
    <r>
      <rPr>
        <sz val="10"/>
        <rFont val="宋体"/>
        <family val="3"/>
        <charset val="134"/>
      </rPr>
      <t>恒大影视发行有限公司</t>
    </r>
  </si>
  <si>
    <t>俏江南</t>
  </si>
  <si>
    <r>
      <t>3</t>
    </r>
    <r>
      <rPr>
        <sz val="10"/>
        <rFont val="宋体"/>
        <family val="3"/>
        <charset val="134"/>
      </rPr>
      <t>个月免租装修期待定。等太百装修一同进行。</t>
    </r>
  </si>
  <si>
    <t>Standard</t>
  </si>
  <si>
    <r>
      <t xml:space="preserve">PCP </t>
    </r>
    <r>
      <rPr>
        <b/>
        <sz val="10"/>
        <rFont val="宋体"/>
        <family val="3"/>
        <charset val="134"/>
      </rPr>
      <t>商场三层</t>
    </r>
  </si>
  <si>
    <t>悦海堂（钱龙轩）</t>
  </si>
  <si>
    <t>502&amp; 403-1 &amp;302</t>
  </si>
  <si>
    <t>120</t>
  </si>
  <si>
    <t>恒大文化经纪有限公司</t>
  </si>
  <si>
    <t>same with the main contract (Tower B)</t>
  </si>
  <si>
    <t>Same</t>
  </si>
  <si>
    <r>
      <rPr>
        <sz val="10"/>
        <rFont val="宋体"/>
        <family val="3"/>
        <charset val="134"/>
      </rPr>
      <t>佣金为</t>
    </r>
    <r>
      <rPr>
        <sz val="10"/>
        <rFont val="Arial"/>
        <family val="2"/>
      </rPr>
      <t xml:space="preserve">703932.26  </t>
    </r>
    <r>
      <rPr>
        <sz val="10"/>
        <rFont val="宋体"/>
        <family val="3"/>
        <charset val="134"/>
      </rPr>
      <t>代理是北京聚义合房地产经纪有限公司，。</t>
    </r>
    <r>
      <rPr>
        <sz val="10"/>
        <rFont val="Arial"/>
        <family val="2"/>
      </rPr>
      <t xml:space="preserve"> 2</t>
    </r>
    <r>
      <rPr>
        <sz val="10"/>
        <rFont val="宋体"/>
        <family val="3"/>
        <charset val="134"/>
      </rPr>
      <t>个月押金。</t>
    </r>
  </si>
  <si>
    <r>
      <rPr>
        <sz val="10"/>
        <rFont val="宋体"/>
        <family val="3"/>
        <charset val="134"/>
      </rPr>
      <t>北京橙天嘉禾三里屯影城管理有限公司</t>
    </r>
  </si>
  <si>
    <t>4F403-2</t>
  </si>
  <si>
    <t>180</t>
  </si>
  <si>
    <r>
      <rPr>
        <sz val="10"/>
        <rFont val="宋体"/>
        <family val="3"/>
        <charset val="134"/>
      </rPr>
      <t>无论如何</t>
    </r>
    <r>
      <rPr>
        <sz val="10"/>
        <rFont val="Arial"/>
        <family val="2"/>
      </rPr>
      <t>7</t>
    </r>
    <r>
      <rPr>
        <sz val="10"/>
        <rFont val="宋体"/>
        <family val="3"/>
        <charset val="134"/>
      </rPr>
      <t>月一日起租</t>
    </r>
    <r>
      <rPr>
        <sz val="10"/>
        <rFont val="Arial"/>
        <family val="2"/>
      </rPr>
      <t xml:space="preserve">, </t>
    </r>
    <r>
      <rPr>
        <sz val="10"/>
        <rFont val="宋体"/>
        <family val="3"/>
        <charset val="134"/>
      </rPr>
      <t>装修不能延期</t>
    </r>
    <r>
      <rPr>
        <sz val="10"/>
        <rFont val="Arial"/>
        <family val="2"/>
      </rPr>
      <t xml:space="preserve"> </t>
    </r>
    <r>
      <rPr>
        <sz val="10"/>
        <rFont val="宋体"/>
        <family val="3"/>
        <charset val="134"/>
      </rPr>
      <t>无论如何</t>
    </r>
    <r>
      <rPr>
        <sz val="10"/>
        <rFont val="Arial"/>
        <family val="2"/>
      </rPr>
      <t>7</t>
    </r>
    <r>
      <rPr>
        <sz val="10"/>
        <rFont val="宋体"/>
        <family val="3"/>
        <charset val="134"/>
      </rPr>
      <t>月一日起收管理费全额</t>
    </r>
    <r>
      <rPr>
        <sz val="10"/>
        <rFont val="Arial"/>
        <family val="2"/>
      </rPr>
      <t xml:space="preserve"> </t>
    </r>
    <r>
      <rPr>
        <sz val="10"/>
        <rFont val="宋体"/>
        <family val="3"/>
        <charset val="134"/>
      </rPr>
      <t>免费停车改为首六个月毎月</t>
    </r>
    <r>
      <rPr>
        <sz val="10"/>
        <rFont val="Arial"/>
        <family val="2"/>
      </rPr>
      <t>5000</t>
    </r>
    <r>
      <rPr>
        <sz val="10"/>
        <rFont val="宋体"/>
        <family val="3"/>
        <charset val="134"/>
      </rPr>
      <t>小时</t>
    </r>
    <r>
      <rPr>
        <sz val="10"/>
        <rFont val="Arial"/>
        <family val="2"/>
      </rPr>
      <t xml:space="preserve"> by </t>
    </r>
    <r>
      <rPr>
        <sz val="10"/>
        <rFont val="宋体"/>
        <family val="3"/>
        <charset val="134"/>
      </rPr>
      <t>孙总邮件。</t>
    </r>
  </si>
  <si>
    <r>
      <t>Sub-total</t>
    </r>
    <r>
      <rPr>
        <b/>
        <sz val="10"/>
        <rFont val="宋体"/>
        <family val="3"/>
        <charset val="134"/>
      </rPr>
      <t>总计</t>
    </r>
  </si>
  <si>
    <t>KEY:</t>
  </si>
  <si>
    <t>New lease in Jul-13</t>
  </si>
  <si>
    <t>Lease renewed in Jul-13</t>
  </si>
  <si>
    <t xml:space="preserve"> Reservation  in Jul-13</t>
  </si>
  <si>
    <t>PacificDepartmentStore</t>
  </si>
  <si>
    <t>10.5</t>
  </si>
  <si>
    <t>Basic rent only</t>
  </si>
  <si>
    <t>*After Jul 31 2013</t>
  </si>
  <si>
    <t>Total</t>
  </si>
  <si>
    <t>*After Jul 31 2013 (Being included in the leased area)</t>
  </si>
  <si>
    <t>2014年租期租约期内（2013.11.20至2014.12.31）</t>
  </si>
  <si>
    <t>2014年租期租约期外（2015.1.1至2034.1.3）</t>
  </si>
  <si>
    <t>2015租约期内（2013.11.20至2015.12.31）</t>
  </si>
  <si>
    <t>2015租约期外（2016.1.1至2034.1.3）</t>
  </si>
  <si>
    <t>2017租约期内（2013.11.20至2017.5.31）</t>
  </si>
  <si>
    <t>2017租约期外（2017.6.1至2034.1.3）</t>
  </si>
  <si>
    <t>2018租约期内（2013.11.20至2018.7.31）</t>
  </si>
  <si>
    <t>2018租约期外（2018.8.1至2034.1.3）</t>
  </si>
  <si>
    <t>2019租约期内（2013.11.20至2019.9.14）</t>
  </si>
  <si>
    <t>2019租约期外（2019.9.15至2034.1.3）</t>
  </si>
  <si>
    <t>2021租约期内（2013.11.20至2021.3.14）</t>
  </si>
  <si>
    <t>2021租约期外（2021.3.15至2034.1.3）</t>
  </si>
  <si>
    <t>2025租约期内（2013.11.20至2025.6.30）</t>
  </si>
  <si>
    <t>2025租约期外（2025.7.1至2034.1.3）</t>
  </si>
  <si>
    <t>2019</t>
  </si>
  <si>
    <t>2020</t>
  </si>
  <si>
    <t>2024</t>
  </si>
  <si>
    <t>收益法计算（商业）</t>
  </si>
  <si>
    <t>商业</t>
  </si>
  <si>
    <t>Units（单位）</t>
  </si>
  <si>
    <r>
      <t>Survey</t>
    </r>
    <r>
      <rPr>
        <b/>
        <sz val="10"/>
        <color indexed="10"/>
        <rFont val="宋体"/>
        <family val="3"/>
        <charset val="134"/>
      </rPr>
      <t>（测量）</t>
    </r>
  </si>
  <si>
    <t>Contract（合同）</t>
  </si>
  <si>
    <r>
      <t>Vacant</t>
    </r>
    <r>
      <rPr>
        <b/>
        <sz val="10"/>
        <rFont val="宋体"/>
        <family val="3"/>
        <charset val="134"/>
      </rPr>
      <t>（空置）</t>
    </r>
  </si>
  <si>
    <t>Face Rent per GFA  
单位建筑面积租金</t>
  </si>
  <si>
    <t>Effective Rent per GFA
单位建筑面积有效租金</t>
  </si>
  <si>
    <t>Effective Rent per GFA Contract
合同建筑面积有效租金</t>
  </si>
  <si>
    <t>Mgt per GFA
单位建筑面积管理费</t>
  </si>
  <si>
    <t>Monthly Face Rent
月租</t>
  </si>
  <si>
    <t>Monthly Effective Rent
有效月租</t>
  </si>
  <si>
    <t>Monthly</t>
  </si>
  <si>
    <r>
      <t xml:space="preserve">Monthly Mgt Fee
</t>
    </r>
    <r>
      <rPr>
        <b/>
        <sz val="10"/>
        <rFont val="宋体"/>
        <family val="3"/>
        <charset val="134"/>
      </rPr>
      <t>月管理费</t>
    </r>
  </si>
  <si>
    <t>Term（期限）</t>
  </si>
  <si>
    <t>Rent Period（租期）</t>
  </si>
  <si>
    <t>GFA（建筑面积）</t>
  </si>
  <si>
    <t>Effective Rent
有效月租</t>
  </si>
  <si>
    <t>Months（月）</t>
  </si>
  <si>
    <t>SQM平方米</t>
  </si>
  <si>
    <t>RMB人民币</t>
  </si>
  <si>
    <t>USD美金</t>
  </si>
  <si>
    <r>
      <rPr>
        <b/>
        <sz val="10"/>
        <rFont val="宋体"/>
        <family val="3"/>
        <charset val="134"/>
      </rPr>
      <t>柏诚工程技术（北京）有限公司</t>
    </r>
  </si>
  <si>
    <t>16F</t>
  </si>
  <si>
    <t>40</t>
  </si>
  <si>
    <t>北京业宏达经贸有限公司</t>
  </si>
  <si>
    <t>1202,02A,03,05-08A</t>
  </si>
  <si>
    <t>北京泰亿通经贸有限公司</t>
  </si>
  <si>
    <t>海康人寿保险有限公司</t>
  </si>
  <si>
    <t>1201,1210-17A</t>
  </si>
  <si>
    <r>
      <rPr>
        <b/>
        <sz val="10"/>
        <rFont val="宋体"/>
        <family val="3"/>
        <charset val="134"/>
      </rPr>
      <t>北京盛世创捷投资管理有限公司</t>
    </r>
  </si>
  <si>
    <t>1010</t>
  </si>
  <si>
    <t>三和锦信（北京燕德行投资担保有限公司）</t>
  </si>
  <si>
    <t>811,812,815,816,817</t>
  </si>
  <si>
    <t>Boeing (China) Co.,</t>
  </si>
  <si>
    <t>16th-17th/F except 1734,1603,1605,1605A</t>
  </si>
  <si>
    <t>JEPPESEN GmbH</t>
  </si>
  <si>
    <t>1603&amp;1605 1605A</t>
  </si>
  <si>
    <t>北京百华悦邦（百邦优保）电子科技责任有限公司</t>
  </si>
  <si>
    <t>801&amp;817A</t>
  </si>
  <si>
    <r>
      <rPr>
        <b/>
        <sz val="10"/>
        <rFont val="宋体"/>
        <family val="3"/>
        <charset val="134"/>
      </rPr>
      <t>世丹上海商贸有限公司</t>
    </r>
  </si>
  <si>
    <t>7F 703</t>
  </si>
  <si>
    <t>日联汽车零部件贸易（天津）有限公司北京分公司</t>
  </si>
  <si>
    <t>602 &amp; 603</t>
  </si>
  <si>
    <t>峰能斯格尔（北京）可再生能源科技有限公司Feng Neng Sgurr (Beijing) Renewable Energy Technology</t>
  </si>
  <si>
    <t>808A&amp; 809</t>
  </si>
  <si>
    <r>
      <rPr>
        <b/>
        <sz val="10"/>
        <rFont val="宋体"/>
        <family val="3"/>
        <charset val="134"/>
      </rPr>
      <t>北京汇益安国际信息交流有限公司</t>
    </r>
  </si>
  <si>
    <t>607</t>
  </si>
  <si>
    <t xml:space="preserve">Kondensha </t>
  </si>
  <si>
    <t>802</t>
  </si>
  <si>
    <r>
      <rPr>
        <b/>
        <sz val="10"/>
        <rFont val="宋体"/>
        <family val="3"/>
        <charset val="134"/>
      </rPr>
      <t>杰爱士（北京）商务咨询有限公司</t>
    </r>
  </si>
  <si>
    <t>704</t>
  </si>
  <si>
    <t>菱重环环境工业（上海）有限公司</t>
  </si>
  <si>
    <t>1516,1517,1517A</t>
  </si>
  <si>
    <t>马来西亚航空北京办事处</t>
  </si>
  <si>
    <t xml:space="preserve">1008B,9,10,11A </t>
  </si>
  <si>
    <r>
      <rPr>
        <b/>
        <sz val="10"/>
        <rFont val="宋体"/>
        <family val="3"/>
        <charset val="134"/>
      </rPr>
      <t>美夏国际贸易（上海）有限公司北京办事处</t>
    </r>
  </si>
  <si>
    <t>8F 802</t>
  </si>
  <si>
    <r>
      <t>1002A,1002B</t>
    </r>
    <r>
      <rPr>
        <b/>
        <sz val="10"/>
        <rFont val="宋体"/>
        <family val="3"/>
        <charset val="134"/>
      </rPr>
      <t>，</t>
    </r>
    <r>
      <rPr>
        <b/>
        <sz val="10"/>
        <rFont val="Arial"/>
        <family val="2"/>
      </rPr>
      <t>1003</t>
    </r>
  </si>
  <si>
    <r>
      <rPr>
        <b/>
        <sz val="10"/>
        <rFont val="宋体"/>
        <family val="3"/>
        <charset val="134"/>
      </rPr>
      <t>上海博报堂广告有限公司北京分公司</t>
    </r>
  </si>
  <si>
    <t xml:space="preserve"> 1206-1212</t>
  </si>
  <si>
    <r>
      <rPr>
        <b/>
        <sz val="10"/>
        <rFont val="宋体"/>
        <family val="3"/>
        <charset val="134"/>
      </rPr>
      <t>港大思培北京咨询有限公司</t>
    </r>
  </si>
  <si>
    <t>1007</t>
  </si>
  <si>
    <r>
      <rPr>
        <b/>
        <sz val="10"/>
        <rFont val="宋体"/>
        <family val="3"/>
        <charset val="134"/>
      </rPr>
      <t>香港大学进修学院北京代表处</t>
    </r>
  </si>
  <si>
    <t>1008</t>
  </si>
  <si>
    <r>
      <rPr>
        <b/>
        <sz val="10"/>
        <rFont val="宋体"/>
        <family val="3"/>
        <charset val="134"/>
      </rPr>
      <t>新闻集团有限公司北京代表处</t>
    </r>
  </si>
  <si>
    <t>1010A</t>
  </si>
  <si>
    <r>
      <rPr>
        <b/>
        <sz val="10"/>
        <rFont val="宋体"/>
        <family val="3"/>
        <charset val="134"/>
      </rPr>
      <t>北京华文星空广告有限公司</t>
    </r>
  </si>
  <si>
    <t>1011&amp;1012</t>
  </si>
  <si>
    <t>Regus Business</t>
  </si>
  <si>
    <t>14F</t>
  </si>
  <si>
    <r>
      <rPr>
        <b/>
        <sz val="10"/>
        <rFont val="宋体"/>
        <family val="3"/>
        <charset val="134"/>
      </rPr>
      <t>北京</t>
    </r>
    <r>
      <rPr>
        <b/>
        <sz val="10"/>
        <rFont val="Arial"/>
        <family val="2"/>
      </rPr>
      <t>RealNetworks</t>
    </r>
    <r>
      <rPr>
        <b/>
        <sz val="10"/>
        <rFont val="宋体"/>
        <family val="3"/>
        <charset val="134"/>
      </rPr>
      <t>科技有限公司</t>
    </r>
  </si>
  <si>
    <t>1801</t>
  </si>
  <si>
    <r>
      <rPr>
        <b/>
        <sz val="10"/>
        <rFont val="宋体"/>
        <family val="3"/>
        <charset val="134"/>
      </rPr>
      <t>港大思培（北京）咨询有限公司</t>
    </r>
  </si>
  <si>
    <r>
      <rPr>
        <b/>
        <sz val="10"/>
        <rFont val="宋体"/>
        <family val="3"/>
        <charset val="134"/>
      </rPr>
      <t>罗技中国科技有限公司</t>
    </r>
  </si>
  <si>
    <t>702A</t>
  </si>
  <si>
    <r>
      <rPr>
        <b/>
        <sz val="10"/>
        <rFont val="宋体"/>
        <family val="3"/>
        <charset val="134"/>
      </rPr>
      <t>罗技北京贸易有限公司</t>
    </r>
  </si>
  <si>
    <t>702B</t>
  </si>
  <si>
    <r>
      <rPr>
        <b/>
        <sz val="10"/>
        <rFont val="宋体"/>
        <family val="3"/>
        <charset val="134"/>
      </rPr>
      <t>北京瑞奥视科技有限公司</t>
    </r>
    <r>
      <rPr>
        <b/>
        <sz val="10"/>
        <rFont val="Arial"/>
        <family val="2"/>
      </rPr>
      <t xml:space="preserve"> </t>
    </r>
  </si>
  <si>
    <t>1802</t>
  </si>
  <si>
    <r>
      <rPr>
        <b/>
        <sz val="10"/>
        <rFont val="宋体"/>
        <family val="3"/>
        <charset val="134"/>
      </rPr>
      <t>卢森堡大使馆</t>
    </r>
    <r>
      <rPr>
        <b/>
        <sz val="10"/>
        <rFont val="Arial"/>
        <family val="2"/>
      </rPr>
      <t>1701</t>
    </r>
  </si>
  <si>
    <t>1701</t>
  </si>
  <si>
    <r>
      <rPr>
        <b/>
        <sz val="10"/>
        <rFont val="宋体"/>
        <family val="3"/>
        <charset val="134"/>
      </rPr>
      <t>北京东岸兴业商贸有限公司</t>
    </r>
  </si>
  <si>
    <r>
      <t>1001</t>
    </r>
    <r>
      <rPr>
        <b/>
        <sz val="10"/>
        <rFont val="宋体"/>
        <family val="3"/>
        <charset val="134"/>
      </rPr>
      <t>、</t>
    </r>
    <r>
      <rPr>
        <b/>
        <sz val="10"/>
        <rFont val="Arial"/>
        <family val="2"/>
      </rPr>
      <t>1002</t>
    </r>
    <r>
      <rPr>
        <b/>
        <sz val="10"/>
        <rFont val="宋体"/>
        <family val="3"/>
        <charset val="134"/>
      </rPr>
      <t>、</t>
    </r>
    <r>
      <rPr>
        <b/>
        <sz val="10"/>
        <rFont val="Arial"/>
        <family val="2"/>
      </rPr>
      <t>1015</t>
    </r>
    <r>
      <rPr>
        <b/>
        <sz val="10"/>
        <rFont val="宋体"/>
        <family val="3"/>
        <charset val="134"/>
      </rPr>
      <t>、</t>
    </r>
    <r>
      <rPr>
        <b/>
        <sz val="10"/>
        <rFont val="Arial"/>
        <family val="2"/>
      </rPr>
      <t>1016</t>
    </r>
    <r>
      <rPr>
        <b/>
        <sz val="10"/>
        <rFont val="宋体"/>
        <family val="3"/>
        <charset val="134"/>
      </rPr>
      <t>、</t>
    </r>
    <r>
      <rPr>
        <b/>
        <sz val="10"/>
        <rFont val="Arial"/>
        <family val="2"/>
      </rPr>
      <t>1017</t>
    </r>
    <r>
      <rPr>
        <b/>
        <sz val="10"/>
        <rFont val="宋体"/>
        <family val="3"/>
        <charset val="134"/>
      </rPr>
      <t>、</t>
    </r>
    <r>
      <rPr>
        <b/>
        <sz val="10"/>
        <rFont val="Arial"/>
        <family val="2"/>
      </rPr>
      <t>1017A</t>
    </r>
  </si>
  <si>
    <r>
      <rPr>
        <b/>
        <sz val="10"/>
        <rFont val="宋体"/>
        <family val="3"/>
        <charset val="134"/>
      </rPr>
      <t>亚欧联合资本投资顾问（北京）有限公司</t>
    </r>
  </si>
  <si>
    <r>
      <rPr>
        <b/>
        <sz val="10"/>
        <rFont val="宋体"/>
        <family val="3"/>
        <charset val="134"/>
      </rPr>
      <t>盐城国际妇女时装有限公司北京分公司</t>
    </r>
    <r>
      <rPr>
        <b/>
        <sz val="10"/>
        <rFont val="Arial"/>
        <family val="2"/>
      </rPr>
      <t xml:space="preserve"> </t>
    </r>
  </si>
  <si>
    <r>
      <t>1201</t>
    </r>
    <r>
      <rPr>
        <b/>
        <sz val="10"/>
        <rFont val="宋体"/>
        <family val="3"/>
        <charset val="134"/>
      </rPr>
      <t>、</t>
    </r>
    <r>
      <rPr>
        <b/>
        <sz val="10"/>
        <rFont val="Arial"/>
        <family val="2"/>
      </rPr>
      <t>02</t>
    </r>
    <r>
      <rPr>
        <b/>
        <sz val="10"/>
        <rFont val="宋体"/>
        <family val="3"/>
        <charset val="134"/>
      </rPr>
      <t>、</t>
    </r>
    <r>
      <rPr>
        <b/>
        <sz val="10"/>
        <rFont val="Arial"/>
        <family val="2"/>
      </rPr>
      <t>03</t>
    </r>
    <r>
      <rPr>
        <b/>
        <sz val="10"/>
        <rFont val="宋体"/>
        <family val="3"/>
        <charset val="134"/>
      </rPr>
      <t>、</t>
    </r>
    <r>
      <rPr>
        <b/>
        <sz val="10"/>
        <rFont val="Arial"/>
        <family val="2"/>
      </rPr>
      <t>05</t>
    </r>
  </si>
  <si>
    <t>606</t>
  </si>
  <si>
    <r>
      <rPr>
        <b/>
        <sz val="10"/>
        <rFont val="宋体"/>
        <family val="3"/>
        <charset val="134"/>
      </rPr>
      <t>花旗银行（中国）有限公司北京分行</t>
    </r>
  </si>
  <si>
    <t>901,902,903,905,906</t>
  </si>
  <si>
    <r>
      <rPr>
        <b/>
        <sz val="10"/>
        <rFont val="宋体"/>
        <family val="3"/>
        <charset val="134"/>
      </rPr>
      <t>三菱电机汽车部件（中国）有限公司</t>
    </r>
  </si>
  <si>
    <t>907,908,909</t>
  </si>
  <si>
    <t>保护国际基金会</t>
  </si>
  <si>
    <r>
      <t>910A</t>
    </r>
    <r>
      <rPr>
        <b/>
        <sz val="10"/>
        <rFont val="宋体"/>
        <family val="3"/>
        <charset val="134"/>
      </rPr>
      <t>、</t>
    </r>
    <r>
      <rPr>
        <b/>
        <sz val="10"/>
        <rFont val="Arial"/>
        <family val="2"/>
      </rPr>
      <t>911</t>
    </r>
    <r>
      <rPr>
        <b/>
        <sz val="10"/>
        <rFont val="宋体"/>
        <family val="3"/>
        <charset val="134"/>
      </rPr>
      <t>、</t>
    </r>
    <r>
      <rPr>
        <b/>
        <sz val="10"/>
        <rFont val="Arial"/>
        <family val="2"/>
      </rPr>
      <t>912</t>
    </r>
    <r>
      <rPr>
        <b/>
        <sz val="10"/>
        <rFont val="宋体"/>
        <family val="3"/>
        <charset val="134"/>
      </rPr>
      <t>、</t>
    </r>
    <r>
      <rPr>
        <b/>
        <sz val="10"/>
        <rFont val="Arial"/>
        <family val="2"/>
      </rPr>
      <t>915</t>
    </r>
  </si>
  <si>
    <r>
      <rPr>
        <b/>
        <sz val="10"/>
        <rFont val="宋体"/>
        <family val="3"/>
        <charset val="134"/>
      </rPr>
      <t>北京任仕达人力资源服务有限公司</t>
    </r>
  </si>
  <si>
    <t>1117A,1101,1102,1102A,1103A</t>
  </si>
  <si>
    <r>
      <rPr>
        <b/>
        <sz val="10"/>
        <rFont val="宋体"/>
        <family val="3"/>
        <charset val="134"/>
      </rPr>
      <t>北京任仕达企业管理有限责任公司</t>
    </r>
  </si>
  <si>
    <r>
      <t>1107,08</t>
    </r>
    <r>
      <rPr>
        <b/>
        <sz val="10"/>
        <rFont val="宋体"/>
        <family val="3"/>
        <charset val="134"/>
      </rPr>
      <t>，</t>
    </r>
    <r>
      <rPr>
        <b/>
        <sz val="10"/>
        <rFont val="Arial"/>
        <family val="2"/>
      </rPr>
      <t>08A</t>
    </r>
  </si>
  <si>
    <t>1103B,05,06</t>
  </si>
  <si>
    <t>北京晓星芭蕾艺术发展基金会</t>
  </si>
  <si>
    <t>910</t>
  </si>
  <si>
    <t>48</t>
  </si>
  <si>
    <r>
      <rPr>
        <b/>
        <sz val="10"/>
        <rFont val="宋体"/>
        <family val="3"/>
        <charset val="134"/>
      </rPr>
      <t>北京拂晓之星文化有限公司</t>
    </r>
  </si>
  <si>
    <t>909B</t>
  </si>
  <si>
    <r>
      <rPr>
        <b/>
        <sz val="10"/>
        <rFont val="宋体"/>
        <family val="3"/>
        <charset val="134"/>
      </rPr>
      <t>中信银行股份有限公司</t>
    </r>
    <r>
      <rPr>
        <b/>
        <sz val="10"/>
        <rFont val="Arial"/>
        <family val="2"/>
      </rPr>
      <t xml:space="preserve"> </t>
    </r>
  </si>
  <si>
    <t>21-26F</t>
  </si>
  <si>
    <t>61</t>
  </si>
  <si>
    <r>
      <rPr>
        <b/>
        <sz val="10"/>
        <rFont val="宋体"/>
        <family val="3"/>
        <charset val="134"/>
      </rPr>
      <t>华纳盛世音乐版权代理（北京）有限公司</t>
    </r>
  </si>
  <si>
    <t>910A</t>
  </si>
  <si>
    <r>
      <rPr>
        <b/>
        <sz val="10"/>
        <rFont val="宋体"/>
        <family val="3"/>
        <charset val="134"/>
      </rPr>
      <t>丹佛斯自动控制管理（上海）有限公司</t>
    </r>
  </si>
  <si>
    <t>2001</t>
  </si>
  <si>
    <t>丹佛斯（天津）有限公司</t>
  </si>
  <si>
    <t>2002</t>
  </si>
  <si>
    <t>浙江海利普电子科技有限公司</t>
  </si>
  <si>
    <t>19F</t>
  </si>
  <si>
    <t>北京博纳美涛文化传媒有限公司</t>
  </si>
  <si>
    <r>
      <t>1701</t>
    </r>
    <r>
      <rPr>
        <b/>
        <sz val="10"/>
        <rFont val="宋体"/>
        <family val="3"/>
        <charset val="134"/>
      </rPr>
      <t>、</t>
    </r>
    <r>
      <rPr>
        <b/>
        <sz val="10"/>
        <rFont val="Arial"/>
        <family val="2"/>
      </rPr>
      <t>02&amp;11</t>
    </r>
  </si>
  <si>
    <t>TOTAL TOWER A</t>
  </si>
  <si>
    <t>修正幅度</t>
  </si>
  <si>
    <t>40-50年</t>
  </si>
  <si>
    <t>基础设施情况</t>
  </si>
  <si>
    <t>七通一平</t>
  </si>
  <si>
    <t>临街道路级别</t>
  </si>
  <si>
    <t>公共服务设施状况</t>
  </si>
  <si>
    <t>楼层</t>
  </si>
  <si>
    <t>各因素等级自定义设定说明</t>
  </si>
  <si>
    <t>比准价格</t>
  </si>
  <si>
    <t>楼面价格</t>
  </si>
  <si>
    <t>30-35（含）</t>
  </si>
  <si>
    <t>35-40（含）</t>
  </si>
  <si>
    <t>房地产总值</t>
  </si>
  <si>
    <t>40-45（含）</t>
  </si>
  <si>
    <t>2014年租期租约期内（2013.11.20至2014.11.30）</t>
  </si>
  <si>
    <t>2014年租期租约期外（2014.12.1至2044.1.3）</t>
  </si>
  <si>
    <t>2015租约期外（2016.1.1至2044.1.3）</t>
  </si>
  <si>
    <t>2016租约期内（2013.11.20至2016.4.14）</t>
  </si>
  <si>
    <t>2016租约期外（2016.4.15至2044.1.3）</t>
  </si>
  <si>
    <t>2017租约期内（2013.11.20至2017.1.31）</t>
  </si>
  <si>
    <t>2017租约期外（2017.2.1至2044.1.3）</t>
  </si>
  <si>
    <t>2019租约期内（2013.11.20至2019.6.30）</t>
  </si>
  <si>
    <t>2019租约期外（2019.7.1至2044.1.3）</t>
  </si>
  <si>
    <t>收益法计算（办公）</t>
  </si>
  <si>
    <t>（一）年总收益</t>
  </si>
  <si>
    <t>项目名称</t>
  </si>
  <si>
    <t>出租天数</t>
  </si>
  <si>
    <t>成本</t>
  </si>
  <si>
    <t>年总收益</t>
  </si>
  <si>
    <t>（三）年经营费用</t>
  </si>
  <si>
    <t>数量</t>
  </si>
  <si>
    <t>备注</t>
  </si>
  <si>
    <t>税费</t>
  </si>
  <si>
    <t>1.1+1.2+1.3</t>
  </si>
  <si>
    <t>两税一费</t>
  </si>
  <si>
    <t>年总收益×税率</t>
  </si>
  <si>
    <t>房屋原值×（1-30%）×税率</t>
  </si>
  <si>
    <t>土地面积×单价</t>
  </si>
  <si>
    <t>房屋重置价格×维修费率</t>
  </si>
  <si>
    <t>房屋现值×保险费率</t>
  </si>
  <si>
    <t>年经营费用</t>
  </si>
  <si>
    <t>（四）房地产价值</t>
  </si>
  <si>
    <t>年纯收益</t>
  </si>
  <si>
    <t>变化率</t>
  </si>
  <si>
    <t>还原利率</t>
  </si>
  <si>
    <r>
      <t>2044</t>
    </r>
    <r>
      <rPr>
        <sz val="10"/>
        <rFont val="宋体"/>
        <family val="3"/>
        <charset val="134"/>
      </rPr>
      <t>.1.3</t>
    </r>
  </si>
  <si>
    <t>2013.11.20</t>
  </si>
  <si>
    <t>收益法计算</t>
  </si>
  <si>
    <t>中区</t>
  </si>
  <si>
    <t>低区</t>
  </si>
  <si>
    <t>其他2</t>
  </si>
  <si>
    <t>其他3</t>
  </si>
  <si>
    <r>
      <t>按建筑物价值的</t>
    </r>
    <r>
      <rPr>
        <sz val="10"/>
        <rFont val="Times New Roman"/>
        <family val="1"/>
      </rPr>
      <t>1%-3%</t>
    </r>
    <r>
      <rPr>
        <sz val="10"/>
        <rFont val="宋体"/>
        <family val="3"/>
        <charset val="134"/>
      </rPr>
      <t>计取</t>
    </r>
  </si>
  <si>
    <r>
      <t>1-</t>
    </r>
    <r>
      <rPr>
        <sz val="10"/>
        <rFont val="宋体"/>
        <family val="3"/>
        <charset val="134"/>
      </rPr>
      <t>2</t>
    </r>
    <r>
      <rPr>
        <sz val="10"/>
        <rFont val="宋体"/>
        <family val="3"/>
        <charset val="134"/>
      </rPr>
      <t>项</t>
    </r>
    <r>
      <rPr>
        <sz val="10"/>
        <rFont val="宋体"/>
        <family val="3"/>
        <charset val="134"/>
      </rPr>
      <t>产生的利润</t>
    </r>
  </si>
  <si>
    <t>建筑物现值</t>
  </si>
  <si>
    <t>建筑物价值比率</t>
  </si>
  <si>
    <t>土地价值比率</t>
  </si>
  <si>
    <t>建筑物现值×保险费率</t>
  </si>
  <si>
    <t>报酬率</t>
  </si>
  <si>
    <t>房地产总价</t>
  </si>
  <si>
    <t>计算综合资本化率使用，非测算用</t>
  </si>
  <si>
    <t>土地价值</t>
  </si>
  <si>
    <t>房地产总价-建筑物价值</t>
  </si>
  <si>
    <t>建筑物年纯收益</t>
  </si>
  <si>
    <t>土地年纯收益</t>
  </si>
  <si>
    <t>房地年纯收益-建筑物年纯收益</t>
  </si>
  <si>
    <t>土地资本化率</t>
  </si>
  <si>
    <t>土地年纯收益/土地价值</t>
  </si>
  <si>
    <t>综合资本化率</t>
  </si>
  <si>
    <t>建筑物价值比率*建筑物资本化率+土地价值比率*土地资本化率</t>
  </si>
  <si>
    <t>验证</t>
  </si>
  <si>
    <t>资本化率</t>
  </si>
  <si>
    <t>房地年纯收益/房地产价值</t>
  </si>
  <si>
    <r>
      <t>市场比较法</t>
    </r>
    <r>
      <rPr>
        <b/>
        <sz val="16"/>
        <color indexed="10"/>
        <rFont val="楷体_GB2312"/>
        <family val="3"/>
        <charset val="134"/>
      </rPr>
      <t>（需配位置图）</t>
    </r>
  </si>
  <si>
    <t>所在楼层位置</t>
  </si>
  <si>
    <t>周边有无公共停车场</t>
  </si>
  <si>
    <t>配套类型（地上主用途）</t>
  </si>
  <si>
    <t>停车位面积（以单车位价格比较时暂不修正）</t>
  </si>
  <si>
    <t>车位类型（平面、立体）</t>
  </si>
  <si>
    <t>平面</t>
  </si>
  <si>
    <t>项目停车位配比</t>
  </si>
  <si>
    <t>停车安全设施设备</t>
  </si>
  <si>
    <t>销售单价</t>
  </si>
  <si>
    <t>&lt;1</t>
  </si>
  <si>
    <t>1-2（含）</t>
  </si>
  <si>
    <t>2-3（含）</t>
  </si>
  <si>
    <t>价格</t>
  </si>
  <si>
    <t>元/平方米</t>
  </si>
  <si>
    <t>面积</t>
  </si>
  <si>
    <t>套数</t>
  </si>
  <si>
    <t>元/个</t>
  </si>
  <si>
    <t>行政区域</t>
  </si>
  <si>
    <t>使用年限</t>
  </si>
  <si>
    <t>坐落位置</t>
  </si>
  <si>
    <t>所属商圈</t>
  </si>
  <si>
    <t>房屋所有权证号</t>
  </si>
  <si>
    <t>销售状态</t>
  </si>
  <si>
    <t>正在销售</t>
  </si>
  <si>
    <t>车位</t>
  </si>
  <si>
    <t>收益法计算（车库）</t>
  </si>
  <si>
    <t>车位面积</t>
  </si>
  <si>
    <t>车位个数</t>
  </si>
  <si>
    <t>市场比较法（车库）</t>
  </si>
  <si>
    <t>案例J</t>
  </si>
  <si>
    <t>案例K</t>
  </si>
  <si>
    <t>案例L</t>
  </si>
  <si>
    <t>北京财富中心二期公寓御金台</t>
  </si>
  <si>
    <t>华贸中心</t>
  </si>
  <si>
    <t>30-40年</t>
  </si>
  <si>
    <t>综合类二级</t>
  </si>
  <si>
    <t>综合类一级</t>
  </si>
  <si>
    <t>综合类三级</t>
  </si>
  <si>
    <t>主干道—光华路</t>
  </si>
  <si>
    <t>主干道—建国路</t>
  </si>
  <si>
    <t>实体状况</t>
  </si>
  <si>
    <t>配套类型</t>
  </si>
  <si>
    <t>住宅、写字楼、商业综合体配套</t>
  </si>
  <si>
    <t>住宅配套</t>
  </si>
  <si>
    <t>车位类型</t>
  </si>
  <si>
    <t>＜20</t>
  </si>
  <si>
    <t>39.7</t>
  </si>
  <si>
    <t>33.35</t>
  </si>
  <si>
    <t>31.8</t>
  </si>
  <si>
    <t>20-30</t>
  </si>
  <si>
    <t>30-40</t>
  </si>
  <si>
    <t>＞40</t>
  </si>
  <si>
    <t>收益法计算（停车楼）</t>
  </si>
  <si>
    <t>分楼层单价修正表</t>
  </si>
  <si>
    <t>所在楼层</t>
  </si>
  <si>
    <t>楼层修正系数</t>
  </si>
  <si>
    <t>建筑面积修正系数</t>
  </si>
  <si>
    <t>修正单价</t>
  </si>
  <si>
    <t>大写（万元）</t>
  </si>
  <si>
    <t>房地产估价师知悉的法定优先受偿款（万元）</t>
  </si>
  <si>
    <t>扣除法定优先受偿款的房地产抵押价值（万元）</t>
  </si>
  <si>
    <t>.</t>
  </si>
  <si>
    <t>若估价时点按照评估的房地产价值处置需缴纳的相关税费</t>
  </si>
  <si>
    <t>税（费）种</t>
  </si>
  <si>
    <t>金额（万元）</t>
  </si>
  <si>
    <t>计算方法</t>
  </si>
  <si>
    <t>税（费）率</t>
  </si>
  <si>
    <t>计税基数</t>
  </si>
  <si>
    <t>营业税及附加</t>
  </si>
  <si>
    <t>转让额×税（费）率</t>
  </si>
  <si>
    <t>印花税</t>
  </si>
  <si>
    <t>转让额×税率</t>
  </si>
  <si>
    <t>土地增值税</t>
  </si>
  <si>
    <t>企业所得税</t>
  </si>
  <si>
    <t>合计（万元）</t>
  </si>
  <si>
    <t>小写</t>
  </si>
  <si>
    <t>大写</t>
  </si>
  <si>
    <t>自行开发</t>
  </si>
  <si>
    <t>系数</t>
  </si>
  <si>
    <t>转让收入</t>
  </si>
  <si>
    <t>评估值</t>
  </si>
  <si>
    <t>扣除项合计</t>
  </si>
  <si>
    <t>2.1</t>
  </si>
  <si>
    <t>土地取得成本</t>
  </si>
  <si>
    <t>取得土地使用权所支付的金额，包括支付地价款和有关登记、过户手续费</t>
  </si>
  <si>
    <t>2.1.1</t>
  </si>
  <si>
    <t>土地取得费用</t>
  </si>
  <si>
    <t>依据出让合同</t>
  </si>
  <si>
    <t>2.1.2</t>
  </si>
  <si>
    <t>契税及印花税</t>
  </si>
  <si>
    <t>2.2</t>
  </si>
  <si>
    <t>土地开发费</t>
  </si>
  <si>
    <t>土地取得费用如果为出让金或者毛地价，需在此处计土地开发费（土地征用及拆迁补偿费）</t>
  </si>
  <si>
    <t>或用企业提供的总投，或进行测算</t>
  </si>
  <si>
    <t>包括前期工程费、建筑安装工程费、基础设施费和公共配套费等</t>
  </si>
  <si>
    <t>2.3</t>
  </si>
  <si>
    <t>开发费用扣除</t>
  </si>
  <si>
    <t>土地及建筑总投的5%；含销售、管理、财务费用</t>
  </si>
  <si>
    <t>2.4</t>
  </si>
  <si>
    <t>转让税金支出</t>
  </si>
  <si>
    <t>房地产转让时的两税一费及印花税等</t>
  </si>
  <si>
    <t>2.5</t>
  </si>
  <si>
    <t>加计扣除金额</t>
  </si>
  <si>
    <r>
      <t>对</t>
    </r>
    <r>
      <rPr>
        <b/>
        <sz val="10"/>
        <color indexed="8"/>
        <rFont val="宋体"/>
        <family val="3"/>
        <charset val="134"/>
      </rPr>
      <t>专门从事房地产开发</t>
    </r>
    <r>
      <rPr>
        <sz val="10"/>
        <color indexed="8"/>
        <rFont val="宋体"/>
        <family val="3"/>
        <charset val="134"/>
      </rPr>
      <t>的企业可以按20％计算扣除；</t>
    </r>
    <r>
      <rPr>
        <sz val="10"/>
        <color indexed="10"/>
        <rFont val="宋体"/>
        <family val="3"/>
        <charset val="134"/>
      </rPr>
      <t>如为土地，则仅将土地开发费加计20%扣减</t>
    </r>
  </si>
  <si>
    <t>增值额</t>
  </si>
  <si>
    <t>增值额与扣除项比率</t>
  </si>
  <si>
    <t>应纳增值税税额</t>
  </si>
  <si>
    <t>土地面积</t>
    <phoneticPr fontId="89" type="noConversion"/>
  </si>
  <si>
    <t>商业</t>
    <phoneticPr fontId="93" type="noConversion"/>
  </si>
  <si>
    <t>租金</t>
    <phoneticPr fontId="89" type="noConversion"/>
  </si>
  <si>
    <t>单价</t>
    <phoneticPr fontId="93" type="noConversion"/>
  </si>
  <si>
    <t>用途</t>
    <phoneticPr fontId="93" type="noConversion"/>
  </si>
  <si>
    <t>车库</t>
    <phoneticPr fontId="93" type="noConversion"/>
  </si>
  <si>
    <t>商业繁华度/居住社区成熟度</t>
    <phoneticPr fontId="93" type="noConversion"/>
  </si>
  <si>
    <t>较充足</t>
    <phoneticPr fontId="93" type="noConversion"/>
  </si>
  <si>
    <t>较好</t>
    <phoneticPr fontId="93" type="noConversion"/>
  </si>
  <si>
    <t>案例D</t>
    <phoneticPr fontId="93" type="noConversion"/>
  </si>
  <si>
    <t>案例E</t>
    <phoneticPr fontId="93" type="noConversion"/>
  </si>
  <si>
    <t>案例F</t>
    <phoneticPr fontId="93" type="noConversion"/>
  </si>
  <si>
    <t>2014-11套数</t>
  </si>
  <si>
    <t>2014-11面积</t>
  </si>
  <si>
    <t>2014-11均价</t>
  </si>
  <si>
    <t>2014-10套数</t>
  </si>
  <si>
    <t>2014-10面积</t>
  </si>
  <si>
    <t>2014-10均价</t>
  </si>
  <si>
    <t>2014-9套数</t>
  </si>
  <si>
    <t>2014-9面积</t>
  </si>
  <si>
    <t>2014-9均价</t>
  </si>
  <si>
    <t>2014-8套数</t>
  </si>
  <si>
    <t>2014-8面积</t>
  </si>
  <si>
    <t>2014-8均价</t>
  </si>
  <si>
    <t>住宅</t>
    <phoneticPr fontId="93" type="noConversion"/>
  </si>
  <si>
    <t>月份</t>
  </si>
  <si>
    <t>环比(%)</t>
  </si>
  <si>
    <t>每季度上涨</t>
    <phoneticPr fontId="93" type="noConversion"/>
  </si>
  <si>
    <t>单位价格</t>
    <phoneticPr fontId="93" type="noConversion"/>
  </si>
  <si>
    <r>
      <t>2</t>
    </r>
    <r>
      <rPr>
        <sz val="10"/>
        <rFont val="宋体"/>
        <family val="3"/>
        <charset val="134"/>
      </rPr>
      <t>059.5.3</t>
    </r>
    <phoneticPr fontId="93" type="noConversion"/>
  </si>
  <si>
    <r>
      <t>2</t>
    </r>
    <r>
      <rPr>
        <sz val="10"/>
        <rFont val="宋体"/>
        <family val="3"/>
        <charset val="134"/>
      </rPr>
      <t>015.1.22</t>
    </r>
    <phoneticPr fontId="93" type="noConversion"/>
  </si>
  <si>
    <t>车库</t>
    <phoneticPr fontId="93" type="noConversion"/>
  </si>
  <si>
    <t>有</t>
    <phoneticPr fontId="93" type="noConversion"/>
  </si>
  <si>
    <t>项目编号</t>
  </si>
  <si>
    <t>国美家园 (推广名：国美第一城)</t>
  </si>
  <si>
    <t>朝阳</t>
  </si>
  <si>
    <t>朝阳区青年路西里3号院10号楼等10幢楼</t>
  </si>
  <si>
    <t>青年路（十里堡）</t>
  </si>
  <si>
    <t>X京房权证朝其字第511173号</t>
  </si>
  <si>
    <t>朝阳区青年路西里2号院10号楼等12幢楼</t>
  </si>
  <si>
    <t>X京房权证朝其字第501482号</t>
  </si>
  <si>
    <t>香桥国际 (推广名：可乐＋)</t>
  </si>
  <si>
    <t>朝阳区双惠苑</t>
  </si>
  <si>
    <t>京通南（双桥）</t>
  </si>
  <si>
    <t>X京房权证朝字第812985号</t>
  </si>
  <si>
    <t>远洋一方嘉园 (推广名：远洋一方嘉园)</t>
  </si>
  <si>
    <t>库房</t>
  </si>
  <si>
    <t>朝阳区双桥东路3号院</t>
  </si>
  <si>
    <t>X京房权证朝字第725318号</t>
  </si>
  <si>
    <t>预售许可证</t>
  </si>
  <si>
    <t>双桥嘉园</t>
  </si>
  <si>
    <t>朝阳区双桥农场限价商品住房项目用地</t>
  </si>
  <si>
    <t>京房售证字(2014)167号</t>
  </si>
  <si>
    <t>正在预售</t>
  </si>
  <si>
    <t>玉兰湾嘉园</t>
  </si>
  <si>
    <t>通州</t>
  </si>
  <si>
    <t>通州区九棵树大街居住项目地块</t>
  </si>
  <si>
    <t>京房售证字(2013)24号</t>
  </si>
  <si>
    <t>华远铭悦园</t>
  </si>
  <si>
    <t>通州区梨园镇砖厂村居住项目用地</t>
  </si>
  <si>
    <t>京房售证字(2012)167号</t>
  </si>
  <si>
    <t>京房售证字(2013)57号</t>
  </si>
  <si>
    <r>
      <t>2</t>
    </r>
    <r>
      <rPr>
        <sz val="12"/>
        <rFont val="楷体_GB2312"/>
        <family val="3"/>
        <charset val="134"/>
      </rPr>
      <t>014.10</t>
    </r>
    <phoneticPr fontId="93" type="noConversion"/>
  </si>
  <si>
    <t>2005年</t>
    <phoneticPr fontId="93" type="noConversion"/>
  </si>
  <si>
    <t>30-35</t>
    <phoneticPr fontId="93" type="noConversion"/>
  </si>
  <si>
    <t>城市次干道-青年路</t>
    <phoneticPr fontId="93" type="noConversion"/>
  </si>
  <si>
    <t>一般</t>
    <phoneticPr fontId="93" type="noConversion"/>
  </si>
  <si>
    <r>
      <t>2</t>
    </r>
    <r>
      <rPr>
        <sz val="12"/>
        <rFont val="楷体_GB2312"/>
        <family val="3"/>
        <charset val="134"/>
      </rPr>
      <t>014.9</t>
    </r>
    <phoneticPr fontId="93" type="noConversion"/>
  </si>
  <si>
    <t>2012年</t>
    <phoneticPr fontId="93" type="noConversion"/>
  </si>
  <si>
    <t>40-45</t>
    <phoneticPr fontId="93" type="noConversion"/>
  </si>
  <si>
    <t>较好</t>
    <phoneticPr fontId="93" type="noConversion"/>
  </si>
  <si>
    <t>城市次干道-双桥东路</t>
    <phoneticPr fontId="93" type="noConversion"/>
  </si>
  <si>
    <r>
      <t>2</t>
    </r>
    <r>
      <rPr>
        <sz val="12"/>
        <rFont val="楷体_GB2312"/>
        <family val="3"/>
        <charset val="134"/>
      </rPr>
      <t>014.11</t>
    </r>
    <phoneticPr fontId="93" type="noConversion"/>
  </si>
  <si>
    <t>2014年</t>
    <phoneticPr fontId="93" type="noConversion"/>
  </si>
  <si>
    <r>
      <t>4</t>
    </r>
    <r>
      <rPr>
        <sz val="12"/>
        <rFont val="楷体_GB2312"/>
        <family val="3"/>
        <charset val="134"/>
      </rPr>
      <t>5-50年</t>
    </r>
    <phoneticPr fontId="93" type="noConversion"/>
  </si>
  <si>
    <t>较好</t>
    <phoneticPr fontId="93" type="noConversion"/>
  </si>
  <si>
    <t>好</t>
    <phoneticPr fontId="93" type="noConversion"/>
  </si>
  <si>
    <t>城市快速路-京塘路</t>
    <phoneticPr fontId="93" type="noConversion"/>
  </si>
  <si>
    <t>较充足</t>
    <phoneticPr fontId="93" type="noConversion"/>
  </si>
  <si>
    <t>城市综合指数</t>
  </si>
  <si>
    <t>指数</t>
  </si>
  <si>
    <t>3.25</t>
    <phoneticPr fontId="93" type="noConversion"/>
  </si>
  <si>
    <t>3.5</t>
    <phoneticPr fontId="93" type="noConversion"/>
  </si>
  <si>
    <t>3</t>
    <phoneticPr fontId="93" type="noConversion"/>
  </si>
  <si>
    <t>租赁终止日期</t>
    <phoneticPr fontId="89" type="noConversion"/>
  </si>
  <si>
    <t>租期</t>
    <phoneticPr fontId="89" type="noConversion"/>
  </si>
  <si>
    <t>时段</t>
    <phoneticPr fontId="89" type="noConversion"/>
  </si>
  <si>
    <t>第4年（至2013.12.31）</t>
    <phoneticPr fontId="89" type="noConversion"/>
  </si>
  <si>
    <t>第5年（至2014.12.31）</t>
    <phoneticPr fontId="89" type="noConversion"/>
  </si>
  <si>
    <t>第6年（至2015.12.31）</t>
    <phoneticPr fontId="89" type="noConversion"/>
  </si>
  <si>
    <t>第7年（至2016.12.31）</t>
    <phoneticPr fontId="89" type="noConversion"/>
  </si>
  <si>
    <t>第8年（至2017.12.31）</t>
    <phoneticPr fontId="89" type="noConversion"/>
  </si>
  <si>
    <t>第9年（至2018.12.31）</t>
    <phoneticPr fontId="89" type="noConversion"/>
  </si>
  <si>
    <t>第10年（至2019.12.31）</t>
    <phoneticPr fontId="89" type="noConversion"/>
  </si>
  <si>
    <t>第11年（至2020.12.31）</t>
    <phoneticPr fontId="89" type="noConversion"/>
  </si>
  <si>
    <t>第12年（至2021.12.31）</t>
    <phoneticPr fontId="89" type="noConversion"/>
  </si>
  <si>
    <t>序号</t>
    <phoneticPr fontId="89" type="noConversion"/>
  </si>
  <si>
    <t>项目</t>
    <phoneticPr fontId="89" type="noConversion"/>
  </si>
  <si>
    <t>长租后</t>
    <phoneticPr fontId="89" type="noConversion"/>
  </si>
  <si>
    <t>费率</t>
    <phoneticPr fontId="89" type="noConversion"/>
  </si>
  <si>
    <t>公式</t>
    <phoneticPr fontId="89" type="noConversion"/>
  </si>
  <si>
    <t>——</t>
    <phoneticPr fontId="89" type="noConversion"/>
  </si>
  <si>
    <t>1-1</t>
    <phoneticPr fontId="89" type="noConversion"/>
  </si>
  <si>
    <t>出租面积</t>
    <phoneticPr fontId="89" type="noConversion"/>
  </si>
  <si>
    <t>1-2</t>
    <phoneticPr fontId="89" type="noConversion"/>
  </si>
  <si>
    <t>日租金</t>
    <phoneticPr fontId="89" type="noConversion"/>
  </si>
  <si>
    <t>1-3</t>
    <phoneticPr fontId="89" type="noConversion"/>
  </si>
  <si>
    <t>空置率</t>
    <phoneticPr fontId="89" type="noConversion"/>
  </si>
  <si>
    <t>年租金小计</t>
    <phoneticPr fontId="89" type="noConversion"/>
  </si>
  <si>
    <t>租金×月数×（1-空置率）</t>
    <phoneticPr fontId="89" type="noConversion"/>
  </si>
  <si>
    <t>2-1-1</t>
    <phoneticPr fontId="89" type="noConversion"/>
  </si>
  <si>
    <t>两税两费</t>
    <phoneticPr fontId="89" type="noConversion"/>
  </si>
  <si>
    <t>年总收益×费率</t>
    <phoneticPr fontId="89" type="noConversion"/>
  </si>
  <si>
    <t>2-1-2</t>
    <phoneticPr fontId="89" type="noConversion"/>
  </si>
  <si>
    <t>房产税</t>
    <phoneticPr fontId="89" type="noConversion"/>
  </si>
  <si>
    <t>房产原值×（1-30%）×费率</t>
    <phoneticPr fontId="89" type="noConversion"/>
  </si>
  <si>
    <t>房屋原值</t>
    <phoneticPr fontId="89" type="noConversion"/>
  </si>
  <si>
    <t>2-1-3</t>
    <phoneticPr fontId="89" type="noConversion"/>
  </si>
  <si>
    <t>土地使用税</t>
    <phoneticPr fontId="89" type="noConversion"/>
  </si>
  <si>
    <t>土地面积×取费标准</t>
    <phoneticPr fontId="89" type="noConversion"/>
  </si>
  <si>
    <t>2-1</t>
    <phoneticPr fontId="89" type="noConversion"/>
  </si>
  <si>
    <t>税费小计</t>
    <phoneticPr fontId="89" type="noConversion"/>
  </si>
  <si>
    <r>
      <rPr>
        <b/>
        <sz val="10"/>
        <color indexed="10"/>
        <rFont val="楷体_GB2312"/>
        <family val="3"/>
        <charset val="134"/>
      </rPr>
      <t>以上3项合计</t>
    </r>
    <r>
      <rPr>
        <b/>
        <sz val="10"/>
        <color indexed="8"/>
        <rFont val="楷体_GB2312"/>
        <family val="3"/>
        <charset val="134"/>
      </rPr>
      <t>or</t>
    </r>
    <r>
      <rPr>
        <b/>
        <sz val="10"/>
        <color indexed="10"/>
        <rFont val="楷体_GB2312"/>
        <family val="3"/>
        <charset val="134"/>
      </rPr>
      <t>综合税率</t>
    </r>
    <phoneticPr fontId="89" type="noConversion"/>
  </si>
  <si>
    <t>2-2</t>
    <phoneticPr fontId="89" type="noConversion"/>
  </si>
  <si>
    <t>维修费</t>
    <phoneticPr fontId="89" type="noConversion"/>
  </si>
  <si>
    <t>建筑物重置价值×维修费率</t>
    <phoneticPr fontId="89" type="noConversion"/>
  </si>
  <si>
    <t>房屋重置成本</t>
    <phoneticPr fontId="89" type="noConversion"/>
  </si>
  <si>
    <t>2-3</t>
    <phoneticPr fontId="89" type="noConversion"/>
  </si>
  <si>
    <t>保险费</t>
    <phoneticPr fontId="89" type="noConversion"/>
  </si>
  <si>
    <t>现值×保险费率</t>
    <phoneticPr fontId="89" type="noConversion"/>
  </si>
  <si>
    <t>2-4</t>
    <phoneticPr fontId="89" type="noConversion"/>
  </si>
  <si>
    <t>管理费用</t>
    <phoneticPr fontId="89" type="noConversion"/>
  </si>
  <si>
    <t>年经营成本费用小计</t>
    <phoneticPr fontId="89" type="noConversion"/>
  </si>
  <si>
    <t>以上4项合计</t>
    <phoneticPr fontId="89" type="noConversion"/>
  </si>
  <si>
    <t>3</t>
    <phoneticPr fontId="89" type="noConversion"/>
  </si>
  <si>
    <t>房地产年纯收益</t>
    <phoneticPr fontId="89" type="noConversion"/>
  </si>
  <si>
    <t>4</t>
    <phoneticPr fontId="89" type="noConversion"/>
  </si>
  <si>
    <t>还原利率（Y）</t>
    <phoneticPr fontId="89" type="noConversion"/>
  </si>
  <si>
    <t>房地产未来第一年净收益×[1-（(1+g)/(1+Y)） ^n ]/(Y-g)</t>
    <phoneticPr fontId="89" type="noConversion"/>
  </si>
  <si>
    <t>5</t>
    <phoneticPr fontId="89" type="noConversion"/>
  </si>
  <si>
    <t>增长率（g）</t>
    <phoneticPr fontId="89" type="noConversion"/>
  </si>
  <si>
    <t>6</t>
    <phoneticPr fontId="89" type="noConversion"/>
  </si>
  <si>
    <t>收益年限（n）</t>
    <phoneticPr fontId="89" type="noConversion"/>
  </si>
  <si>
    <t>7</t>
    <phoneticPr fontId="89" type="noConversion"/>
  </si>
  <si>
    <t>房地产价值</t>
    <phoneticPr fontId="89" type="noConversion"/>
  </si>
  <si>
    <t>8</t>
    <phoneticPr fontId="89" type="noConversion"/>
  </si>
  <si>
    <t>折现值</t>
    <phoneticPr fontId="89" type="noConversion"/>
  </si>
  <si>
    <t>9</t>
    <phoneticPr fontId="89" type="noConversion"/>
  </si>
  <si>
    <t>总价</t>
    <phoneticPr fontId="89" type="noConversion"/>
  </si>
  <si>
    <t>10</t>
    <phoneticPr fontId="89" type="noConversion"/>
  </si>
  <si>
    <t>楼面单价</t>
    <phoneticPr fontId="89" type="noConversion"/>
  </si>
  <si>
    <t>建筑物现值</t>
    <phoneticPr fontId="89" type="noConversion"/>
  </si>
  <si>
    <t>房屋重置价格×成新度</t>
    <phoneticPr fontId="89" type="noConversion"/>
  </si>
  <si>
    <t>成新度（%）</t>
    <phoneticPr fontId="89" type="noConversion"/>
  </si>
  <si>
    <t>建成年代</t>
    <phoneticPr fontId="89" type="noConversion"/>
  </si>
  <si>
    <t>建安单价×建筑面积</t>
    <phoneticPr fontId="89" type="noConversion"/>
  </si>
  <si>
    <t>建安单价（元/㎡）</t>
    <phoneticPr fontId="89" type="noConversion"/>
  </si>
  <si>
    <t>耐用年限</t>
    <phoneticPr fontId="89" type="noConversion"/>
  </si>
  <si>
    <t>建安费用×费率</t>
    <phoneticPr fontId="89" type="noConversion"/>
  </si>
  <si>
    <t>费率（%）</t>
    <phoneticPr fontId="89" type="noConversion"/>
  </si>
  <si>
    <t>直线折旧</t>
    <phoneticPr fontId="89" type="noConversion"/>
  </si>
  <si>
    <t>综合成新</t>
    <phoneticPr fontId="89" type="noConversion"/>
  </si>
  <si>
    <t>现值</t>
    <phoneticPr fontId="89" type="noConversion"/>
  </si>
  <si>
    <t>2-1-4</t>
  </si>
  <si>
    <t>建筑面积×取费标准</t>
    <phoneticPr fontId="89" type="noConversion"/>
  </si>
  <si>
    <t>市政费用（元/㎡）</t>
    <phoneticPr fontId="89" type="noConversion"/>
  </si>
  <si>
    <t>2-1-5</t>
  </si>
  <si>
    <t>建安费用+公共配套设施费用+基础设施建设费+相关税费</t>
    <phoneticPr fontId="89" type="noConversion"/>
  </si>
  <si>
    <t>建造成本×费率</t>
    <phoneticPr fontId="89" type="noConversion"/>
  </si>
  <si>
    <t>销售费用</t>
    <phoneticPr fontId="89" type="noConversion"/>
  </si>
  <si>
    <t>建筑物重置价值×费率</t>
    <phoneticPr fontId="89" type="noConversion"/>
  </si>
  <si>
    <t>销售费率（%）</t>
    <phoneticPr fontId="89" type="noConversion"/>
  </si>
  <si>
    <t>贷款利息</t>
    <phoneticPr fontId="89" type="noConversion"/>
  </si>
  <si>
    <t>（建造成本+管理费用+销售费用）×利率×（建设周期÷2）</t>
    <phoneticPr fontId="89" type="noConversion"/>
  </si>
  <si>
    <t>2-4-1</t>
    <phoneticPr fontId="89" type="noConversion"/>
  </si>
  <si>
    <t>2-1及2-2项产生的利息</t>
    <phoneticPr fontId="89" type="noConversion"/>
  </si>
  <si>
    <t>（建造成本+管理费用）×利率×（建设周期÷2）</t>
    <phoneticPr fontId="89" type="noConversion"/>
  </si>
  <si>
    <t>建设周期（年）</t>
    <phoneticPr fontId="89" type="noConversion"/>
  </si>
  <si>
    <t>2-4-2</t>
    <phoneticPr fontId="89" type="noConversion"/>
  </si>
  <si>
    <t>销售费用产生的利息</t>
    <phoneticPr fontId="89" type="noConversion"/>
  </si>
  <si>
    <t>销售费用×利率×（建设周期÷2）</t>
    <phoneticPr fontId="89" type="noConversion"/>
  </si>
  <si>
    <t>利息（%）</t>
    <phoneticPr fontId="89" type="noConversion"/>
  </si>
  <si>
    <t>2-5</t>
    <phoneticPr fontId="89" type="noConversion"/>
  </si>
  <si>
    <t>（建造成本+管理费用+销售费用）×利润率</t>
    <phoneticPr fontId="89" type="noConversion"/>
  </si>
  <si>
    <t>2-5-1</t>
    <phoneticPr fontId="89" type="noConversion"/>
  </si>
  <si>
    <t>2-1、2-2项产生的利润</t>
    <phoneticPr fontId="89" type="noConversion"/>
  </si>
  <si>
    <t>（建造成本+管理费用）×利润率</t>
    <phoneticPr fontId="89" type="noConversion"/>
  </si>
  <si>
    <t>利润率（%）</t>
    <phoneticPr fontId="89" type="noConversion"/>
  </si>
  <si>
    <t>①完好房：十、九、八成新；</t>
  </si>
  <si>
    <t>2-5-2</t>
    <phoneticPr fontId="89" type="noConversion"/>
  </si>
  <si>
    <t>销售费用×利润率</t>
    <phoneticPr fontId="89" type="noConversion"/>
  </si>
  <si>
    <t>②基本完好房；七、六成新</t>
    <phoneticPr fontId="89" type="noConversion"/>
  </si>
  <si>
    <t>2-6</t>
    <phoneticPr fontId="89" type="noConversion"/>
  </si>
  <si>
    <t>③一般损坏房：五、四成新；</t>
    <phoneticPr fontId="89" type="noConversion"/>
  </si>
  <si>
    <t>请注意成新率的取值！！</t>
    <phoneticPr fontId="89" type="noConversion"/>
  </si>
  <si>
    <t>2-7</t>
    <phoneticPr fontId="89" type="noConversion"/>
  </si>
  <si>
    <t>建筑物重置价值</t>
    <phoneticPr fontId="89" type="noConversion"/>
  </si>
  <si>
    <t>④严重损坏房及危险房：三成新以下。</t>
    <phoneticPr fontId="89" type="noConversion"/>
  </si>
  <si>
    <t>第1年（至205.12.31）</t>
    <phoneticPr fontId="89" type="noConversion"/>
  </si>
  <si>
    <t>第2年（至2016.12.31）</t>
    <phoneticPr fontId="89" type="noConversion"/>
  </si>
  <si>
    <t>第3年（至2017.12.31）</t>
    <phoneticPr fontId="89" type="noConversion"/>
  </si>
  <si>
    <t>第1年</t>
    <phoneticPr fontId="89" type="noConversion"/>
  </si>
  <si>
    <t>第2年</t>
    <phoneticPr fontId="89" type="noConversion"/>
  </si>
  <si>
    <t>第3年</t>
    <phoneticPr fontId="89" type="noConversion"/>
  </si>
  <si>
    <t>2015</t>
    <phoneticPr fontId="89" type="noConversion"/>
  </si>
  <si>
    <t>2016</t>
    <phoneticPr fontId="89" type="noConversion"/>
  </si>
  <si>
    <t>建筑面积</t>
    <phoneticPr fontId="93" type="noConversion"/>
  </si>
  <si>
    <t>车位面积</t>
    <phoneticPr fontId="93" type="noConversion"/>
  </si>
  <si>
    <t>单个车位面积</t>
    <phoneticPr fontId="93" type="noConversion"/>
  </si>
  <si>
    <t>车位个数</t>
    <phoneticPr fontId="93" type="noConversion"/>
  </si>
  <si>
    <t>35(设定）</t>
    <phoneticPr fontId="93" type="noConversion"/>
  </si>
  <si>
    <t>单个车位价格</t>
    <phoneticPr fontId="93" type="noConversion"/>
  </si>
  <si>
    <t>总建筑面积</t>
  </si>
  <si>
    <t>比较</t>
    <phoneticPr fontId="89" type="noConversion"/>
  </si>
  <si>
    <t>实测-明细表</t>
  </si>
  <si>
    <t>楼栋号</t>
  </si>
  <si>
    <t>门牌号</t>
  </si>
  <si>
    <t>建筑面积（㎡）</t>
  </si>
  <si>
    <t>第1</t>
  </si>
  <si>
    <t>已售广发银行不计入本次评估范围</t>
  </si>
  <si>
    <t>第2</t>
  </si>
  <si>
    <t>第3</t>
  </si>
  <si>
    <t>第4</t>
  </si>
  <si>
    <t>第5</t>
  </si>
  <si>
    <t>第6</t>
  </si>
  <si>
    <t>整理</t>
    <phoneticPr fontId="89" type="noConversion"/>
  </si>
  <si>
    <t>土地面积</t>
    <phoneticPr fontId="89" type="noConversion"/>
  </si>
  <si>
    <t>分摊土地面积</t>
    <phoneticPr fontId="89" type="noConversion"/>
  </si>
  <si>
    <t>容积率</t>
    <phoneticPr fontId="89" type="noConversion"/>
  </si>
  <si>
    <t>楼层系数</t>
    <phoneticPr fontId="89" type="noConversion"/>
  </si>
  <si>
    <t>备注</t>
    <phoneticPr fontId="89" type="noConversion"/>
  </si>
  <si>
    <t>3层有出口可直接从进入</t>
    <phoneticPr fontId="89" type="noConversion"/>
  </si>
  <si>
    <t>4层有出口，可直接进入，且可直达轻轨</t>
    <phoneticPr fontId="89" type="noConversion"/>
  </si>
  <si>
    <t>单价</t>
    <phoneticPr fontId="89" type="noConversion"/>
  </si>
  <si>
    <t>总价</t>
    <phoneticPr fontId="89" type="noConversion"/>
  </si>
  <si>
    <t>平均租金</t>
    <phoneticPr fontId="104" type="noConversion"/>
  </si>
  <si>
    <t>1层</t>
    <phoneticPr fontId="104" type="noConversion"/>
  </si>
  <si>
    <t>2层</t>
    <phoneticPr fontId="104" type="noConversion"/>
  </si>
  <si>
    <t>3层</t>
    <phoneticPr fontId="104" type="noConversion"/>
  </si>
  <si>
    <t>4层</t>
    <phoneticPr fontId="104" type="noConversion"/>
  </si>
  <si>
    <t>5层</t>
    <phoneticPr fontId="104" type="noConversion"/>
  </si>
  <si>
    <t>6层</t>
    <phoneticPr fontId="104" type="noConversion"/>
  </si>
  <si>
    <t>依据租赁表</t>
    <phoneticPr fontId="93" type="noConversion"/>
  </si>
  <si>
    <t>公共部分装修</t>
    <phoneticPr fontId="89" type="noConversion"/>
  </si>
  <si>
    <t>业态</t>
    <phoneticPr fontId="89" type="noConversion"/>
  </si>
  <si>
    <t>层高</t>
    <phoneticPr fontId="89" type="noConversion"/>
  </si>
  <si>
    <t>商业租赁合同情况表</t>
  </si>
  <si>
    <t>商户</t>
  </si>
  <si>
    <t>经营品牌</t>
  </si>
  <si>
    <t>合同基本信息</t>
  </si>
  <si>
    <t>月销售额</t>
  </si>
  <si>
    <t>月租金</t>
    <phoneticPr fontId="104" type="noConversion"/>
  </si>
  <si>
    <t>其他费用</t>
    <phoneticPr fontId="89" type="noConversion"/>
  </si>
  <si>
    <t>合同方式</t>
  </si>
  <si>
    <t>商铺位置</t>
  </si>
  <si>
    <t>商铺租赁  面积（m2)</t>
  </si>
  <si>
    <t>经营        期限（年）</t>
  </si>
  <si>
    <t>租赁起止期间</t>
  </si>
  <si>
    <t>单位租金元/M2</t>
  </si>
  <si>
    <t>基本租金</t>
  </si>
  <si>
    <t>扣率  租金</t>
  </si>
  <si>
    <t>管理费
（每月）</t>
    <phoneticPr fontId="89" type="noConversion"/>
  </si>
  <si>
    <t>推广费
（每月）</t>
    <phoneticPr fontId="89" type="noConversion"/>
  </si>
  <si>
    <t>1F</t>
  </si>
  <si>
    <t>C1500029(迈克尔高司商贸（上海）有限公司) </t>
  </si>
  <si>
    <t>Michael Kors </t>
  </si>
  <si>
    <t>基本租金或扣率租金取高</t>
  </si>
  <si>
    <t>L101 </t>
  </si>
  <si>
    <t>5年</t>
  </si>
  <si>
    <t>C1500031(施华洛世奇（上海）贸易有限公司) </t>
  </si>
  <si>
    <t>施华洛世奇 </t>
  </si>
  <si>
    <t>L103 </t>
  </si>
  <si>
    <t>C1500036(泓澈投资管理（上海）有限公司) </t>
  </si>
  <si>
    <t>Nicolas Andreas </t>
  </si>
  <si>
    <t>L109 </t>
  </si>
  <si>
    <t>3年</t>
    <phoneticPr fontId="89" type="noConversion"/>
  </si>
  <si>
    <t>C1500046(上海协宏品牌管理有限公司) </t>
  </si>
  <si>
    <t>The Stairs </t>
  </si>
  <si>
    <t>联营方式</t>
  </si>
  <si>
    <t>L110/111 </t>
  </si>
  <si>
    <t>3年</t>
  </si>
  <si>
    <t>C1500018(玛瑞拉时装（上海）有限公司) </t>
  </si>
  <si>
    <t>Maria Luisa </t>
  </si>
  <si>
    <t>L119 </t>
  </si>
  <si>
    <t>Maje</t>
    <phoneticPr fontId="104" type="noConversion"/>
  </si>
  <si>
    <t>L105</t>
    <phoneticPr fontId="104" type="noConversion"/>
  </si>
  <si>
    <t>Sandro</t>
    <phoneticPr fontId="104" type="noConversion"/>
  </si>
  <si>
    <t>L106</t>
  </si>
  <si>
    <t>Red Valentino</t>
    <phoneticPr fontId="104" type="noConversion"/>
  </si>
  <si>
    <t>L107</t>
  </si>
  <si>
    <t>协信美术馆</t>
    <phoneticPr fontId="104" type="noConversion"/>
  </si>
  <si>
    <t>L112</t>
    <phoneticPr fontId="104" type="noConversion"/>
  </si>
  <si>
    <t>Esse by esse chic</t>
    <phoneticPr fontId="104" type="noConversion"/>
  </si>
  <si>
    <t>L113/117</t>
    <phoneticPr fontId="104" type="noConversion"/>
  </si>
  <si>
    <t>2F</t>
  </si>
  <si>
    <t>C1500052(上海斓曦服饰有限公司) </t>
  </si>
  <si>
    <t>PASSTYLE </t>
  </si>
  <si>
    <t>L201/202/203 </t>
  </si>
  <si>
    <t>C1500035(上海高卓餐饮有限公司) </t>
  </si>
  <si>
    <t>Becca </t>
  </si>
  <si>
    <t>L205A/205B </t>
  </si>
  <si>
    <t>9年</t>
  </si>
  <si>
    <t>C1500030(重庆尚琪贸易有限责任公司) </t>
  </si>
  <si>
    <t>Tommy Hilfiger </t>
  </si>
  <si>
    <t>L206 </t>
  </si>
  <si>
    <t>C1500037(王奉辉) </t>
  </si>
  <si>
    <t>Daniel Hechter </t>
  </si>
  <si>
    <t>L207 </t>
  </si>
  <si>
    <t>C1500014(崇远大卫服饰（上海）有限公司) </t>
  </si>
  <si>
    <t>David Mayer Naman </t>
  </si>
  <si>
    <t>L208 </t>
  </si>
  <si>
    <t>2年</t>
  </si>
  <si>
    <t>C1500032(上海崇定商贸有限公司) </t>
  </si>
  <si>
    <t>VERRI </t>
  </si>
  <si>
    <t>L209 </t>
  </si>
  <si>
    <t>C1500015(上海沙驰服饰有限公司) </t>
  </si>
  <si>
    <t>Satchi </t>
  </si>
  <si>
    <t>L210A </t>
  </si>
  <si>
    <t>C1500064(何豪) </t>
  </si>
  <si>
    <t>VSKONNE </t>
  </si>
  <si>
    <t>L211 </t>
  </si>
  <si>
    <t>C1500045(广州市艾德保贸易有限公司) </t>
  </si>
  <si>
    <t>Aston Martin </t>
  </si>
  <si>
    <t>L213 </t>
  </si>
  <si>
    <t>C1500039(重庆意美皮具有限公司) </t>
  </si>
  <si>
    <t>CGX </t>
  </si>
  <si>
    <t>L215 </t>
  </si>
  <si>
    <t>C1500044(董竞睿) </t>
  </si>
  <si>
    <t>CHAUMONT </t>
  </si>
  <si>
    <t>L216/217 </t>
  </si>
  <si>
    <t>C1500023(深圳品嘉百货有限公司) </t>
  </si>
  <si>
    <t>P+ </t>
  </si>
  <si>
    <t>L218 </t>
  </si>
  <si>
    <t>C1500061(深圳玛丝菲尔时装股份有限公司) </t>
  </si>
  <si>
    <t>Marisfrolg </t>
  </si>
  <si>
    <t>L219/220 </t>
  </si>
  <si>
    <t>C1500059(浙江凤凰尚品贸易有限公司) </t>
  </si>
  <si>
    <t>HAZZYS </t>
  </si>
  <si>
    <t>L221 </t>
  </si>
  <si>
    <t>C1500054(重庆强宝贸易发展有限公司) </t>
  </si>
  <si>
    <t>Ellassay </t>
  </si>
  <si>
    <t>L222 </t>
  </si>
  <si>
    <t>4年</t>
  </si>
  <si>
    <t>C1500019(郭敏) </t>
  </si>
  <si>
    <t>好利来 </t>
  </si>
  <si>
    <t>L223 </t>
  </si>
  <si>
    <t>3F</t>
    <phoneticPr fontId="89" type="noConversion"/>
  </si>
  <si>
    <t>C1500013(李箭) </t>
  </si>
  <si>
    <t>Eve`s Temptation </t>
  </si>
  <si>
    <t>L301 </t>
  </si>
  <si>
    <t>C1500049(重庆速写服饰销售有限公司) </t>
  </si>
  <si>
    <t>JNBY&amp;速写 </t>
  </si>
  <si>
    <t>L302 </t>
  </si>
  <si>
    <t>innisfree</t>
    <phoneticPr fontId="104" type="noConversion"/>
  </si>
  <si>
    <t>L303</t>
    <phoneticPr fontId="104" type="noConversion"/>
  </si>
  <si>
    <t>C1500001(上海素原首饰有限公司) </t>
  </si>
  <si>
    <t>素 </t>
  </si>
  <si>
    <t>L305 </t>
  </si>
  <si>
    <t>韩束</t>
    <phoneticPr fontId="104" type="noConversion"/>
  </si>
  <si>
    <t>L305A </t>
    <phoneticPr fontId="104" type="noConversion"/>
  </si>
  <si>
    <t>C1500024(王小雅) </t>
  </si>
  <si>
    <t>No.11 tea house </t>
  </si>
  <si>
    <t>L306 </t>
  </si>
  <si>
    <t>C1500055(重庆市瑾凤服饰有限公司) </t>
  </si>
  <si>
    <t>Lily </t>
  </si>
  <si>
    <t>L307 </t>
  </si>
  <si>
    <t>C1500009(重庆婕翠商贸有限公司) </t>
  </si>
  <si>
    <t>HONGU </t>
  </si>
  <si>
    <t>L308 </t>
  </si>
  <si>
    <t>C1500041(重庆屈臣氏个人用品商店有限公司) </t>
  </si>
  <si>
    <t>屈臣氏 </t>
  </si>
  <si>
    <t>L309 </t>
  </si>
  <si>
    <t>8年</t>
  </si>
  <si>
    <t>Follie Follie</t>
  </si>
  <si>
    <t>L310A</t>
    <phoneticPr fontId="104" type="noConversion"/>
  </si>
  <si>
    <t>GAP</t>
    <phoneticPr fontId="89" type="noConversion"/>
  </si>
  <si>
    <t>BUOUBUOU</t>
  </si>
  <si>
    <t>L313</t>
  </si>
  <si>
    <t>C1500048(谢苏栋) </t>
  </si>
  <si>
    <t>AITU </t>
  </si>
  <si>
    <t>L315 </t>
  </si>
  <si>
    <t>C1500050(北京鄂尔多斯时装有限公司) </t>
  </si>
  <si>
    <t>BLUE ERDOS </t>
  </si>
  <si>
    <t>L316 </t>
  </si>
  <si>
    <t>C1500004(重庆钧钛贸易有限公司) </t>
  </si>
  <si>
    <t>CIRCLE </t>
  </si>
  <si>
    <t>L317 </t>
  </si>
  <si>
    <t>CANYING</t>
    <phoneticPr fontId="104" type="noConversion"/>
  </si>
  <si>
    <t>L318 </t>
    <phoneticPr fontId="104" type="noConversion"/>
  </si>
  <si>
    <t>C1500053(蒋安红) </t>
  </si>
  <si>
    <t>ANN ANN </t>
  </si>
  <si>
    <t>L319 </t>
  </si>
  <si>
    <t>4F</t>
  </si>
  <si>
    <t>C1500057(重庆傲胜商贸有限公司) </t>
  </si>
  <si>
    <t>OSIM </t>
  </si>
  <si>
    <t>L401 </t>
  </si>
  <si>
    <t>C1500005(陈中美) </t>
  </si>
  <si>
    <t>gxg.jeans </t>
  </si>
  <si>
    <t>L402 </t>
  </si>
  <si>
    <t>GXG </t>
  </si>
  <si>
    <t>L403 </t>
  </si>
  <si>
    <t>C1500056(鹏卫齐商业（上海）有限公司) </t>
  </si>
  <si>
    <t>Calvin Klein Jeans </t>
  </si>
  <si>
    <t>L405 </t>
  </si>
  <si>
    <t>Calvin Klein Underwear </t>
  </si>
  <si>
    <t>L406 </t>
  </si>
  <si>
    <t>C1500043(万翊) </t>
  </si>
  <si>
    <t>DEPOT3 </t>
  </si>
  <si>
    <t>L407 </t>
  </si>
  <si>
    <t>C1500020(徐伟亮) </t>
  </si>
  <si>
    <t>PONY </t>
  </si>
  <si>
    <t>L408 </t>
  </si>
  <si>
    <t>C1500026(林伟军) </t>
  </si>
  <si>
    <t>NIKE360 </t>
  </si>
  <si>
    <t>L409 </t>
  </si>
  <si>
    <t>adidas NEO </t>
  </si>
  <si>
    <t>L410 </t>
  </si>
  <si>
    <t>C1500038(重庆施乐事达通讯设备有限公司) </t>
  </si>
  <si>
    <t>SAMSUNG及Apple </t>
  </si>
  <si>
    <t>L411 </t>
  </si>
  <si>
    <t>C1500022(张瑛) </t>
  </si>
  <si>
    <t>CPU&amp;VGAME </t>
  </si>
  <si>
    <t>L412 </t>
  </si>
  <si>
    <t>C1500011(重庆瑞禾餐饮有限公司渝中区分公司) </t>
  </si>
  <si>
    <t>上井 </t>
  </si>
  <si>
    <t>L413 </t>
  </si>
  <si>
    <t>C1500008(迈盛悦合重庆体育用品有限公司) </t>
  </si>
  <si>
    <t>Nautica </t>
  </si>
  <si>
    <t>L415 </t>
  </si>
  <si>
    <t>C1500033(重庆偶然商贸有限公司) </t>
  </si>
  <si>
    <t>Lee </t>
  </si>
  <si>
    <t>L416 </t>
  </si>
  <si>
    <t>C1500058(上海禄泰实业有限公司) </t>
  </si>
  <si>
    <t>adidas Originals </t>
  </si>
  <si>
    <t>L417 </t>
  </si>
  <si>
    <t>C1500042(重庆千都商贸有限责任公司) </t>
  </si>
  <si>
    <t>LACOSTE </t>
  </si>
  <si>
    <t>L418 </t>
  </si>
  <si>
    <t>C1500006(广州市盛世长运商贸连锁有限公司) </t>
  </si>
  <si>
    <t>Levi`s </t>
  </si>
  <si>
    <t>L419 </t>
  </si>
  <si>
    <t>C1500028(张琨) </t>
  </si>
  <si>
    <t>三荣 </t>
  </si>
  <si>
    <t>L420 </t>
  </si>
  <si>
    <t>6年</t>
  </si>
  <si>
    <t>6F</t>
  </si>
  <si>
    <t>C1500034(刘羿鑫) </t>
  </si>
  <si>
    <t>洛卡咖啡 </t>
  </si>
  <si>
    <t>扣率租金</t>
  </si>
  <si>
    <t>L501 </t>
  </si>
  <si>
    <t>C1500012(重庆百丽宫汇信影院有限公司) </t>
  </si>
  <si>
    <t>百丽宫影院 </t>
  </si>
  <si>
    <t>基本租金与物管合计或扣率租金取高</t>
  </si>
  <si>
    <t>L502/3/5/6,L602/3/5/6 </t>
  </si>
  <si>
    <t>12年</t>
  </si>
  <si>
    <t>C1500021(隋野) </t>
  </si>
  <si>
    <t>帝娜朵拉 </t>
  </si>
  <si>
    <t>L507 </t>
  </si>
  <si>
    <t>C1500040(戴华露) </t>
  </si>
  <si>
    <t>顺风123 </t>
  </si>
  <si>
    <t>L508 </t>
  </si>
  <si>
    <t>C1500003(成都满记甜品有限公司) </t>
  </si>
  <si>
    <t>满记甜品 </t>
  </si>
  <si>
    <t>L509 </t>
  </si>
  <si>
    <t>C1500007(重庆亿美嘉餐饮管理有限公司) </t>
  </si>
  <si>
    <t>巴贝拉 </t>
  </si>
  <si>
    <t>L510/511 </t>
  </si>
  <si>
    <t>C1500051(上海富井餐饮管理有限公司) </t>
  </si>
  <si>
    <t>井寿司 </t>
  </si>
  <si>
    <t>L512/513 </t>
  </si>
  <si>
    <t>C1500025(曾谨涛) </t>
  </si>
  <si>
    <t>加禧茶餐厅 </t>
  </si>
  <si>
    <t>L515 </t>
  </si>
  <si>
    <t>6F</t>
    <phoneticPr fontId="89" type="noConversion"/>
  </si>
  <si>
    <t>C1500002(成都亿客餐饮管理有限公司) </t>
  </si>
  <si>
    <t>蓉李记 </t>
  </si>
  <si>
    <t>L601 </t>
  </si>
  <si>
    <t>C1500017(重庆逸雅媛健康管理有限公司) </t>
  </si>
  <si>
    <t>逸雅媛 </t>
  </si>
  <si>
    <t>L607 </t>
  </si>
  <si>
    <t>C1500027(重庆马蹄莲洗衣服务有限公司) </t>
  </si>
  <si>
    <t>福奈特 </t>
  </si>
  <si>
    <t>L608A </t>
  </si>
  <si>
    <t>C1500065(李正婷) </t>
  </si>
  <si>
    <t>花里美甲 </t>
  </si>
  <si>
    <t>L609 </t>
  </si>
  <si>
    <t>C1500010(重庆泰色餐饮管理有限公司) </t>
  </si>
  <si>
    <t>泰兰德泰式海鲜火锅 </t>
  </si>
  <si>
    <t>L611/612/613 </t>
  </si>
  <si>
    <t>C1500060(段后林) </t>
  </si>
  <si>
    <t>御记煌 </t>
  </si>
  <si>
    <t>L615 </t>
  </si>
  <si>
    <t>C1500016(贝拉吉奥（武汉）餐饮管理有限公司) </t>
  </si>
  <si>
    <t>鹿港小镇 </t>
  </si>
  <si>
    <t>L616 </t>
  </si>
  <si>
    <t>L617 </t>
  </si>
  <si>
    <t xml:space="preserve"> </t>
    <phoneticPr fontId="104" type="noConversion"/>
  </si>
  <si>
    <r>
      <t>1-</t>
    </r>
    <r>
      <rPr>
        <sz val="10"/>
        <rFont val="宋体"/>
        <family val="3"/>
        <charset val="134"/>
      </rPr>
      <t>6</t>
    </r>
    <r>
      <rPr>
        <sz val="10"/>
        <rFont val="宋体"/>
        <family val="3"/>
        <charset val="134"/>
      </rPr>
      <t>楼租赁面积</t>
    </r>
    <phoneticPr fontId="89" type="noConversion"/>
  </si>
  <si>
    <t>金额</t>
  </si>
  <si>
    <t>其他费用合计</t>
    <phoneticPr fontId="89" type="noConversion"/>
  </si>
  <si>
    <t>层高系数</t>
    <phoneticPr fontId="89" type="noConversion"/>
  </si>
  <si>
    <r>
      <t>比较法</t>
    </r>
    <r>
      <rPr>
        <b/>
        <sz val="16"/>
        <color indexed="10"/>
        <rFont val="楷体_GB2312"/>
        <family val="3"/>
        <charset val="134"/>
      </rPr>
      <t>（商业）</t>
    </r>
    <phoneticPr fontId="89" type="noConversion"/>
  </si>
  <si>
    <t>比较因素</t>
    <phoneticPr fontId="89" type="noConversion"/>
  </si>
  <si>
    <t>估价对象</t>
    <phoneticPr fontId="89" type="noConversion"/>
  </si>
  <si>
    <t>案例A</t>
    <phoneticPr fontId="89" type="noConversion"/>
  </si>
  <si>
    <t>案例B</t>
    <phoneticPr fontId="89" type="noConversion"/>
  </si>
  <si>
    <t>案例C</t>
    <phoneticPr fontId="89" type="noConversion"/>
  </si>
  <si>
    <t>修正幅度</t>
    <phoneticPr fontId="89" type="noConversion"/>
  </si>
  <si>
    <t>比较因素</t>
    <phoneticPr fontId="89" type="noConversion"/>
  </si>
  <si>
    <t>案例A</t>
    <phoneticPr fontId="89" type="noConversion"/>
  </si>
  <si>
    <t>项目位置</t>
    <phoneticPr fontId="89" type="noConversion"/>
  </si>
  <si>
    <t>交易时间</t>
    <phoneticPr fontId="89" type="noConversion"/>
  </si>
  <si>
    <t>每向后一季度，相应修正一级</t>
    <phoneticPr fontId="89" type="noConversion"/>
  </si>
  <si>
    <t>100/</t>
    <phoneticPr fontId="89" type="noConversion"/>
  </si>
  <si>
    <t>100/</t>
    <phoneticPr fontId="89" type="noConversion"/>
  </si>
  <si>
    <t>交易时间</t>
    <phoneticPr fontId="89" type="noConversion"/>
  </si>
  <si>
    <t>交易情况</t>
    <phoneticPr fontId="89" type="noConversion"/>
  </si>
  <si>
    <t>估价对象及各案例均为正常，故不做修正</t>
    <phoneticPr fontId="89" type="noConversion"/>
  </si>
  <si>
    <t>——</t>
    <phoneticPr fontId="89" type="noConversion"/>
  </si>
  <si>
    <t>100/</t>
    <phoneticPr fontId="89" type="noConversion"/>
  </si>
  <si>
    <t>权益状况</t>
    <phoneticPr fontId="89" type="noConversion"/>
  </si>
  <si>
    <t>用途</t>
    <phoneticPr fontId="89" type="noConversion"/>
  </si>
  <si>
    <t>估价对象及各案例均为商业，故不做修正</t>
    <phoneticPr fontId="89" type="noConversion"/>
  </si>
  <si>
    <t>权益状况</t>
    <phoneticPr fontId="89" type="noConversion"/>
  </si>
  <si>
    <t>土地使用年限（年）</t>
    <phoneticPr fontId="89" type="noConversion"/>
  </si>
  <si>
    <t>45（含）-50、40（含）-45、35（含）-40、30（含）-35、25（含）-30、25以下</t>
    <phoneticPr fontId="89" type="noConversion"/>
  </si>
  <si>
    <t>101/</t>
  </si>
  <si>
    <r>
      <rPr>
        <sz val="8"/>
        <color indexed="53"/>
        <rFont val="楷体_GB2312"/>
        <family val="3"/>
        <charset val="134"/>
      </rPr>
      <t>地上</t>
    </r>
    <r>
      <rPr>
        <sz val="8"/>
        <color indexed="8"/>
        <rFont val="楷体_GB2312"/>
        <family val="3"/>
        <charset val="134"/>
      </rPr>
      <t>容积率</t>
    </r>
    <phoneticPr fontId="89" type="noConversion"/>
  </si>
  <si>
    <t>0-1（含）、1-2（含）、2-3（含）、3-4（含）、4-5（含）、5-6（含）、6-7（含）、7-8（含）、8以上</t>
    <phoneticPr fontId="89" type="noConversion"/>
  </si>
  <si>
    <t>100/</t>
    <phoneticPr fontId="89" type="noConversion"/>
  </si>
  <si>
    <t>100/</t>
    <phoneticPr fontId="89" type="noConversion"/>
  </si>
  <si>
    <t>其他权益状况修正</t>
    <phoneticPr fontId="89" type="noConversion"/>
  </si>
  <si>
    <t>区位状况</t>
    <phoneticPr fontId="89" type="noConversion"/>
  </si>
  <si>
    <t>商业繁华度</t>
    <phoneticPr fontId="89" type="noConversion"/>
  </si>
  <si>
    <t>好、较好、一般、较差、差</t>
    <phoneticPr fontId="89" type="noConversion"/>
  </si>
  <si>
    <t>交通便捷度</t>
    <phoneticPr fontId="89" type="noConversion"/>
  </si>
  <si>
    <t>好、较好、一般、较差、差</t>
    <phoneticPr fontId="89" type="noConversion"/>
  </si>
  <si>
    <t>公用设施及基础设施水平</t>
    <phoneticPr fontId="89" type="noConversion"/>
  </si>
  <si>
    <t>齐全、较齐全、一般、较不齐全、不齐全</t>
    <phoneticPr fontId="89" type="noConversion"/>
  </si>
  <si>
    <t>自然及人文环境</t>
    <phoneticPr fontId="89" type="noConversion"/>
  </si>
  <si>
    <t>临街状况</t>
    <phoneticPr fontId="89" type="noConversion"/>
  </si>
  <si>
    <t>街角地、双面临街、单面临街、不临街</t>
    <phoneticPr fontId="89" type="noConversion"/>
  </si>
  <si>
    <t>人流量</t>
    <phoneticPr fontId="89" type="noConversion"/>
  </si>
  <si>
    <t>楼层</t>
    <phoneticPr fontId="89" type="noConversion"/>
  </si>
  <si>
    <t>1层、2层、3层及下沉式广场地下1层、4层及地下1层、5层及地下2层</t>
    <phoneticPr fontId="89" type="noConversion"/>
  </si>
  <si>
    <t>特殊因素（需详细注明）</t>
    <phoneticPr fontId="89" type="noConversion"/>
  </si>
  <si>
    <t>实物状况</t>
    <phoneticPr fontId="89" type="noConversion"/>
  </si>
  <si>
    <t>商业类型</t>
    <phoneticPr fontId="89" type="noConversion"/>
  </si>
  <si>
    <t>商业街商铺、独栋商业、沿街商铺、写字楼配套、住宅配套</t>
    <phoneticPr fontId="89" type="noConversion"/>
  </si>
  <si>
    <t>项目建筑规模</t>
    <phoneticPr fontId="89" type="noConversion"/>
  </si>
  <si>
    <t>建筑结构</t>
    <phoneticPr fontId="89" type="noConversion"/>
  </si>
  <si>
    <t>钢、钢混、砖混、砖木</t>
    <phoneticPr fontId="89" type="noConversion"/>
  </si>
  <si>
    <t>豪装、精装、普装、简装、毛坯</t>
    <phoneticPr fontId="89" type="noConversion"/>
  </si>
  <si>
    <t>成新率</t>
    <phoneticPr fontId="89" type="noConversion"/>
  </si>
  <si>
    <t>以估价对象为基准，每增加或减少一年，相应增减一级；95%-100%（含）、90%-95%（含）、85%-90%（含）、80%-85%（含）、75%-80%（含）、70%-75%（含）、70%（含）以下</t>
    <phoneticPr fontId="89" type="noConversion"/>
  </si>
  <si>
    <t>内部装修</t>
    <phoneticPr fontId="89" type="noConversion"/>
  </si>
  <si>
    <t>豪装、精装、普装、简装、毛坯</t>
    <phoneticPr fontId="89" type="noConversion"/>
  </si>
  <si>
    <t>基础设施水平</t>
    <phoneticPr fontId="89" type="noConversion"/>
  </si>
  <si>
    <t>七通、六通、五通、四通、三通</t>
    <phoneticPr fontId="89" type="noConversion"/>
  </si>
  <si>
    <t>可餐饮、不可餐饮</t>
    <phoneticPr fontId="89" type="noConversion"/>
  </si>
  <si>
    <t>6米（含）以上、4（含）-6米、4米以下</t>
    <phoneticPr fontId="89" type="noConversion"/>
  </si>
  <si>
    <t>实物状况</t>
    <phoneticPr fontId="89" type="noConversion"/>
  </si>
  <si>
    <t>单套建筑面积（平方米）</t>
    <phoneticPr fontId="89" type="noConversion"/>
  </si>
  <si>
    <t>进深比</t>
    <phoneticPr fontId="89" type="noConversion"/>
  </si>
  <si>
    <t>内部装修维护情况</t>
    <phoneticPr fontId="89" type="noConversion"/>
  </si>
  <si>
    <t>成交单价（元/平方米）</t>
    <phoneticPr fontId="89" type="noConversion"/>
  </si>
  <si>
    <t>——</t>
    <phoneticPr fontId="89" type="noConversion"/>
  </si>
  <si>
    <t>备注：以上修正因素从左到右依次向下修正一级</t>
    <phoneticPr fontId="89" type="noConversion"/>
  </si>
  <si>
    <t>比较价值（元/平方米）</t>
    <phoneticPr fontId="89" type="noConversion"/>
  </si>
  <si>
    <r>
      <t>估价对象</t>
    </r>
    <r>
      <rPr>
        <b/>
        <sz val="8"/>
        <color indexed="10"/>
        <rFont val="楷体_GB2312"/>
        <family val="3"/>
        <charset val="134"/>
      </rPr>
      <t>商业用房的</t>
    </r>
    <r>
      <rPr>
        <b/>
        <sz val="8"/>
        <rFont val="楷体_GB2312"/>
        <family val="3"/>
        <charset val="134"/>
      </rPr>
      <t>比较价值（楼面单价，元/平方米）</t>
    </r>
    <phoneticPr fontId="89" type="noConversion"/>
  </si>
  <si>
    <t>总修正幅度不超过30%</t>
    <phoneticPr fontId="89" type="noConversion"/>
  </si>
  <si>
    <t>各修正结果之间不超过20%</t>
    <phoneticPr fontId="89" type="noConversion"/>
  </si>
  <si>
    <t>各案例间不超过30%</t>
    <phoneticPr fontId="89" type="noConversion"/>
  </si>
  <si>
    <t>楼层</t>
    <phoneticPr fontId="89" type="noConversion"/>
  </si>
  <si>
    <t>1层、2层、3层及下沉式广场地下1层、4层及地下1层、5层及地下2层</t>
    <phoneticPr fontId="89" type="noConversion"/>
  </si>
  <si>
    <t>临街状况</t>
    <phoneticPr fontId="89" type="noConversion"/>
  </si>
  <si>
    <t>街角地、双面临街、单面临街、不临街</t>
    <phoneticPr fontId="89" type="noConversion"/>
  </si>
  <si>
    <t>可视性</t>
    <phoneticPr fontId="89" type="noConversion"/>
  </si>
  <si>
    <t>人流量</t>
    <phoneticPr fontId="89" type="noConversion"/>
  </si>
  <si>
    <t>协信广场</t>
    <phoneticPr fontId="89" type="noConversion"/>
  </si>
  <si>
    <t>正常</t>
    <phoneticPr fontId="89" type="noConversion"/>
  </si>
  <si>
    <t>商业</t>
    <phoneticPr fontId="89" type="noConversion"/>
  </si>
  <si>
    <t>价值时点</t>
    <phoneticPr fontId="89" type="noConversion"/>
  </si>
  <si>
    <t>法定最高/出让年限</t>
    <phoneticPr fontId="89" type="noConversion"/>
  </si>
  <si>
    <t>终止日期</t>
    <phoneticPr fontId="89" type="noConversion"/>
  </si>
  <si>
    <t>剩余土地使用年限</t>
    <phoneticPr fontId="89" type="noConversion"/>
  </si>
  <si>
    <t>年期修正系数</t>
    <phoneticPr fontId="89" type="noConversion"/>
  </si>
  <si>
    <t>报酬率-土地</t>
    <phoneticPr fontId="89" type="noConversion"/>
  </si>
  <si>
    <t>不同年限间价值的换算</t>
    <phoneticPr fontId="89" type="noConversion"/>
  </si>
  <si>
    <t>年限</t>
    <phoneticPr fontId="89" type="noConversion"/>
  </si>
  <si>
    <t>N</t>
    <phoneticPr fontId="89" type="noConversion"/>
  </si>
  <si>
    <t>Y（N）</t>
    <phoneticPr fontId="89" type="noConversion"/>
  </si>
  <si>
    <t>K(N)</t>
    <phoneticPr fontId="89" type="noConversion"/>
  </si>
  <si>
    <t>n</t>
    <phoneticPr fontId="89" type="noConversion"/>
  </si>
  <si>
    <t>Y（n）</t>
    <phoneticPr fontId="89" type="noConversion"/>
  </si>
  <si>
    <t>K(n)</t>
    <phoneticPr fontId="89" type="noConversion"/>
  </si>
  <si>
    <t>V（N）</t>
    <phoneticPr fontId="89" type="noConversion"/>
  </si>
  <si>
    <t>V（n）</t>
    <phoneticPr fontId="89" type="noConversion"/>
  </si>
  <si>
    <t>好</t>
    <phoneticPr fontId="89" type="noConversion"/>
  </si>
  <si>
    <t>齐全</t>
    <phoneticPr fontId="89" type="noConversion"/>
  </si>
  <si>
    <t>可视性</t>
    <phoneticPr fontId="89" type="noConversion"/>
  </si>
  <si>
    <t>1层</t>
    <phoneticPr fontId="89" type="noConversion"/>
  </si>
  <si>
    <t>商业街商场</t>
    <phoneticPr fontId="89" type="noConversion"/>
  </si>
  <si>
    <t>大</t>
    <phoneticPr fontId="89" type="noConversion"/>
  </si>
  <si>
    <t>钢混</t>
    <phoneticPr fontId="89" type="noConversion"/>
  </si>
  <si>
    <t>精装</t>
    <phoneticPr fontId="89" type="noConversion"/>
  </si>
  <si>
    <t>六通</t>
    <phoneticPr fontId="89" type="noConversion"/>
  </si>
  <si>
    <t>可餐饮</t>
    <phoneticPr fontId="89" type="noConversion"/>
  </si>
  <si>
    <t>较好</t>
    <phoneticPr fontId="89" type="noConversion"/>
  </si>
  <si>
    <t>较大</t>
    <phoneticPr fontId="89" type="noConversion"/>
  </si>
  <si>
    <t>融创白象街</t>
  </si>
  <si>
    <t>较好</t>
    <phoneticPr fontId="89" type="noConversion"/>
  </si>
  <si>
    <t>沿街商业</t>
    <phoneticPr fontId="89" type="noConversion"/>
  </si>
  <si>
    <t>毛坯</t>
    <phoneticPr fontId="89" type="noConversion"/>
  </si>
  <si>
    <t>95-100</t>
    <phoneticPr fontId="89" type="noConversion"/>
  </si>
  <si>
    <t>解放碑小吃街</t>
    <phoneticPr fontId="89" type="noConversion"/>
  </si>
  <si>
    <t>30-35</t>
    <phoneticPr fontId="89" type="noConversion"/>
  </si>
  <si>
    <t>45-50</t>
    <phoneticPr fontId="89" type="noConversion"/>
  </si>
  <si>
    <t>40-45</t>
    <phoneticPr fontId="89" type="noConversion"/>
  </si>
  <si>
    <t>35-40</t>
    <phoneticPr fontId="89" type="noConversion"/>
  </si>
  <si>
    <t>30-35</t>
    <phoneticPr fontId="89" type="noConversion"/>
  </si>
  <si>
    <t>80-85</t>
    <phoneticPr fontId="89" type="noConversion"/>
  </si>
  <si>
    <t>建筑面积</t>
    <phoneticPr fontId="89" type="noConversion"/>
  </si>
  <si>
    <t>200-300</t>
    <phoneticPr fontId="89" type="noConversion"/>
  </si>
  <si>
    <t>500-1000</t>
    <phoneticPr fontId="89" type="noConversion"/>
  </si>
  <si>
    <t>2层与写字楼联通，可直接出入</t>
    <phoneticPr fontId="89" type="noConversion"/>
  </si>
  <si>
    <t>估价结果</t>
    <phoneticPr fontId="89" type="noConversion"/>
  </si>
  <si>
    <t>权重确定打分评价体系</t>
    <phoneticPr fontId="89" type="noConversion"/>
  </si>
  <si>
    <t>估价对象1</t>
    <phoneticPr fontId="89" type="noConversion"/>
  </si>
  <si>
    <t>方法</t>
    <phoneticPr fontId="89" type="noConversion"/>
  </si>
  <si>
    <t>总额</t>
    <phoneticPr fontId="89" type="noConversion"/>
  </si>
  <si>
    <t>楼面单价</t>
    <phoneticPr fontId="89" type="noConversion"/>
  </si>
  <si>
    <t>权重</t>
    <phoneticPr fontId="89" type="noConversion"/>
  </si>
  <si>
    <t>总价</t>
    <phoneticPr fontId="89" type="noConversion"/>
  </si>
  <si>
    <t>楼面单价</t>
    <phoneticPr fontId="89" type="noConversion"/>
  </si>
  <si>
    <t>评价因素</t>
    <phoneticPr fontId="89" type="noConversion"/>
  </si>
  <si>
    <t>标准分值</t>
    <phoneticPr fontId="89" type="noConversion"/>
  </si>
  <si>
    <t>打分考虑因素</t>
    <phoneticPr fontId="89" type="noConversion"/>
  </si>
  <si>
    <t>估价对象1</t>
    <phoneticPr fontId="89" type="noConversion"/>
  </si>
  <si>
    <t>方法1</t>
    <phoneticPr fontId="89" type="noConversion"/>
  </si>
  <si>
    <t>估价方法1</t>
    <phoneticPr fontId="89" type="noConversion"/>
  </si>
  <si>
    <t>估价方法2</t>
    <phoneticPr fontId="89" type="noConversion"/>
  </si>
  <si>
    <t>方法2</t>
    <phoneticPr fontId="89" type="noConversion"/>
  </si>
  <si>
    <t>估价方法的代表性</t>
    <phoneticPr fontId="89" type="noConversion"/>
  </si>
  <si>
    <t>1、估价方法选取分析充分、合理，不采用的估价方法理由真实、可信，取25分；</t>
    <phoneticPr fontId="89" type="noConversion"/>
  </si>
  <si>
    <t>估价对象2</t>
  </si>
  <si>
    <t>方法</t>
    <phoneticPr fontId="89" type="noConversion"/>
  </si>
  <si>
    <t>总额</t>
    <phoneticPr fontId="89" type="noConversion"/>
  </si>
  <si>
    <t>楼面单价</t>
    <phoneticPr fontId="89" type="noConversion"/>
  </si>
  <si>
    <t>权重</t>
    <phoneticPr fontId="89" type="noConversion"/>
  </si>
  <si>
    <t>总价</t>
    <phoneticPr fontId="89" type="noConversion"/>
  </si>
  <si>
    <t>2、估价方法选取分析较合理，不采用的估价方法理由较充分，取20分；</t>
    <phoneticPr fontId="89" type="noConversion"/>
  </si>
  <si>
    <t>2、估价方法选取分析较合理，不采用的估价方法理由不充分，取15分；</t>
    <phoneticPr fontId="89" type="noConversion"/>
  </si>
  <si>
    <t>4、估价方法选取分析无依据及理由，取10分；</t>
    <phoneticPr fontId="89" type="noConversion"/>
  </si>
  <si>
    <t>估价对象3</t>
  </si>
  <si>
    <t>5、选择了不适宜或限制使用的方法，取5分</t>
    <phoneticPr fontId="89" type="noConversion"/>
  </si>
  <si>
    <t>方法1</t>
    <phoneticPr fontId="89" type="noConversion"/>
  </si>
  <si>
    <t>估价方法所要求的估价资料的完整性</t>
    <phoneticPr fontId="89" type="noConversion"/>
  </si>
  <si>
    <t>1、估价资料完整，来源依据充分，取15分；</t>
    <phoneticPr fontId="89" type="noConversion"/>
  </si>
  <si>
    <t>方法2</t>
    <phoneticPr fontId="89" type="noConversion"/>
  </si>
  <si>
    <t>2、估价资料有欠缺，来源依据不充分，取10分；</t>
    <phoneticPr fontId="89" type="noConversion"/>
  </si>
  <si>
    <t>3、估价资料不全，难以有效支持估价过程，取5分</t>
    <phoneticPr fontId="89" type="noConversion"/>
  </si>
  <si>
    <t>估价结果一览表</t>
    <phoneticPr fontId="89" type="noConversion"/>
  </si>
  <si>
    <t>参数选取的客观性</t>
    <phoneticPr fontId="89" type="noConversion"/>
  </si>
  <si>
    <t>1、参数从市场上获取，或从权威机构发布的信息上获取，取15分；</t>
    <phoneticPr fontId="89" type="noConversion"/>
  </si>
  <si>
    <t>土地面积</t>
  </si>
  <si>
    <t>出让国有建设用地使用权价值</t>
    <phoneticPr fontId="89" type="noConversion"/>
  </si>
  <si>
    <t>2、参数自行分析取得，理由较充分，取10分；</t>
    <phoneticPr fontId="89" type="noConversion"/>
  </si>
  <si>
    <t>3、参数获取理由无分析，取5分</t>
    <phoneticPr fontId="89" type="noConversion"/>
  </si>
  <si>
    <t>参数确定的时效性</t>
    <phoneticPr fontId="89" type="noConversion"/>
  </si>
  <si>
    <t>1、参数在规定的时效范围内，且距价值时点未超过1年，取15分；</t>
    <phoneticPr fontId="89" type="noConversion"/>
  </si>
  <si>
    <t>2、参数在规定的时效范围内，但距价值时点超过1年，取10分；</t>
    <phoneticPr fontId="89" type="noConversion"/>
  </si>
  <si>
    <t>3、参数超过规定的时效范围，取5分</t>
    <phoneticPr fontId="89" type="noConversion"/>
  </si>
  <si>
    <t>合计</t>
    <phoneticPr fontId="89" type="noConversion"/>
  </si>
  <si>
    <t>估价结果的现势性</t>
    <phoneticPr fontId="89" type="noConversion"/>
  </si>
  <si>
    <t>1、估价结果与同类用途房地产市场价格水平一致，且考虑了房地产市场发展趋势，取20分；</t>
    <phoneticPr fontId="89" type="noConversion"/>
  </si>
  <si>
    <t>2、估价结果与同类用途房地产价格水平基本一致，且适当考虑了房地产市场发展趋势，取15分；</t>
    <phoneticPr fontId="89" type="noConversion"/>
  </si>
  <si>
    <t>3、估价结果与同类用途房地产价格水平有一定差距，未考虑房地产市场发展趋势，取10分；</t>
    <phoneticPr fontId="89" type="noConversion"/>
  </si>
  <si>
    <t>4、估价结果与同类用途房地产价格水平不符，取5分</t>
    <phoneticPr fontId="89" type="noConversion"/>
  </si>
  <si>
    <t>分值</t>
    <phoneticPr fontId="89" type="noConversion"/>
  </si>
  <si>
    <t>房地产估价师知悉的法定优先受偿款</t>
    <phoneticPr fontId="89" type="noConversion"/>
  </si>
  <si>
    <t>项目</t>
    <phoneticPr fontId="89" type="noConversion"/>
  </si>
  <si>
    <t>说明</t>
    <phoneticPr fontId="89" type="noConversion"/>
  </si>
  <si>
    <t>抵押权</t>
    <phoneticPr fontId="89" type="noConversion"/>
  </si>
  <si>
    <t>地价款及契税、印花税</t>
    <phoneticPr fontId="89" type="noConversion"/>
  </si>
  <si>
    <t>规划调整新增政府土地收益</t>
    <phoneticPr fontId="89" type="noConversion"/>
  </si>
  <si>
    <t>应付未付工程款</t>
    <phoneticPr fontId="89" type="noConversion"/>
  </si>
  <si>
    <t>测算人：</t>
    <phoneticPr fontId="89" type="noConversion"/>
  </si>
  <si>
    <t>日期：</t>
    <phoneticPr fontId="89" type="noConversion"/>
  </si>
  <si>
    <t>价格初审</t>
    <phoneticPr fontId="89" type="noConversion"/>
  </si>
  <si>
    <t>价格终审：</t>
    <phoneticPr fontId="89" type="noConversion"/>
  </si>
  <si>
    <t>重庆SFC协信中心项目</t>
  </si>
  <si>
    <t>出让国有建设用地使用权价值</t>
  </si>
  <si>
    <t>收益</t>
    <phoneticPr fontId="89" type="noConversion"/>
  </si>
  <si>
    <t>好吃街门面</t>
    <phoneticPr fontId="89" type="noConversion"/>
  </si>
  <si>
    <t>&lt;50</t>
    <phoneticPr fontId="89" type="noConversion"/>
  </si>
  <si>
    <t>50-150</t>
    <phoneticPr fontId="89" type="noConversion"/>
  </si>
  <si>
    <t>临街情况</t>
    <phoneticPr fontId="89" type="noConversion"/>
  </si>
  <si>
    <t>1000-1500</t>
    <phoneticPr fontId="89" type="noConversion"/>
  </si>
  <si>
    <t>1500-3000</t>
    <phoneticPr fontId="89" type="noConversion"/>
  </si>
  <si>
    <t>5000-6000</t>
    <phoneticPr fontId="89" type="noConversion"/>
  </si>
  <si>
    <t>3000-4000</t>
    <phoneticPr fontId="89" type="noConversion"/>
  </si>
  <si>
    <t>4000-5000</t>
    <phoneticPr fontId="89" type="noConversion"/>
  </si>
  <si>
    <t>6000-7000</t>
    <phoneticPr fontId="89" type="noConversion"/>
  </si>
  <si>
    <t>7000-8000</t>
    <phoneticPr fontId="89" type="noConversion"/>
  </si>
  <si>
    <t>8000-9000</t>
    <phoneticPr fontId="89" type="noConversion"/>
  </si>
  <si>
    <t>9000-10000</t>
    <phoneticPr fontId="89" type="noConversion"/>
  </si>
  <si>
    <t>建筑面积修正</t>
    <phoneticPr fontId="89" type="noConversion"/>
  </si>
  <si>
    <t>0-500</t>
    <phoneticPr fontId="89" type="noConversion"/>
  </si>
  <si>
    <t>挑高</t>
    <phoneticPr fontId="89" type="noConversion"/>
  </si>
  <si>
    <t>标准</t>
    <phoneticPr fontId="89" type="noConversion"/>
  </si>
  <si>
    <t>多面临街</t>
    <phoneticPr fontId="89" type="noConversion"/>
  </si>
  <si>
    <t>单面临街</t>
    <phoneticPr fontId="89" type="noConversion"/>
  </si>
  <si>
    <t>多面临街</t>
    <phoneticPr fontId="89" type="noConversion"/>
  </si>
  <si>
    <t>双面临街</t>
    <phoneticPr fontId="89" type="noConversion"/>
  </si>
  <si>
    <t>单面临街</t>
    <phoneticPr fontId="89" type="noConversion"/>
  </si>
  <si>
    <t>不临街</t>
    <phoneticPr fontId="89" type="noConversion"/>
  </si>
  <si>
    <t>2017.1</t>
    <phoneticPr fontId="89" type="noConversion"/>
  </si>
  <si>
    <t>80</t>
    <phoneticPr fontId="8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</si>
</sst>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6">
    <numFmt numFmtId="176" formatCode="_ * #,##0_ ;_ * \-#,##0_ ;_ * &quot;-&quot;_ ;_ @_ "/>
    <numFmt numFmtId="177" formatCode="_ * #,##0.00_ ;_ * \-#,##0.00_ ;_ * &quot;-&quot;??_ ;_ @_ "/>
    <numFmt numFmtId="178" formatCode="0.00_);[Red]\(0.00\)"/>
    <numFmt numFmtId="179" formatCode="0.00_ "/>
    <numFmt numFmtId="180" formatCode="0_ "/>
    <numFmt numFmtId="181" formatCode="[DBNum2][$-804]General"/>
    <numFmt numFmtId="182" formatCode="0.0%"/>
    <numFmt numFmtId="183" formatCode="0;_쐀"/>
    <numFmt numFmtId="184" formatCode="0_);[Red]\(0\)"/>
    <numFmt numFmtId="185" formatCode="0.0000_ "/>
    <numFmt numFmtId="186" formatCode="0.0_ "/>
    <numFmt numFmtId="187" formatCode="0.000%"/>
    <numFmt numFmtId="188" formatCode="0.000_);[Red]\(0.000\)"/>
    <numFmt numFmtId="189" formatCode="0.000_ "/>
    <numFmt numFmtId="190" formatCode="0.00000_);[Red]\(0.00000\)"/>
    <numFmt numFmtId="191" formatCode="[$-409]mmm/yy;@"/>
    <numFmt numFmtId="192" formatCode="#,##0.00_ "/>
    <numFmt numFmtId="193" formatCode="#,##0.0000_);[Red]\(#,##0.0000\)"/>
    <numFmt numFmtId="194" formatCode="#,##0.000_);[Red]\(#,##0.000\)"/>
    <numFmt numFmtId="195" formatCode="#,##0.000000_);[Red]\(#,##0.000000\)"/>
    <numFmt numFmtId="196" formatCode="#,##0.00000_);[Red]\(#,##0.00000\)"/>
    <numFmt numFmtId="197" formatCode="dd/mmm/yy"/>
    <numFmt numFmtId="198" formatCode="0.00_);\(0.00\)"/>
    <numFmt numFmtId="199" formatCode="0.0_);[Red]\(0.0\)"/>
    <numFmt numFmtId="200" formatCode="000"/>
    <numFmt numFmtId="201" formatCode="yyyy&quot;年&quot;m&quot;月&quot;d&quot;日&quot;;@"/>
  </numFmts>
  <fonts count="148">
    <font>
      <sz val="11"/>
      <color indexed="8"/>
      <name val="宋体"/>
      <charset val="134"/>
    </font>
    <font>
      <sz val="12"/>
      <name val="宋体"/>
      <family val="3"/>
      <charset val="134"/>
    </font>
    <font>
      <b/>
      <sz val="12"/>
      <name val="宋体"/>
      <family val="3"/>
      <charset val="134"/>
    </font>
    <font>
      <sz val="10"/>
      <name val="宋体"/>
      <family val="3"/>
      <charset val="134"/>
    </font>
    <font>
      <b/>
      <sz val="10"/>
      <name val="宋体"/>
      <family val="3"/>
      <charset val="134"/>
    </font>
    <font>
      <b/>
      <sz val="12"/>
      <color indexed="8"/>
      <name val="楷体_GB2312"/>
      <family val="3"/>
      <charset val="134"/>
    </font>
    <font>
      <sz val="12"/>
      <color indexed="8"/>
      <name val="楷体_GB2312"/>
      <family val="3"/>
      <charset val="134"/>
    </font>
    <font>
      <b/>
      <sz val="11"/>
      <color indexed="8"/>
      <name val="宋体"/>
      <family val="3"/>
      <charset val="134"/>
    </font>
    <font>
      <b/>
      <sz val="10"/>
      <color indexed="8"/>
      <name val="宋体"/>
      <family val="3"/>
      <charset val="134"/>
    </font>
    <font>
      <sz val="10"/>
      <color indexed="8"/>
      <name val="宋体"/>
      <family val="3"/>
      <charset val="134"/>
    </font>
    <font>
      <sz val="10"/>
      <color indexed="10"/>
      <name val="宋体"/>
      <family val="3"/>
      <charset val="134"/>
    </font>
    <font>
      <b/>
      <sz val="10"/>
      <color indexed="10"/>
      <name val="宋体"/>
      <family val="3"/>
      <charset val="134"/>
    </font>
    <font>
      <sz val="10"/>
      <name val="Times New Roman"/>
      <family val="1"/>
    </font>
    <font>
      <b/>
      <sz val="10"/>
      <color indexed="53"/>
      <name val="宋体"/>
      <family val="3"/>
      <charset val="134"/>
    </font>
    <font>
      <sz val="11"/>
      <name val="宋体"/>
      <family val="3"/>
      <charset val="134"/>
    </font>
    <font>
      <b/>
      <sz val="12"/>
      <name val="楷体_GB2312"/>
      <family val="3"/>
      <charset val="134"/>
    </font>
    <font>
      <b/>
      <sz val="10"/>
      <name val="楷体_GB2312"/>
      <family val="3"/>
      <charset val="134"/>
    </font>
    <font>
      <sz val="10"/>
      <name val="楷体_GB2312"/>
      <family val="3"/>
      <charset val="134"/>
    </font>
    <font>
      <sz val="10"/>
      <color indexed="8"/>
      <name val="楷体_GB2312"/>
      <family val="3"/>
      <charset val="134"/>
    </font>
    <font>
      <sz val="8"/>
      <name val="宋体"/>
      <family val="3"/>
      <charset val="134"/>
    </font>
    <font>
      <sz val="8"/>
      <color indexed="8"/>
      <name val="宋体"/>
      <family val="3"/>
      <charset val="134"/>
    </font>
    <font>
      <b/>
      <sz val="11"/>
      <color indexed="10"/>
      <name val="宋体"/>
      <family val="3"/>
      <charset val="134"/>
    </font>
    <font>
      <b/>
      <sz val="16"/>
      <name val="楷体_GB2312"/>
      <family val="3"/>
      <charset val="134"/>
    </font>
    <font>
      <sz val="12"/>
      <name val="楷体_GB2312"/>
      <family val="3"/>
      <charset val="134"/>
    </font>
    <font>
      <sz val="12"/>
      <color indexed="53"/>
      <name val="楷体_GB2312"/>
      <family val="3"/>
      <charset val="134"/>
    </font>
    <font>
      <b/>
      <sz val="10"/>
      <color indexed="8"/>
      <name val="楷体_GB2312"/>
      <family val="3"/>
      <charset val="134"/>
    </font>
    <font>
      <b/>
      <sz val="11"/>
      <color indexed="8"/>
      <name val="楷体_GB2312"/>
      <family val="3"/>
      <charset val="134"/>
    </font>
    <font>
      <sz val="12"/>
      <color indexed="8"/>
      <name val="宋体"/>
      <family val="3"/>
      <charset val="134"/>
    </font>
    <font>
      <sz val="8"/>
      <color indexed="10"/>
      <name val="宋体"/>
      <family val="3"/>
      <charset val="134"/>
    </font>
    <font>
      <b/>
      <sz val="10"/>
      <name val="Arial"/>
      <family val="2"/>
    </font>
    <font>
      <b/>
      <u/>
      <sz val="10"/>
      <name val="Arial"/>
      <family val="2"/>
    </font>
    <font>
      <sz val="10"/>
      <name val="Arial"/>
      <family val="2"/>
    </font>
    <font>
      <u/>
      <sz val="12"/>
      <color indexed="12"/>
      <name val="宋体"/>
      <family val="3"/>
      <charset val="134"/>
    </font>
    <font>
      <sz val="10"/>
      <color indexed="8"/>
      <name val="Arial"/>
      <family val="2"/>
    </font>
    <font>
      <sz val="9"/>
      <color indexed="63"/>
      <name val="Arial"/>
      <family val="2"/>
    </font>
    <font>
      <b/>
      <sz val="10"/>
      <color indexed="8"/>
      <name val="Arial"/>
      <family val="2"/>
    </font>
    <font>
      <b/>
      <sz val="16"/>
      <color indexed="8"/>
      <name val="宋体"/>
      <family val="3"/>
      <charset val="134"/>
    </font>
    <font>
      <sz val="11"/>
      <color indexed="8"/>
      <name val="Tahoma"/>
      <family val="2"/>
    </font>
    <font>
      <sz val="11"/>
      <color indexed="9"/>
      <name val="Tahoma"/>
      <family val="2"/>
    </font>
    <font>
      <sz val="11"/>
      <color indexed="8"/>
      <name val="Calibri"/>
      <family val="2"/>
    </font>
    <font>
      <sz val="11"/>
      <color indexed="60"/>
      <name val="Tahoma"/>
      <family val="2"/>
    </font>
    <font>
      <b/>
      <sz val="11"/>
      <color indexed="56"/>
      <name val="Calibri"/>
      <family val="2"/>
    </font>
    <font>
      <b/>
      <sz val="11"/>
      <color indexed="9"/>
      <name val="Calibri"/>
      <family val="2"/>
    </font>
    <font>
      <sz val="11"/>
      <color indexed="17"/>
      <name val="Tahoma"/>
      <family val="2"/>
    </font>
    <font>
      <b/>
      <sz val="11"/>
      <color indexed="56"/>
      <name val="Tahoma"/>
      <family val="2"/>
    </font>
    <font>
      <b/>
      <sz val="13"/>
      <color indexed="56"/>
      <name val="Tahoma"/>
      <family val="2"/>
    </font>
    <font>
      <sz val="11"/>
      <color indexed="60"/>
      <name val="Calibri"/>
      <family val="2"/>
    </font>
    <font>
      <b/>
      <sz val="15"/>
      <color indexed="56"/>
      <name val="Tahoma"/>
      <family val="2"/>
    </font>
    <font>
      <b/>
      <sz val="18"/>
      <color indexed="56"/>
      <name val="宋体"/>
      <family val="3"/>
      <charset val="134"/>
    </font>
    <font>
      <b/>
      <sz val="11"/>
      <color indexed="63"/>
      <name val="宋体"/>
      <family val="3"/>
      <charset val="134"/>
    </font>
    <font>
      <b/>
      <sz val="11"/>
      <color indexed="9"/>
      <name val="宋体"/>
      <family val="3"/>
      <charset val="134"/>
    </font>
    <font>
      <b/>
      <sz val="13"/>
      <color indexed="56"/>
      <name val="Calibri"/>
      <family val="2"/>
    </font>
    <font>
      <sz val="11"/>
      <color indexed="20"/>
      <name val="Tahoma"/>
      <family val="2"/>
    </font>
    <font>
      <sz val="11"/>
      <color indexed="10"/>
      <name val="Calibri"/>
      <family val="2"/>
    </font>
    <font>
      <sz val="11"/>
      <color indexed="9"/>
      <name val="Calibri"/>
      <family val="2"/>
    </font>
    <font>
      <i/>
      <sz val="11"/>
      <color indexed="23"/>
      <name val="Tahoma"/>
      <family val="2"/>
    </font>
    <font>
      <sz val="11"/>
      <color indexed="20"/>
      <name val="宋体"/>
      <family val="3"/>
      <charset val="134"/>
    </font>
    <font>
      <sz val="11"/>
      <color indexed="9"/>
      <name val="宋体"/>
      <family val="3"/>
      <charset val="134"/>
    </font>
    <font>
      <sz val="11"/>
      <color indexed="10"/>
      <name val="Tahoma"/>
      <family val="2"/>
    </font>
    <font>
      <b/>
      <sz val="18"/>
      <color indexed="56"/>
      <name val="Cambria"/>
      <family val="1"/>
    </font>
    <font>
      <sz val="11"/>
      <color indexed="52"/>
      <name val="Calibri"/>
      <family val="2"/>
    </font>
    <font>
      <b/>
      <sz val="11"/>
      <color indexed="8"/>
      <name val="Calibri"/>
      <family val="2"/>
    </font>
    <font>
      <i/>
      <sz val="11"/>
      <color indexed="23"/>
      <name val="Calibri"/>
      <family val="2"/>
    </font>
    <font>
      <b/>
      <sz val="11"/>
      <color indexed="63"/>
      <name val="Calibri"/>
      <family val="2"/>
    </font>
    <font>
      <sz val="11"/>
      <color indexed="17"/>
      <name val="Calibri"/>
      <family val="2"/>
    </font>
    <font>
      <b/>
      <sz val="15"/>
      <color indexed="56"/>
      <name val="Calibri"/>
      <family val="2"/>
    </font>
    <font>
      <sz val="11"/>
      <color indexed="62"/>
      <name val="Calibri"/>
      <family val="2"/>
    </font>
    <font>
      <sz val="12"/>
      <name val="新細明體"/>
      <family val="1"/>
    </font>
    <font>
      <b/>
      <sz val="11"/>
      <color indexed="52"/>
      <name val="Calibri"/>
      <family val="2"/>
    </font>
    <font>
      <sz val="11"/>
      <color indexed="20"/>
      <name val="Calibri"/>
      <family val="2"/>
    </font>
    <font>
      <b/>
      <sz val="15"/>
      <color indexed="56"/>
      <name val="宋体"/>
      <family val="3"/>
      <charset val="134"/>
    </font>
    <font>
      <b/>
      <sz val="13"/>
      <color indexed="56"/>
      <name val="宋体"/>
      <family val="3"/>
      <charset val="134"/>
    </font>
    <font>
      <b/>
      <sz val="11"/>
      <color indexed="56"/>
      <name val="宋体"/>
      <family val="3"/>
      <charset val="134"/>
    </font>
    <font>
      <i/>
      <sz val="11"/>
      <color indexed="23"/>
      <name val="宋体"/>
      <family val="3"/>
      <charset val="134"/>
    </font>
    <font>
      <sz val="11"/>
      <color indexed="62"/>
      <name val="Tahoma"/>
      <family val="2"/>
    </font>
    <font>
      <b/>
      <sz val="11"/>
      <color indexed="52"/>
      <name val="Tahoma"/>
      <family val="2"/>
    </font>
    <font>
      <b/>
      <sz val="11"/>
      <color indexed="63"/>
      <name val="Tahoma"/>
      <family val="2"/>
    </font>
    <font>
      <sz val="11"/>
      <color indexed="10"/>
      <name val="宋体"/>
      <family val="3"/>
      <charset val="134"/>
    </font>
    <font>
      <b/>
      <sz val="11"/>
      <color indexed="8"/>
      <name val="Tahoma"/>
      <family val="2"/>
    </font>
    <font>
      <b/>
      <sz val="11"/>
      <color indexed="52"/>
      <name val="宋体"/>
      <family val="3"/>
      <charset val="134"/>
    </font>
    <font>
      <b/>
      <sz val="11"/>
      <color indexed="9"/>
      <name val="Tahoma"/>
      <family val="2"/>
    </font>
    <font>
      <sz val="11"/>
      <color indexed="52"/>
      <name val="宋体"/>
      <family val="3"/>
      <charset val="134"/>
    </font>
    <font>
      <sz val="11"/>
      <color indexed="52"/>
      <name val="Tahoma"/>
      <family val="2"/>
    </font>
    <font>
      <u/>
      <sz val="11"/>
      <color indexed="12"/>
      <name val="宋体"/>
      <family val="3"/>
      <charset val="134"/>
    </font>
    <font>
      <u/>
      <sz val="11"/>
      <color indexed="12"/>
      <name val="Tahoma"/>
      <family val="2"/>
    </font>
    <font>
      <sz val="11"/>
      <color indexed="17"/>
      <name val="宋体"/>
      <family val="3"/>
      <charset val="134"/>
    </font>
    <font>
      <sz val="11"/>
      <color indexed="60"/>
      <name val="宋体"/>
      <family val="3"/>
      <charset val="134"/>
    </font>
    <font>
      <sz val="11"/>
      <color indexed="62"/>
      <name val="宋体"/>
      <family val="3"/>
      <charset val="134"/>
    </font>
    <font>
      <b/>
      <sz val="16"/>
      <color indexed="10"/>
      <name val="楷体_GB2312"/>
      <family val="3"/>
      <charset val="134"/>
    </font>
    <font>
      <sz val="9"/>
      <name val="宋体"/>
      <family val="3"/>
      <charset val="134"/>
    </font>
    <font>
      <sz val="11"/>
      <color indexed="8"/>
      <name val="宋体"/>
      <family val="3"/>
      <charset val="134"/>
    </font>
    <font>
      <sz val="12"/>
      <name val="楷体_GB2312"/>
      <family val="3"/>
      <charset val="134"/>
    </font>
    <font>
      <sz val="12"/>
      <color indexed="8"/>
      <name val="楷体_GB2312"/>
      <family val="3"/>
      <charset val="134"/>
    </font>
    <font>
      <sz val="9"/>
      <name val="宋体"/>
      <family val="3"/>
      <charset val="134"/>
    </font>
    <font>
      <sz val="12"/>
      <name val="宋体"/>
      <family val="3"/>
      <charset val="134"/>
    </font>
    <font>
      <sz val="10"/>
      <name val="宋体"/>
      <family val="3"/>
      <charset val="134"/>
    </font>
    <font>
      <sz val="11"/>
      <color indexed="8"/>
      <name val="宋体"/>
      <family val="3"/>
      <charset val="134"/>
    </font>
    <font>
      <sz val="11"/>
      <color rgb="FF000066"/>
      <name val="宋体"/>
      <family val="3"/>
      <charset val="134"/>
    </font>
    <font>
      <b/>
      <sz val="11"/>
      <color rgb="FFFFFFFF"/>
      <name val="宋体"/>
      <family val="3"/>
      <charset val="134"/>
    </font>
    <font>
      <sz val="9"/>
      <color indexed="63"/>
      <name val="宋体"/>
      <family val="3"/>
      <charset val="134"/>
    </font>
    <font>
      <b/>
      <sz val="9"/>
      <color indexed="63"/>
      <name val="宋体"/>
      <family val="3"/>
      <charset val="134"/>
    </font>
    <font>
      <sz val="9"/>
      <color indexed="81"/>
      <name val="宋体"/>
      <family val="3"/>
      <charset val="134"/>
    </font>
    <font>
      <sz val="11"/>
      <color theme="1"/>
      <name val="宋体"/>
      <family val="3"/>
      <charset val="134"/>
      <scheme val="minor"/>
    </font>
    <font>
      <sz val="11"/>
      <name val="宋体"/>
      <family val="3"/>
      <charset val="134"/>
      <scheme val="minor"/>
    </font>
    <font>
      <sz val="9"/>
      <name val="宋体"/>
      <family val="2"/>
      <charset val="134"/>
      <scheme val="minor"/>
    </font>
    <font>
      <b/>
      <sz val="11"/>
      <color theme="1"/>
      <name val="宋体"/>
      <family val="3"/>
      <charset val="134"/>
      <scheme val="minor"/>
    </font>
    <font>
      <sz val="10"/>
      <color theme="1"/>
      <name val="宋体"/>
      <family val="3"/>
      <charset val="134"/>
      <scheme val="minor"/>
    </font>
    <font>
      <sz val="8"/>
      <color theme="1"/>
      <name val="宋体"/>
      <family val="3"/>
      <charset val="134"/>
      <scheme val="minor"/>
    </font>
    <font>
      <sz val="10"/>
      <color theme="1"/>
      <name val="楷体_GB2312"/>
      <family val="3"/>
      <charset val="134"/>
    </font>
    <font>
      <b/>
      <sz val="10"/>
      <color theme="1"/>
      <name val="宋体"/>
      <family val="3"/>
      <charset val="134"/>
      <scheme val="minor"/>
    </font>
    <font>
      <b/>
      <sz val="10"/>
      <color theme="1"/>
      <name val="楷体_GB2312"/>
      <family val="3"/>
      <charset val="134"/>
    </font>
    <font>
      <b/>
      <sz val="10"/>
      <color indexed="10"/>
      <name val="楷体_GB2312"/>
      <family val="3"/>
      <charset val="134"/>
    </font>
    <font>
      <b/>
      <sz val="11"/>
      <color theme="1"/>
      <name val="楷体_GB2312"/>
      <family val="3"/>
      <charset val="134"/>
    </font>
    <font>
      <sz val="10"/>
      <color rgb="FF000000"/>
      <name val="Simsun"/>
      <family val="3"/>
      <charset val="134"/>
    </font>
    <font>
      <b/>
      <sz val="12"/>
      <color theme="1"/>
      <name val="宋体"/>
      <family val="3"/>
      <charset val="134"/>
      <scheme val="minor"/>
    </font>
    <font>
      <b/>
      <sz val="10"/>
      <color rgb="FFFF0000"/>
      <name val="宋体"/>
      <family val="3"/>
      <charset val="134"/>
      <scheme val="minor"/>
    </font>
    <font>
      <sz val="11"/>
      <color theme="1"/>
      <name val="楷体_GB2312"/>
      <family val="3"/>
      <charset val="134"/>
    </font>
    <font>
      <sz val="11"/>
      <color rgb="FF000000"/>
      <name val="楷体_GB2312"/>
      <family val="3"/>
      <charset val="134"/>
    </font>
    <font>
      <b/>
      <sz val="11"/>
      <color rgb="FF000000"/>
      <name val="楷体_GB2312"/>
      <family val="3"/>
      <charset val="134"/>
    </font>
    <font>
      <b/>
      <sz val="14"/>
      <color theme="1"/>
      <name val="宋体"/>
      <family val="3"/>
      <charset val="134"/>
      <scheme val="minor"/>
    </font>
    <font>
      <b/>
      <sz val="22"/>
      <name val="宋体"/>
      <family val="3"/>
      <charset val="134"/>
    </font>
    <font>
      <b/>
      <sz val="24"/>
      <name val="宋体"/>
      <family val="3"/>
      <charset val="134"/>
    </font>
    <font>
      <b/>
      <sz val="9"/>
      <color indexed="8"/>
      <name val="宋体"/>
      <family val="3"/>
      <charset val="134"/>
    </font>
    <font>
      <b/>
      <sz val="9"/>
      <name val="宋体"/>
      <family val="3"/>
      <charset val="134"/>
    </font>
    <font>
      <b/>
      <sz val="9"/>
      <color indexed="81"/>
      <name val="宋体"/>
      <family val="3"/>
      <charset val="134"/>
    </font>
    <font>
      <b/>
      <sz val="16"/>
      <name val="宋体"/>
      <family val="3"/>
      <charset val="134"/>
    </font>
    <font>
      <b/>
      <sz val="10"/>
      <name val="仿宋"/>
      <family val="3"/>
      <charset val="134"/>
    </font>
    <font>
      <sz val="10"/>
      <name val="仿宋"/>
      <family val="3"/>
      <charset val="134"/>
    </font>
    <font>
      <sz val="9"/>
      <color indexed="8"/>
      <name val="新細明體"/>
      <family val="1"/>
    </font>
    <font>
      <sz val="11"/>
      <name val="宋体"/>
      <family val="2"/>
      <charset val="134"/>
      <scheme val="minor"/>
    </font>
    <font>
      <sz val="9"/>
      <name val="新細明體"/>
      <family val="1"/>
    </font>
    <font>
      <sz val="10"/>
      <color indexed="8"/>
      <name val="仿宋"/>
      <family val="3"/>
      <charset val="134"/>
    </font>
    <font>
      <sz val="10"/>
      <color theme="1"/>
      <name val="宋体"/>
      <family val="3"/>
      <charset val="134"/>
    </font>
    <font>
      <sz val="9"/>
      <color theme="1"/>
      <name val="新細明體"/>
      <family val="1"/>
    </font>
    <font>
      <b/>
      <sz val="12"/>
      <color indexed="10"/>
      <name val="宋体"/>
      <family val="3"/>
      <charset val="134"/>
    </font>
    <font>
      <sz val="8"/>
      <name val="楷体_GB2312"/>
      <family val="3"/>
      <charset val="134"/>
    </font>
    <font>
      <sz val="8"/>
      <color indexed="8"/>
      <name val="楷体_GB2312"/>
      <family val="3"/>
      <charset val="134"/>
    </font>
    <font>
      <sz val="8"/>
      <color theme="9" tint="-0.249977111117893"/>
      <name val="楷体_GB2312"/>
      <family val="3"/>
      <charset val="134"/>
    </font>
    <font>
      <sz val="8"/>
      <color theme="1"/>
      <name val="楷体_GB2312"/>
      <family val="3"/>
      <charset val="134"/>
    </font>
    <font>
      <sz val="8"/>
      <color indexed="53"/>
      <name val="楷体_GB2312"/>
      <family val="3"/>
      <charset val="134"/>
    </font>
    <font>
      <b/>
      <sz val="8"/>
      <name val="楷体_GB2312"/>
      <family val="3"/>
      <charset val="134"/>
    </font>
    <font>
      <b/>
      <sz val="8"/>
      <color indexed="10"/>
      <name val="楷体_GB2312"/>
      <family val="3"/>
      <charset val="134"/>
    </font>
    <font>
      <sz val="10"/>
      <color indexed="53"/>
      <name val="楷体_GB2312"/>
      <family val="3"/>
      <charset val="134"/>
    </font>
    <font>
      <sz val="11"/>
      <color theme="1"/>
      <name val="仿宋_GB2312"/>
      <family val="3"/>
      <charset val="134"/>
    </font>
    <font>
      <sz val="11"/>
      <color indexed="8"/>
      <name val="仿宋_GB2312"/>
      <family val="3"/>
      <charset val="134"/>
    </font>
    <font>
      <sz val="11"/>
      <name val="仿宋_GB2312"/>
      <family val="3"/>
      <charset val="134"/>
    </font>
    <font>
      <sz val="12"/>
      <color theme="1"/>
      <name val="宋体"/>
      <family val="3"/>
      <charset val="134"/>
      <scheme val="minor"/>
    </font>
    <font>
      <sz val="8"/>
      <color rgb="FFFF0000"/>
      <name val="楷体_GB2312"/>
      <family val="3"/>
      <charset val="134"/>
    </font>
  </fonts>
  <fills count="37">
    <fill>
      <patternFill patternType="none"/>
    </fill>
    <fill>
      <patternFill patternType="gray125"/>
    </fill>
    <fill>
      <patternFill patternType="solid">
        <fgColor indexed="42"/>
        <bgColor indexed="64"/>
      </patternFill>
    </fill>
    <fill>
      <patternFill patternType="solid">
        <fgColor indexed="10"/>
        <bgColor indexed="64"/>
      </patternFill>
    </fill>
    <fill>
      <patternFill patternType="solid">
        <fgColor indexed="27"/>
        <bgColor indexed="64"/>
      </patternFill>
    </fill>
    <fill>
      <patternFill patternType="solid">
        <fgColor indexed="11"/>
        <bgColor indexed="64"/>
      </patternFill>
    </fill>
    <fill>
      <patternFill patternType="solid">
        <fgColor indexed="46"/>
        <bgColor indexed="64"/>
      </patternFill>
    </fill>
    <fill>
      <patternFill patternType="solid">
        <fgColor indexed="45"/>
        <bgColor indexed="64"/>
      </patternFill>
    </fill>
    <fill>
      <patternFill patternType="solid">
        <fgColor indexed="29"/>
        <bgColor indexed="64"/>
      </patternFill>
    </fill>
    <fill>
      <patternFill patternType="solid">
        <fgColor indexed="31"/>
        <bgColor indexed="64"/>
      </patternFill>
    </fill>
    <fill>
      <patternFill patternType="solid">
        <fgColor indexed="30"/>
        <bgColor indexed="64"/>
      </patternFill>
    </fill>
    <fill>
      <patternFill patternType="solid">
        <fgColor indexed="47"/>
        <bgColor indexed="64"/>
      </patternFill>
    </fill>
    <fill>
      <patternFill patternType="solid">
        <fgColor indexed="44"/>
        <bgColor indexed="64"/>
      </patternFill>
    </fill>
    <fill>
      <patternFill patternType="solid">
        <fgColor indexed="26"/>
        <bgColor indexed="64"/>
      </patternFill>
    </fill>
    <fill>
      <patternFill patternType="solid">
        <fgColor indexed="53"/>
        <bgColor indexed="64"/>
      </patternFill>
    </fill>
    <fill>
      <patternFill patternType="solid">
        <fgColor indexed="55"/>
        <bgColor indexed="64"/>
      </patternFill>
    </fill>
    <fill>
      <patternFill patternType="solid">
        <fgColor indexed="22"/>
        <bgColor indexed="64"/>
      </patternFill>
    </fill>
    <fill>
      <patternFill patternType="solid">
        <fgColor indexed="52"/>
        <bgColor indexed="64"/>
      </patternFill>
    </fill>
    <fill>
      <patternFill patternType="solid">
        <fgColor indexed="36"/>
        <bgColor indexed="64"/>
      </patternFill>
    </fill>
    <fill>
      <patternFill patternType="solid">
        <fgColor indexed="43"/>
        <bgColor indexed="64"/>
      </patternFill>
    </fill>
    <fill>
      <patternFill patternType="solid">
        <fgColor indexed="51"/>
        <bgColor indexed="64"/>
      </patternFill>
    </fill>
    <fill>
      <patternFill patternType="solid">
        <fgColor indexed="62"/>
        <bgColor indexed="64"/>
      </patternFill>
    </fill>
    <fill>
      <patternFill patternType="solid">
        <fgColor indexed="57"/>
        <bgColor indexed="64"/>
      </patternFill>
    </fill>
    <fill>
      <patternFill patternType="solid">
        <fgColor indexed="49"/>
        <bgColor indexed="64"/>
      </patternFill>
    </fill>
    <fill>
      <patternFill patternType="solid">
        <fgColor indexed="13"/>
        <bgColor indexed="64"/>
      </patternFill>
    </fill>
    <fill>
      <patternFill patternType="solid">
        <fgColor indexed="9"/>
        <bgColor indexed="64"/>
      </patternFill>
    </fill>
    <fill>
      <patternFill patternType="solid">
        <fgColor indexed="23"/>
        <bgColor indexed="64"/>
      </patternFill>
    </fill>
    <fill>
      <patternFill patternType="solid">
        <fgColor indexed="41"/>
        <bgColor indexed="64"/>
      </patternFill>
    </fill>
    <fill>
      <patternFill patternType="solid">
        <fgColor rgb="FFFFFF00"/>
        <bgColor indexed="64"/>
      </patternFill>
    </fill>
    <fill>
      <patternFill patternType="solid">
        <fgColor rgb="FFFFFFFF"/>
        <bgColor indexed="64"/>
      </patternFill>
    </fill>
    <fill>
      <patternFill patternType="solid">
        <fgColor rgb="FF006699"/>
        <bgColor indexed="64"/>
      </patternFill>
    </fill>
    <fill>
      <patternFill patternType="solid">
        <fgColor theme="0"/>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92D050"/>
        <bgColor indexed="64"/>
      </patternFill>
    </fill>
  </fills>
  <borders count="62">
    <border>
      <left/>
      <right/>
      <top/>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
      <left/>
      <right/>
      <top/>
      <bottom style="thick">
        <color indexed="22"/>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medium">
        <color rgb="FFCCCCCC"/>
      </left>
      <right style="thin">
        <color rgb="FF000000"/>
      </right>
      <top style="medium">
        <color rgb="FFCCCCCC"/>
      </top>
      <bottom style="medium">
        <color rgb="FFCCCCCC"/>
      </bottom>
      <diagonal/>
    </border>
    <border>
      <left style="thin">
        <color rgb="FF000000"/>
      </left>
      <right style="thin">
        <color rgb="FF000000"/>
      </right>
      <top style="medium">
        <color rgb="FFCCCCCC"/>
      </top>
      <bottom style="medium">
        <color rgb="FFCCCCCC"/>
      </bottom>
      <diagonal/>
    </border>
    <border>
      <left style="thin">
        <color rgb="FF000000"/>
      </left>
      <right style="medium">
        <color rgb="FFCCCCCC"/>
      </right>
      <top style="medium">
        <color rgb="FFCCCCCC"/>
      </top>
      <bottom style="medium">
        <color rgb="FFCCCCCC"/>
      </bottom>
      <diagonal/>
    </border>
    <border>
      <left style="medium">
        <color rgb="FFCCCCCC"/>
      </left>
      <right style="thin">
        <color rgb="FF000000"/>
      </right>
      <top style="medium">
        <color rgb="FFCCCCCC"/>
      </top>
      <bottom style="thin">
        <color rgb="FF000000"/>
      </bottom>
      <diagonal/>
    </border>
    <border>
      <left style="thin">
        <color rgb="FF000000"/>
      </left>
      <right style="thin">
        <color rgb="FF000000"/>
      </right>
      <top style="medium">
        <color rgb="FFCCCCCC"/>
      </top>
      <bottom style="thin">
        <color rgb="FF000000"/>
      </bottom>
      <diagonal/>
    </border>
    <border>
      <left style="thin">
        <color rgb="FF000000"/>
      </left>
      <right style="medium">
        <color rgb="FFCCCCCC"/>
      </right>
      <top style="medium">
        <color rgb="FFCCCCCC"/>
      </top>
      <bottom style="thin">
        <color rgb="FF000000"/>
      </bottom>
      <diagonal/>
    </border>
    <border>
      <left style="medium">
        <color rgb="FFCCCCCC"/>
      </left>
      <right style="thin">
        <color rgb="FF000000"/>
      </right>
      <top style="thin">
        <color rgb="FF000000"/>
      </top>
      <bottom style="medium">
        <color rgb="FFCCCCCC"/>
      </bottom>
      <diagonal/>
    </border>
    <border>
      <left style="thin">
        <color rgb="FF000000"/>
      </left>
      <right style="thin">
        <color rgb="FF000000"/>
      </right>
      <top style="thin">
        <color rgb="FF000000"/>
      </top>
      <bottom style="medium">
        <color rgb="FFCCCCCC"/>
      </bottom>
      <diagonal/>
    </border>
    <border>
      <left style="thin">
        <color rgb="FF000000"/>
      </left>
      <right style="medium">
        <color rgb="FFCCCCCC"/>
      </right>
      <top style="thin">
        <color rgb="FF000000"/>
      </top>
      <bottom style="medium">
        <color rgb="FFCCCCCC"/>
      </bottom>
      <diagonal/>
    </border>
    <border>
      <left style="medium">
        <color indexed="64"/>
      </left>
      <right style="thin">
        <color indexed="64"/>
      </right>
      <top/>
      <bottom/>
      <diagonal/>
    </border>
    <border>
      <left style="medium">
        <color indexed="64"/>
      </left>
      <right style="medium">
        <color indexed="64"/>
      </right>
      <top style="thin">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1750">
    <xf numFmtId="0" fontId="0" fillId="0" borderId="0">
      <alignment vertical="center"/>
    </xf>
    <xf numFmtId="0" fontId="39" fillId="2" borderId="0" applyNumberFormat="0" applyBorder="0" applyAlignment="0" applyProtection="0"/>
    <xf numFmtId="0" fontId="38" fillId="3" borderId="0" applyNumberFormat="0" applyBorder="0" applyAlignment="0" applyProtection="0">
      <alignment vertical="center"/>
    </xf>
    <xf numFmtId="0" fontId="37" fillId="4" borderId="0" applyNumberFormat="0" applyBorder="0" applyAlignment="0" applyProtection="0">
      <alignment vertical="center"/>
    </xf>
    <xf numFmtId="0" fontId="38" fillId="5" borderId="0" applyNumberFormat="0" applyBorder="0" applyAlignment="0" applyProtection="0">
      <alignment vertical="center"/>
    </xf>
    <xf numFmtId="0" fontId="37" fillId="6" borderId="0" applyNumberFormat="0" applyBorder="0" applyAlignment="0" applyProtection="0">
      <alignment vertical="center"/>
    </xf>
    <xf numFmtId="177" fontId="90" fillId="0" borderId="0" applyFont="0" applyFill="0" applyBorder="0" applyAlignment="0" applyProtection="0">
      <alignment vertical="center"/>
    </xf>
    <xf numFmtId="0" fontId="1" fillId="0" borderId="0"/>
    <xf numFmtId="0" fontId="37" fillId="7" borderId="0" applyNumberFormat="0" applyBorder="0" applyAlignment="0" applyProtection="0">
      <alignment vertical="center"/>
    </xf>
    <xf numFmtId="0" fontId="37" fillId="6" borderId="0" applyNumberFormat="0" applyBorder="0" applyAlignment="0" applyProtection="0">
      <alignment vertical="center"/>
    </xf>
    <xf numFmtId="9" fontId="90" fillId="0" borderId="0" applyFont="0" applyFill="0" applyBorder="0" applyAlignment="0" applyProtection="0">
      <alignment vertical="center"/>
    </xf>
    <xf numFmtId="0" fontId="44" fillId="0" borderId="1" applyNumberFormat="0" applyFill="0" applyAlignment="0" applyProtection="0">
      <alignment vertical="center"/>
    </xf>
    <xf numFmtId="0" fontId="1" fillId="0" borderId="0">
      <alignment vertical="center"/>
    </xf>
    <xf numFmtId="3" fontId="1" fillId="0" borderId="2"/>
    <xf numFmtId="0" fontId="37" fillId="8" borderId="0" applyNumberFormat="0" applyBorder="0" applyAlignment="0" applyProtection="0">
      <alignment vertical="center"/>
    </xf>
    <xf numFmtId="0" fontId="1" fillId="0" borderId="0"/>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7" fillId="2" borderId="0" applyNumberFormat="0" applyBorder="0" applyAlignment="0" applyProtection="0">
      <alignment vertical="center"/>
    </xf>
    <xf numFmtId="0" fontId="44" fillId="0" borderId="1" applyNumberFormat="0" applyFill="0" applyAlignment="0" applyProtection="0">
      <alignment vertical="center"/>
    </xf>
    <xf numFmtId="0" fontId="48" fillId="0" borderId="0" applyNumberFormat="0" applyFill="0" applyBorder="0" applyAlignment="0" applyProtection="0">
      <alignment vertical="center"/>
    </xf>
    <xf numFmtId="0" fontId="38" fillId="8" borderId="0" applyNumberFormat="0" applyBorder="0" applyAlignment="0" applyProtection="0">
      <alignment vertical="center"/>
    </xf>
    <xf numFmtId="0" fontId="37" fillId="6" borderId="0" applyNumberFormat="0" applyBorder="0" applyAlignment="0" applyProtection="0">
      <alignment vertical="center"/>
    </xf>
    <xf numFmtId="0" fontId="47" fillId="0" borderId="3" applyNumberFormat="0" applyFill="0" applyAlignment="0" applyProtection="0">
      <alignment vertical="center"/>
    </xf>
    <xf numFmtId="0" fontId="39" fillId="9" borderId="0" applyNumberFormat="0" applyBorder="0" applyAlignment="0" applyProtection="0"/>
    <xf numFmtId="0" fontId="38" fillId="3" borderId="0" applyNumberFormat="0" applyBorder="0" applyAlignment="0" applyProtection="0">
      <alignment vertical="center"/>
    </xf>
    <xf numFmtId="0" fontId="37" fillId="7" borderId="0" applyNumberFormat="0" applyBorder="0" applyAlignment="0" applyProtection="0">
      <alignment vertical="center"/>
    </xf>
    <xf numFmtId="0" fontId="47" fillId="0" borderId="3" applyNumberFormat="0" applyFill="0" applyAlignment="0" applyProtection="0">
      <alignment vertical="center"/>
    </xf>
    <xf numFmtId="0" fontId="38" fillId="5" borderId="0" applyNumberFormat="0" applyBorder="0" applyAlignment="0" applyProtection="0">
      <alignment vertical="center"/>
    </xf>
    <xf numFmtId="0" fontId="37" fillId="4" borderId="0" applyNumberFormat="0" applyBorder="0" applyAlignment="0" applyProtection="0">
      <alignment vertical="center"/>
    </xf>
    <xf numFmtId="0" fontId="39" fillId="7" borderId="0" applyNumberFormat="0" applyBorder="0" applyAlignment="0" applyProtection="0"/>
    <xf numFmtId="0" fontId="38" fillId="3" borderId="0" applyNumberFormat="0" applyBorder="0" applyAlignment="0" applyProtection="0">
      <alignment vertical="center"/>
    </xf>
    <xf numFmtId="0" fontId="38" fillId="5" borderId="0" applyNumberFormat="0" applyBorder="0" applyAlignment="0" applyProtection="0">
      <alignment vertical="center"/>
    </xf>
    <xf numFmtId="0" fontId="39" fillId="6" borderId="0" applyNumberFormat="0" applyBorder="0" applyAlignment="0" applyProtection="0"/>
    <xf numFmtId="0" fontId="38" fillId="3" borderId="0" applyNumberFormat="0" applyBorder="0" applyAlignment="0" applyProtection="0">
      <alignment vertical="center"/>
    </xf>
    <xf numFmtId="0" fontId="38" fillId="5" borderId="0" applyNumberFormat="0" applyBorder="0" applyAlignment="0" applyProtection="0">
      <alignment vertical="center"/>
    </xf>
    <xf numFmtId="0" fontId="39" fillId="4" borderId="0" applyNumberFormat="0" applyBorder="0" applyAlignment="0" applyProtection="0"/>
    <xf numFmtId="0" fontId="38" fillId="3" borderId="0" applyNumberFormat="0" applyBorder="0" applyAlignment="0" applyProtection="0">
      <alignment vertical="center"/>
    </xf>
    <xf numFmtId="0" fontId="38" fillId="5" borderId="0" applyNumberFormat="0" applyBorder="0" applyAlignment="0" applyProtection="0">
      <alignment vertical="center"/>
    </xf>
    <xf numFmtId="0" fontId="39" fillId="11" borderId="0" applyNumberFormat="0" applyBorder="0" applyAlignment="0" applyProtection="0"/>
    <xf numFmtId="0" fontId="90" fillId="9" borderId="0" applyNumberFormat="0" applyBorder="0" applyAlignment="0" applyProtection="0">
      <alignment vertical="center"/>
    </xf>
    <xf numFmtId="0" fontId="1" fillId="0" borderId="0">
      <alignment vertical="center"/>
    </xf>
    <xf numFmtId="0" fontId="37" fillId="12" borderId="0" applyNumberFormat="0" applyBorder="0" applyAlignment="0" applyProtection="0">
      <alignment vertical="center"/>
    </xf>
    <xf numFmtId="0" fontId="43" fillId="2" borderId="0" applyNumberFormat="0" applyBorder="0" applyAlignment="0" applyProtection="0">
      <alignment vertical="center"/>
    </xf>
    <xf numFmtId="0" fontId="37" fillId="9" borderId="0" applyNumberFormat="0" applyBorder="0" applyAlignment="0" applyProtection="0">
      <alignment vertical="center"/>
    </xf>
    <xf numFmtId="0" fontId="37" fillId="9" borderId="0" applyNumberFormat="0" applyBorder="0" applyAlignment="0" applyProtection="0">
      <alignment vertical="center"/>
    </xf>
    <xf numFmtId="0" fontId="90" fillId="2" borderId="0" applyNumberFormat="0" applyBorder="0" applyAlignment="0" applyProtection="0">
      <alignment vertical="center"/>
    </xf>
    <xf numFmtId="0" fontId="1" fillId="0" borderId="0">
      <alignment vertical="center"/>
    </xf>
    <xf numFmtId="0" fontId="90" fillId="13" borderId="4" applyNumberFormat="0" applyFont="0" applyAlignment="0" applyProtection="0"/>
    <xf numFmtId="0" fontId="1" fillId="0" borderId="0"/>
    <xf numFmtId="0" fontId="37" fillId="9" borderId="0" applyNumberFormat="0" applyBorder="0" applyAlignment="0" applyProtection="0">
      <alignment vertical="center"/>
    </xf>
    <xf numFmtId="0" fontId="51" fillId="0" borderId="5" applyNumberFormat="0" applyFill="0" applyAlignment="0" applyProtection="0"/>
    <xf numFmtId="0" fontId="37" fillId="2" borderId="0" applyNumberFormat="0" applyBorder="0" applyAlignment="0" applyProtection="0">
      <alignment vertical="center"/>
    </xf>
    <xf numFmtId="0" fontId="1" fillId="0" borderId="0">
      <alignment vertical="center"/>
    </xf>
    <xf numFmtId="0" fontId="1" fillId="0" borderId="0">
      <alignment vertical="center"/>
    </xf>
    <xf numFmtId="3" fontId="1" fillId="0" borderId="2"/>
    <xf numFmtId="0" fontId="37" fillId="8" borderId="0" applyNumberFormat="0" applyBorder="0" applyAlignment="0" applyProtection="0">
      <alignment vertical="center"/>
    </xf>
    <xf numFmtId="0" fontId="37" fillId="9" borderId="0" applyNumberFormat="0" applyBorder="0" applyAlignment="0" applyProtection="0">
      <alignment vertical="center"/>
    </xf>
    <xf numFmtId="0" fontId="41" fillId="0" borderId="1" applyNumberFormat="0" applyFill="0" applyAlignment="0" applyProtection="0"/>
    <xf numFmtId="0" fontId="37" fillId="2" borderId="0" applyNumberFormat="0" applyBorder="0" applyAlignment="0" applyProtection="0">
      <alignment vertical="center"/>
    </xf>
    <xf numFmtId="0" fontId="1" fillId="0" borderId="0">
      <alignment vertical="center"/>
    </xf>
    <xf numFmtId="0" fontId="1" fillId="0" borderId="0">
      <alignment vertical="center"/>
    </xf>
    <xf numFmtId="0" fontId="37" fillId="2" borderId="0" applyNumberFormat="0" applyBorder="0" applyAlignment="0" applyProtection="0">
      <alignment vertical="center"/>
    </xf>
    <xf numFmtId="0" fontId="38" fillId="10" borderId="0" applyNumberFormat="0" applyBorder="0" applyAlignment="0" applyProtection="0">
      <alignment vertical="center"/>
    </xf>
    <xf numFmtId="0" fontId="41" fillId="0" borderId="0" applyNumberFormat="0" applyFill="0" applyBorder="0" applyAlignment="0" applyProtection="0"/>
    <xf numFmtId="0" fontId="37" fillId="9" borderId="0" applyNumberFormat="0" applyBorder="0" applyAlignment="0" applyProtection="0">
      <alignment vertical="center"/>
    </xf>
    <xf numFmtId="0" fontId="1" fillId="0" borderId="0"/>
    <xf numFmtId="0" fontId="37" fillId="8" borderId="0" applyNumberFormat="0" applyBorder="0" applyAlignment="0" applyProtection="0">
      <alignment vertical="center"/>
    </xf>
    <xf numFmtId="3" fontId="1" fillId="0" borderId="2"/>
    <xf numFmtId="0" fontId="1" fillId="0" borderId="0">
      <alignment vertical="center"/>
    </xf>
    <xf numFmtId="0" fontId="37" fillId="9" borderId="0" applyNumberFormat="0" applyBorder="0" applyAlignment="0" applyProtection="0">
      <alignment vertical="center"/>
    </xf>
    <xf numFmtId="0" fontId="37" fillId="8" borderId="0" applyNumberFormat="0" applyBorder="0" applyAlignment="0" applyProtection="0">
      <alignment vertical="center"/>
    </xf>
    <xf numFmtId="3" fontId="1" fillId="0" borderId="2"/>
    <xf numFmtId="0" fontId="38" fillId="14" borderId="0" applyNumberFormat="0" applyBorder="0" applyAlignment="0" applyProtection="0">
      <alignment vertical="center"/>
    </xf>
    <xf numFmtId="0" fontId="1" fillId="0" borderId="0">
      <alignment vertical="center"/>
    </xf>
    <xf numFmtId="0" fontId="90" fillId="6" borderId="0" applyNumberFormat="0" applyBorder="0" applyAlignment="0" applyProtection="0">
      <alignment vertical="center"/>
    </xf>
    <xf numFmtId="0" fontId="48" fillId="0" borderId="0" applyNumberFormat="0" applyFill="0" applyBorder="0" applyAlignment="0" applyProtection="0">
      <alignment vertical="center"/>
    </xf>
    <xf numFmtId="0" fontId="37" fillId="9" borderId="0" applyNumberFormat="0" applyBorder="0" applyAlignment="0" applyProtection="0">
      <alignment vertical="center"/>
    </xf>
    <xf numFmtId="0" fontId="37" fillId="9" borderId="0" applyNumberFormat="0" applyBorder="0" applyAlignment="0" applyProtection="0">
      <alignment vertical="center"/>
    </xf>
    <xf numFmtId="0" fontId="37" fillId="7" borderId="0" applyNumberFormat="0" applyBorder="0" applyAlignment="0" applyProtection="0">
      <alignment vertical="center"/>
    </xf>
    <xf numFmtId="0" fontId="37" fillId="9" borderId="0" applyNumberFormat="0" applyBorder="0" applyAlignment="0" applyProtection="0">
      <alignment vertical="center"/>
    </xf>
    <xf numFmtId="0" fontId="1" fillId="0" borderId="0">
      <alignment vertical="center"/>
    </xf>
    <xf numFmtId="0" fontId="37" fillId="7" borderId="0" applyNumberFormat="0" applyBorder="0" applyAlignment="0" applyProtection="0">
      <alignment vertical="center"/>
    </xf>
    <xf numFmtId="0" fontId="37" fillId="9" borderId="0" applyNumberFormat="0" applyBorder="0" applyAlignment="0" applyProtection="0">
      <alignment vertical="center"/>
    </xf>
    <xf numFmtId="0" fontId="37" fillId="6" borderId="0" applyNumberFormat="0" applyBorder="0" applyAlignment="0" applyProtection="0">
      <alignment vertical="center"/>
    </xf>
    <xf numFmtId="0" fontId="50" fillId="15" borderId="6" applyNumberFormat="0" applyAlignment="0" applyProtection="0">
      <alignment vertical="center"/>
    </xf>
    <xf numFmtId="0" fontId="1" fillId="0" borderId="0">
      <alignment vertical="center"/>
    </xf>
    <xf numFmtId="0" fontId="37" fillId="9" borderId="0" applyNumberFormat="0" applyBorder="0" applyAlignment="0" applyProtection="0">
      <alignment vertical="center"/>
    </xf>
    <xf numFmtId="0" fontId="37" fillId="9" borderId="0" applyNumberFormat="0" applyBorder="0" applyAlignment="0" applyProtection="0">
      <alignment vertical="center"/>
    </xf>
    <xf numFmtId="0" fontId="1" fillId="0" borderId="0">
      <alignment vertical="center"/>
    </xf>
    <xf numFmtId="0" fontId="90" fillId="7" borderId="0" applyNumberFormat="0" applyBorder="0" applyAlignment="0" applyProtection="0">
      <alignment vertical="center"/>
    </xf>
    <xf numFmtId="0" fontId="37" fillId="7" borderId="0" applyNumberFormat="0" applyBorder="0" applyAlignment="0" applyProtection="0">
      <alignment vertical="center"/>
    </xf>
    <xf numFmtId="0" fontId="37" fillId="7" borderId="0" applyNumberFormat="0" applyBorder="0" applyAlignment="0" applyProtection="0">
      <alignment vertical="center"/>
    </xf>
    <xf numFmtId="0" fontId="37" fillId="7" borderId="0" applyNumberFormat="0" applyBorder="0" applyAlignment="0" applyProtection="0">
      <alignment vertical="center"/>
    </xf>
    <xf numFmtId="0" fontId="37" fillId="7" borderId="0" applyNumberFormat="0" applyBorder="0" applyAlignment="0" applyProtection="0">
      <alignment vertical="center"/>
    </xf>
    <xf numFmtId="0" fontId="37" fillId="2" borderId="0" applyNumberFormat="0" applyBorder="0" applyAlignment="0" applyProtection="0">
      <alignment vertical="center"/>
    </xf>
    <xf numFmtId="0" fontId="49" fillId="16" borderId="7" applyNumberFormat="0" applyAlignment="0" applyProtection="0">
      <alignment vertical="center"/>
    </xf>
    <xf numFmtId="0" fontId="90" fillId="0" borderId="0">
      <alignment vertical="center"/>
    </xf>
    <xf numFmtId="0" fontId="37" fillId="7" borderId="0" applyNumberFormat="0" applyBorder="0" applyAlignment="0" applyProtection="0">
      <alignment vertical="center"/>
    </xf>
    <xf numFmtId="0" fontId="37" fillId="2" borderId="0" applyNumberFormat="0" applyBorder="0" applyAlignment="0" applyProtection="0">
      <alignment vertical="center"/>
    </xf>
    <xf numFmtId="0" fontId="90" fillId="0" borderId="0">
      <alignment vertical="center"/>
    </xf>
    <xf numFmtId="0" fontId="37" fillId="7" borderId="0" applyNumberFormat="0" applyBorder="0" applyAlignment="0" applyProtection="0">
      <alignment vertical="center"/>
    </xf>
    <xf numFmtId="0" fontId="37" fillId="7" borderId="0" applyNumberFormat="0" applyBorder="0" applyAlignment="0" applyProtection="0">
      <alignment vertical="center"/>
    </xf>
    <xf numFmtId="0" fontId="37" fillId="7" borderId="0" applyNumberFormat="0" applyBorder="0" applyAlignment="0" applyProtection="0">
      <alignment vertical="center"/>
    </xf>
    <xf numFmtId="0" fontId="37" fillId="7" borderId="0" applyNumberFormat="0" applyBorder="0" applyAlignment="0" applyProtection="0">
      <alignment vertical="center"/>
    </xf>
    <xf numFmtId="0" fontId="37" fillId="2" borderId="0" applyNumberFormat="0" applyBorder="0" applyAlignment="0" applyProtection="0">
      <alignment vertical="center"/>
    </xf>
    <xf numFmtId="0" fontId="37" fillId="2" borderId="0" applyNumberFormat="0" applyBorder="0" applyAlignment="0" applyProtection="0">
      <alignment vertical="center"/>
    </xf>
    <xf numFmtId="0" fontId="37" fillId="2" borderId="0" applyNumberFormat="0" applyBorder="0" applyAlignment="0" applyProtection="0">
      <alignment vertical="center"/>
    </xf>
    <xf numFmtId="0" fontId="37" fillId="6" borderId="0" applyNumberFormat="0" applyBorder="0" applyAlignment="0" applyProtection="0">
      <alignment vertical="center"/>
    </xf>
    <xf numFmtId="0" fontId="37" fillId="2" borderId="0" applyNumberFormat="0" applyBorder="0" applyAlignment="0" applyProtection="0">
      <alignment vertical="center"/>
    </xf>
    <xf numFmtId="0" fontId="38" fillId="10" borderId="0" applyNumberFormat="0" applyBorder="0" applyAlignment="0" applyProtection="0">
      <alignment vertical="center"/>
    </xf>
    <xf numFmtId="0" fontId="37" fillId="6" borderId="0" applyNumberFormat="0" applyBorder="0" applyAlignment="0" applyProtection="0">
      <alignment vertical="center"/>
    </xf>
    <xf numFmtId="0" fontId="37" fillId="2" borderId="0" applyNumberFormat="0" applyBorder="0" applyAlignment="0" applyProtection="0">
      <alignment vertical="center"/>
    </xf>
    <xf numFmtId="0" fontId="38" fillId="10" borderId="0" applyNumberFormat="0" applyBorder="0" applyAlignment="0" applyProtection="0">
      <alignment vertical="center"/>
    </xf>
    <xf numFmtId="0" fontId="37" fillId="2" borderId="0" applyNumberFormat="0" applyBorder="0" applyAlignment="0" applyProtection="0">
      <alignment vertical="center"/>
    </xf>
    <xf numFmtId="0" fontId="1" fillId="0" borderId="0"/>
    <xf numFmtId="0" fontId="37" fillId="2" borderId="0" applyNumberFormat="0" applyBorder="0" applyAlignment="0" applyProtection="0">
      <alignment vertical="center"/>
    </xf>
    <xf numFmtId="0" fontId="37" fillId="6" borderId="0" applyNumberFormat="0" applyBorder="0" applyAlignment="0" applyProtection="0">
      <alignment vertical="center"/>
    </xf>
    <xf numFmtId="0" fontId="37" fillId="6" borderId="0" applyNumberFormat="0" applyBorder="0" applyAlignment="0" applyProtection="0">
      <alignment vertical="center"/>
    </xf>
    <xf numFmtId="0" fontId="37" fillId="6" borderId="0" applyNumberFormat="0" applyBorder="0" applyAlignment="0" applyProtection="0">
      <alignment vertical="center"/>
    </xf>
    <xf numFmtId="0" fontId="37" fillId="6" borderId="0" applyNumberFormat="0" applyBorder="0" applyAlignment="0" applyProtection="0">
      <alignment vertical="center"/>
    </xf>
    <xf numFmtId="0" fontId="38" fillId="8" borderId="0" applyNumberFormat="0" applyBorder="0" applyAlignment="0" applyProtection="0">
      <alignment vertical="center"/>
    </xf>
    <xf numFmtId="0" fontId="37" fillId="6" borderId="0" applyNumberFormat="0" applyBorder="0" applyAlignment="0" applyProtection="0">
      <alignment vertical="center"/>
    </xf>
    <xf numFmtId="0" fontId="38" fillId="8" borderId="0" applyNumberFormat="0" applyBorder="0" applyAlignment="0" applyProtection="0">
      <alignment vertical="center"/>
    </xf>
    <xf numFmtId="0" fontId="37" fillId="6" borderId="0" applyNumberFormat="0" applyBorder="0" applyAlignment="0" applyProtection="0">
      <alignment vertical="center"/>
    </xf>
    <xf numFmtId="0" fontId="90" fillId="13" borderId="4" applyNumberFormat="0" applyFont="0" applyAlignment="0" applyProtection="0">
      <alignment vertical="center"/>
    </xf>
    <xf numFmtId="0" fontId="38" fillId="8" borderId="0" applyNumberFormat="0" applyBorder="0" applyAlignment="0" applyProtection="0">
      <alignment vertical="center"/>
    </xf>
    <xf numFmtId="0" fontId="37" fillId="6" borderId="0" applyNumberFormat="0" applyBorder="0" applyAlignment="0" applyProtection="0">
      <alignment vertical="center"/>
    </xf>
    <xf numFmtId="0" fontId="1" fillId="0" borderId="0"/>
    <xf numFmtId="0" fontId="37" fillId="6" borderId="0" applyNumberFormat="0" applyBorder="0" applyAlignment="0" applyProtection="0">
      <alignment vertical="center"/>
    </xf>
    <xf numFmtId="0" fontId="38" fillId="8" borderId="0" applyNumberFormat="0" applyBorder="0" applyAlignment="0" applyProtection="0">
      <alignment vertical="center"/>
    </xf>
    <xf numFmtId="0" fontId="90" fillId="4" borderId="0" applyNumberFormat="0" applyBorder="0" applyAlignment="0" applyProtection="0">
      <alignment vertical="center"/>
    </xf>
    <xf numFmtId="0" fontId="48" fillId="0" borderId="0" applyNumberFormat="0" applyFill="0" applyBorder="0" applyAlignment="0" applyProtection="0">
      <alignment vertical="center"/>
    </xf>
    <xf numFmtId="0" fontId="37" fillId="4" borderId="0" applyNumberFormat="0" applyBorder="0" applyAlignment="0" applyProtection="0">
      <alignment vertical="center"/>
    </xf>
    <xf numFmtId="0" fontId="37" fillId="4" borderId="0" applyNumberFormat="0" applyBorder="0" applyAlignment="0" applyProtection="0">
      <alignment vertical="center"/>
    </xf>
    <xf numFmtId="0" fontId="1" fillId="0" borderId="0">
      <protection locked="0"/>
    </xf>
    <xf numFmtId="0" fontId="37" fillId="4" borderId="0" applyNumberFormat="0" applyBorder="0" applyAlignment="0" applyProtection="0">
      <alignment vertical="center"/>
    </xf>
    <xf numFmtId="0" fontId="37" fillId="4" borderId="0" applyNumberFormat="0" applyBorder="0" applyAlignment="0" applyProtection="0">
      <alignment vertical="center"/>
    </xf>
    <xf numFmtId="0" fontId="37" fillId="4" borderId="0" applyNumberFormat="0" applyBorder="0" applyAlignment="0" applyProtection="0">
      <alignment vertical="center"/>
    </xf>
    <xf numFmtId="0" fontId="37" fillId="4" borderId="0" applyNumberFormat="0" applyBorder="0" applyAlignment="0" applyProtection="0">
      <alignment vertical="center"/>
    </xf>
    <xf numFmtId="0" fontId="37" fillId="4" borderId="0" applyNumberFormat="0" applyBorder="0" applyAlignment="0" applyProtection="0">
      <alignment vertical="center"/>
    </xf>
    <xf numFmtId="0" fontId="37" fillId="4" borderId="0" applyNumberFormat="0" applyBorder="0" applyAlignment="0" applyProtection="0">
      <alignment vertical="center"/>
    </xf>
    <xf numFmtId="0" fontId="38" fillId="5" borderId="0" applyNumberFormat="0" applyBorder="0" applyAlignment="0" applyProtection="0">
      <alignment vertical="center"/>
    </xf>
    <xf numFmtId="0" fontId="37" fillId="4" borderId="0" applyNumberFormat="0" applyBorder="0" applyAlignment="0" applyProtection="0">
      <alignment vertical="center"/>
    </xf>
    <xf numFmtId="0" fontId="38" fillId="5" borderId="0" applyNumberFormat="0" applyBorder="0" applyAlignment="0" applyProtection="0">
      <alignment vertical="center"/>
    </xf>
    <xf numFmtId="0" fontId="37" fillId="4" borderId="0" applyNumberFormat="0" applyBorder="0" applyAlignment="0" applyProtection="0">
      <alignment vertical="center"/>
    </xf>
    <xf numFmtId="0" fontId="1" fillId="0" borderId="0"/>
    <xf numFmtId="0" fontId="37" fillId="4" borderId="0" applyNumberFormat="0" applyBorder="0" applyAlignment="0" applyProtection="0">
      <alignment vertical="center"/>
    </xf>
    <xf numFmtId="0" fontId="90" fillId="11" borderId="0" applyNumberFormat="0" applyBorder="0" applyAlignment="0" applyProtection="0">
      <alignment vertical="center"/>
    </xf>
    <xf numFmtId="0" fontId="38" fillId="8" borderId="0" applyNumberFormat="0" applyBorder="0" applyAlignment="0" applyProtection="0">
      <alignment vertical="center"/>
    </xf>
    <xf numFmtId="0" fontId="37" fillId="11" borderId="0" applyNumberFormat="0" applyBorder="0" applyAlignment="0" applyProtection="0">
      <alignment vertical="center"/>
    </xf>
    <xf numFmtId="0" fontId="38" fillId="17" borderId="0" applyNumberFormat="0" applyBorder="0" applyAlignment="0" applyProtection="0">
      <alignment vertical="center"/>
    </xf>
    <xf numFmtId="0" fontId="37" fillId="6" borderId="0" applyNumberFormat="0" applyBorder="0" applyAlignment="0" applyProtection="0">
      <alignment vertical="center"/>
    </xf>
    <xf numFmtId="0" fontId="37" fillId="11" borderId="0" applyNumberFormat="0" applyBorder="0" applyAlignment="0" applyProtection="0">
      <alignment vertical="center"/>
    </xf>
    <xf numFmtId="0" fontId="1" fillId="0" borderId="0">
      <alignment vertical="center"/>
    </xf>
    <xf numFmtId="0" fontId="37" fillId="6" borderId="0" applyNumberFormat="0" applyBorder="0" applyAlignment="0" applyProtection="0">
      <alignment vertical="center"/>
    </xf>
    <xf numFmtId="0" fontId="37" fillId="11" borderId="0" applyNumberFormat="0" applyBorder="0" applyAlignment="0" applyProtection="0">
      <alignment vertical="center"/>
    </xf>
    <xf numFmtId="0" fontId="1" fillId="0" borderId="0">
      <alignment vertical="center"/>
    </xf>
    <xf numFmtId="0" fontId="37" fillId="11" borderId="0" applyNumberFormat="0" applyBorder="0" applyAlignment="0" applyProtection="0">
      <alignment vertical="center"/>
    </xf>
    <xf numFmtId="0" fontId="1" fillId="0" borderId="0">
      <alignment vertical="center"/>
    </xf>
    <xf numFmtId="0" fontId="37" fillId="11" borderId="0" applyNumberFormat="0" applyBorder="0" applyAlignment="0" applyProtection="0">
      <alignment vertical="center"/>
    </xf>
    <xf numFmtId="0" fontId="37" fillId="11" borderId="0" applyNumberFormat="0" applyBorder="0" applyAlignment="0" applyProtection="0">
      <alignment vertical="center"/>
    </xf>
    <xf numFmtId="0" fontId="37" fillId="11" borderId="0" applyNumberFormat="0" applyBorder="0" applyAlignment="0" applyProtection="0">
      <alignment vertical="center"/>
    </xf>
    <xf numFmtId="0" fontId="38" fillId="17" borderId="0" applyNumberFormat="0" applyBorder="0" applyAlignment="0" applyProtection="0">
      <alignment vertical="center"/>
    </xf>
    <xf numFmtId="0" fontId="37" fillId="11" borderId="0" applyNumberFormat="0" applyBorder="0" applyAlignment="0" applyProtection="0">
      <alignment vertical="center"/>
    </xf>
    <xf numFmtId="0" fontId="38" fillId="18" borderId="0" applyNumberFormat="0" applyBorder="0" applyAlignment="0" applyProtection="0">
      <alignment vertical="center"/>
    </xf>
    <xf numFmtId="0" fontId="38" fillId="17" borderId="0" applyNumberFormat="0" applyBorder="0" applyAlignment="0" applyProtection="0">
      <alignment vertical="center"/>
    </xf>
    <xf numFmtId="0" fontId="46" fillId="19" borderId="0" applyNumberFormat="0" applyBorder="0" applyAlignment="0" applyProtection="0"/>
    <xf numFmtId="0" fontId="37" fillId="20" borderId="0" applyNumberFormat="0" applyBorder="0" applyAlignment="0" applyProtection="0">
      <alignment vertical="center"/>
    </xf>
    <xf numFmtId="0" fontId="38" fillId="18" borderId="0" applyNumberFormat="0" applyBorder="0" applyAlignment="0" applyProtection="0">
      <alignment vertical="center"/>
    </xf>
    <xf numFmtId="0" fontId="45" fillId="0" borderId="5" applyNumberFormat="0" applyFill="0" applyAlignment="0" applyProtection="0">
      <alignment vertical="center"/>
    </xf>
    <xf numFmtId="0" fontId="40" fillId="19" borderId="0" applyNumberFormat="0" applyBorder="0" applyAlignment="0" applyProtection="0">
      <alignment vertical="center"/>
    </xf>
    <xf numFmtId="0" fontId="1" fillId="0" borderId="0">
      <alignment vertical="center"/>
    </xf>
    <xf numFmtId="0" fontId="37" fillId="11" borderId="0" applyNumberFormat="0" applyBorder="0" applyAlignment="0" applyProtection="0">
      <alignment vertical="center"/>
    </xf>
    <xf numFmtId="0" fontId="1" fillId="0" borderId="0">
      <alignment vertical="center"/>
    </xf>
    <xf numFmtId="0" fontId="37" fillId="20" borderId="0" applyNumberFormat="0" applyBorder="0" applyAlignment="0" applyProtection="0">
      <alignment vertical="center"/>
    </xf>
    <xf numFmtId="0" fontId="38" fillId="18" borderId="0" applyNumberFormat="0" applyBorder="0" applyAlignment="0" applyProtection="0">
      <alignment vertical="center"/>
    </xf>
    <xf numFmtId="0" fontId="40" fillId="19" borderId="0" applyNumberFormat="0" applyBorder="0" applyAlignment="0" applyProtection="0">
      <alignment vertical="center"/>
    </xf>
    <xf numFmtId="0" fontId="1" fillId="0" borderId="0">
      <alignment vertical="center"/>
    </xf>
    <xf numFmtId="0" fontId="37" fillId="11" borderId="0" applyNumberFormat="0" applyBorder="0" applyAlignment="0" applyProtection="0">
      <alignment vertical="center"/>
    </xf>
    <xf numFmtId="0" fontId="1" fillId="0" borderId="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8" fillId="18" borderId="0" applyNumberFormat="0" applyBorder="0" applyAlignment="0" applyProtection="0">
      <alignment vertical="center"/>
    </xf>
    <xf numFmtId="0" fontId="42" fillId="15" borderId="6" applyNumberFormat="0" applyAlignment="0" applyProtection="0"/>
    <xf numFmtId="0" fontId="1" fillId="0" borderId="0">
      <alignment vertical="center"/>
    </xf>
    <xf numFmtId="0" fontId="1" fillId="0" borderId="0">
      <alignment vertical="center"/>
    </xf>
    <xf numFmtId="0" fontId="1" fillId="0" borderId="0">
      <alignment vertical="center"/>
    </xf>
    <xf numFmtId="0" fontId="37" fillId="11"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alignment vertical="center"/>
    </xf>
    <xf numFmtId="0" fontId="37" fillId="11" borderId="0" applyNumberFormat="0" applyBorder="0" applyAlignment="0" applyProtection="0">
      <alignment vertical="center"/>
    </xf>
    <xf numFmtId="0" fontId="1" fillId="0" borderId="0">
      <alignment vertical="center"/>
    </xf>
    <xf numFmtId="0" fontId="39" fillId="12" borderId="0" applyNumberFormat="0" applyBorder="0" applyAlignment="0" applyProtection="0"/>
    <xf numFmtId="0" fontId="39" fillId="8" borderId="0" applyNumberFormat="0" applyBorder="0" applyAlignment="0" applyProtection="0"/>
    <xf numFmtId="0" fontId="39" fillId="5" borderId="0" applyNumberFormat="0" applyBorder="0" applyAlignment="0" applyProtection="0"/>
    <xf numFmtId="0" fontId="1" fillId="0" borderId="0">
      <alignment vertical="center"/>
    </xf>
    <xf numFmtId="0" fontId="1" fillId="0" borderId="0">
      <alignment vertical="center"/>
    </xf>
    <xf numFmtId="0" fontId="38" fillId="18" borderId="0" applyNumberFormat="0" applyBorder="0" applyAlignment="0" applyProtection="0">
      <alignment vertical="center"/>
    </xf>
    <xf numFmtId="0" fontId="39" fillId="6" borderId="0" applyNumberFormat="0" applyBorder="0" applyAlignment="0" applyProtection="0"/>
    <xf numFmtId="0" fontId="1" fillId="0" borderId="0">
      <alignment vertical="center"/>
    </xf>
    <xf numFmtId="0" fontId="1" fillId="0" borderId="0">
      <alignment vertical="center"/>
    </xf>
    <xf numFmtId="0" fontId="38" fillId="18" borderId="0" applyNumberFormat="0" applyBorder="0" applyAlignment="0" applyProtection="0">
      <alignment vertical="center"/>
    </xf>
    <xf numFmtId="0" fontId="58" fillId="0" borderId="0" applyNumberFormat="0" applyFill="0" applyBorder="0" applyAlignment="0" applyProtection="0">
      <alignment vertical="center"/>
    </xf>
    <xf numFmtId="0" fontId="39" fillId="12" borderId="0" applyNumberFormat="0" applyBorder="0" applyAlignment="0" applyProtection="0"/>
    <xf numFmtId="0" fontId="58" fillId="0" borderId="0" applyNumberFormat="0" applyFill="0" applyBorder="0" applyAlignment="0" applyProtection="0">
      <alignment vertical="center"/>
    </xf>
    <xf numFmtId="0" fontId="39" fillId="20" borderId="0" applyNumberFormat="0" applyBorder="0" applyAlignment="0" applyProtection="0"/>
    <xf numFmtId="0" fontId="90" fillId="12" borderId="0" applyNumberFormat="0" applyBorder="0" applyAlignment="0" applyProtection="0">
      <alignment vertical="center"/>
    </xf>
    <xf numFmtId="0" fontId="48" fillId="0" borderId="0" applyNumberFormat="0" applyFill="0" applyBorder="0" applyAlignment="0" applyProtection="0">
      <alignment vertical="center"/>
    </xf>
    <xf numFmtId="0" fontId="37" fillId="12" borderId="0" applyNumberFormat="0" applyBorder="0" applyAlignment="0" applyProtection="0">
      <alignment vertical="center"/>
    </xf>
    <xf numFmtId="0" fontId="90" fillId="13" borderId="4" applyNumberFormat="0" applyFont="0" applyAlignment="0" applyProtection="0"/>
    <xf numFmtId="0" fontId="48" fillId="0" borderId="0" applyNumberFormat="0" applyFill="0" applyBorder="0" applyAlignment="0" applyProtection="0">
      <alignment vertical="center"/>
    </xf>
    <xf numFmtId="0" fontId="1" fillId="0" borderId="0">
      <alignment vertical="center"/>
    </xf>
    <xf numFmtId="0" fontId="37" fillId="12" borderId="0" applyNumberFormat="0" applyBorder="0" applyAlignment="0" applyProtection="0">
      <alignment vertical="center"/>
    </xf>
    <xf numFmtId="0" fontId="37" fillId="12" borderId="0" applyNumberFormat="0" applyBorder="0" applyAlignment="0" applyProtection="0">
      <alignment vertical="center"/>
    </xf>
    <xf numFmtId="0" fontId="37" fillId="12" borderId="0" applyNumberFormat="0" applyBorder="0" applyAlignment="0" applyProtection="0">
      <alignment vertical="center"/>
    </xf>
    <xf numFmtId="0" fontId="37" fillId="12" borderId="0" applyNumberFormat="0" applyBorder="0" applyAlignment="0" applyProtection="0">
      <alignment vertical="center"/>
    </xf>
    <xf numFmtId="0" fontId="1" fillId="0" borderId="0">
      <alignment vertical="center"/>
    </xf>
    <xf numFmtId="0" fontId="1" fillId="0" borderId="0">
      <alignment vertical="center"/>
    </xf>
    <xf numFmtId="0" fontId="37" fillId="12" borderId="0" applyNumberFormat="0" applyBorder="0" applyAlignment="0" applyProtection="0">
      <alignment vertical="center"/>
    </xf>
    <xf numFmtId="0" fontId="1" fillId="0" borderId="0">
      <alignment vertical="center"/>
    </xf>
    <xf numFmtId="0" fontId="1" fillId="0" borderId="0"/>
    <xf numFmtId="0" fontId="37" fillId="12" borderId="0" applyNumberFormat="0" applyBorder="0" applyAlignment="0" applyProtection="0">
      <alignment vertical="center"/>
    </xf>
    <xf numFmtId="0" fontId="90" fillId="13" borderId="4" applyNumberFormat="0" applyFont="0" applyAlignment="0" applyProtection="0"/>
    <xf numFmtId="0" fontId="48" fillId="0" borderId="0" applyNumberFormat="0" applyFill="0" applyBorder="0" applyAlignment="0" applyProtection="0">
      <alignment vertical="center"/>
    </xf>
    <xf numFmtId="0" fontId="54" fillId="21" borderId="0" applyNumberFormat="0" applyBorder="0" applyAlignment="0" applyProtection="0"/>
    <xf numFmtId="0" fontId="1" fillId="0" borderId="0">
      <alignment vertical="center"/>
    </xf>
    <xf numFmtId="0" fontId="1" fillId="0" borderId="0">
      <alignment vertical="center"/>
    </xf>
    <xf numFmtId="0" fontId="1" fillId="0" borderId="0"/>
    <xf numFmtId="0" fontId="37" fillId="12" borderId="0" applyNumberFormat="0" applyBorder="0" applyAlignment="0" applyProtection="0">
      <alignment vertical="center"/>
    </xf>
    <xf numFmtId="0" fontId="54" fillId="3" borderId="0" applyNumberFormat="0" applyBorder="0" applyAlignment="0" applyProtection="0"/>
    <xf numFmtId="0" fontId="1" fillId="0" borderId="0">
      <alignment vertical="center"/>
    </xf>
    <xf numFmtId="0" fontId="37" fillId="12" borderId="0" applyNumberFormat="0" applyBorder="0" applyAlignment="0" applyProtection="0">
      <alignment vertical="center"/>
    </xf>
    <xf numFmtId="0" fontId="37" fillId="12" borderId="0" applyNumberFormat="0" applyBorder="0" applyAlignment="0" applyProtection="0">
      <alignment vertical="center"/>
    </xf>
    <xf numFmtId="0" fontId="1" fillId="0" borderId="0">
      <alignment vertical="center"/>
    </xf>
    <xf numFmtId="0" fontId="37" fillId="12" borderId="0" applyNumberFormat="0" applyBorder="0" applyAlignment="0" applyProtection="0">
      <alignment vertical="center"/>
    </xf>
    <xf numFmtId="0" fontId="38" fillId="14" borderId="0" applyNumberFormat="0" applyBorder="0" applyAlignment="0" applyProtection="0">
      <alignment vertical="center"/>
    </xf>
    <xf numFmtId="0" fontId="54" fillId="22" borderId="0" applyNumberFormat="0" applyBorder="0" applyAlignment="0" applyProtection="0"/>
    <xf numFmtId="0" fontId="1" fillId="0" borderId="0">
      <alignment vertical="center"/>
    </xf>
    <xf numFmtId="0" fontId="37" fillId="12" borderId="0" applyNumberFormat="0" applyBorder="0" applyAlignment="0" applyProtection="0">
      <alignment vertical="center"/>
    </xf>
    <xf numFmtId="0" fontId="37" fillId="12" borderId="0" applyNumberFormat="0" applyBorder="0" applyAlignment="0" applyProtection="0">
      <alignment vertical="center"/>
    </xf>
    <xf numFmtId="0" fontId="1" fillId="0" borderId="0">
      <alignment vertical="center"/>
    </xf>
    <xf numFmtId="0" fontId="61" fillId="0" borderId="8" applyNumberFormat="0" applyFill="0" applyAlignment="0" applyProtection="0"/>
    <xf numFmtId="0" fontId="90" fillId="8" borderId="0" applyNumberFormat="0" applyBorder="0" applyAlignment="0" applyProtection="0">
      <alignment vertical="center"/>
    </xf>
    <xf numFmtId="3" fontId="1" fillId="0" borderId="2"/>
    <xf numFmtId="0" fontId="48" fillId="0" borderId="0" applyNumberFormat="0" applyFill="0" applyBorder="0" applyAlignment="0" applyProtection="0">
      <alignment vertical="center"/>
    </xf>
    <xf numFmtId="0" fontId="37" fillId="8" borderId="0" applyNumberFormat="0" applyBorder="0" applyAlignment="0" applyProtection="0">
      <alignment vertical="center"/>
    </xf>
    <xf numFmtId="0" fontId="37" fillId="8" borderId="0" applyNumberFormat="0" applyBorder="0" applyAlignment="0" applyProtection="0">
      <alignment vertical="center"/>
    </xf>
    <xf numFmtId="0" fontId="37" fillId="8" borderId="0" applyNumberFormat="0" applyBorder="0" applyAlignment="0" applyProtection="0">
      <alignment vertical="center"/>
    </xf>
    <xf numFmtId="0" fontId="37" fillId="8" borderId="0" applyNumberFormat="0" applyBorder="0" applyAlignment="0" applyProtection="0">
      <alignment vertical="center"/>
    </xf>
    <xf numFmtId="0" fontId="1" fillId="0" borderId="0">
      <alignment vertical="center"/>
    </xf>
    <xf numFmtId="0" fontId="37" fillId="8" borderId="0" applyNumberFormat="0" applyBorder="0" applyAlignment="0" applyProtection="0">
      <alignment vertical="center"/>
    </xf>
    <xf numFmtId="0" fontId="1" fillId="0" borderId="0">
      <alignment vertical="center"/>
    </xf>
    <xf numFmtId="0" fontId="37" fillId="8" borderId="0" applyNumberFormat="0" applyBorder="0" applyAlignment="0" applyProtection="0">
      <alignment vertical="center"/>
    </xf>
    <xf numFmtId="0" fontId="55" fillId="0" borderId="0" applyNumberFormat="0" applyFill="0" applyBorder="0" applyAlignment="0" applyProtection="0">
      <alignment vertical="center"/>
    </xf>
    <xf numFmtId="0" fontId="52" fillId="7" borderId="0" applyNumberFormat="0" applyBorder="0" applyAlignment="0" applyProtection="0">
      <alignment vertical="center"/>
    </xf>
    <xf numFmtId="0" fontId="37" fillId="8" borderId="0" applyNumberFormat="0" applyBorder="0" applyAlignment="0" applyProtection="0">
      <alignment vertical="center"/>
    </xf>
    <xf numFmtId="0" fontId="52" fillId="7" borderId="0" applyNumberFormat="0" applyBorder="0" applyAlignment="0" applyProtection="0">
      <alignment vertical="center"/>
    </xf>
    <xf numFmtId="0" fontId="37" fillId="8" borderId="0" applyNumberFormat="0" applyBorder="0" applyAlignment="0" applyProtection="0">
      <alignment vertical="center"/>
    </xf>
    <xf numFmtId="0" fontId="37" fillId="8" borderId="0" applyNumberFormat="0" applyBorder="0" applyAlignment="0" applyProtection="0">
      <alignment vertical="center"/>
    </xf>
    <xf numFmtId="0" fontId="1" fillId="0" borderId="0">
      <alignment vertical="center"/>
    </xf>
    <xf numFmtId="0" fontId="1" fillId="0" borderId="0">
      <alignment vertical="center"/>
    </xf>
    <xf numFmtId="0" fontId="90" fillId="5" borderId="0" applyNumberFormat="0" applyBorder="0" applyAlignment="0" applyProtection="0">
      <alignment vertical="center"/>
    </xf>
    <xf numFmtId="0" fontId="48" fillId="0" borderId="0" applyNumberFormat="0" applyFill="0" applyBorder="0" applyAlignment="0" applyProtection="0">
      <alignment vertical="center"/>
    </xf>
    <xf numFmtId="0" fontId="37" fillId="5" borderId="0" applyNumberFormat="0" applyBorder="0" applyAlignment="0" applyProtection="0">
      <alignment vertical="center"/>
    </xf>
    <xf numFmtId="0" fontId="1" fillId="0" borderId="0">
      <alignment vertical="center"/>
    </xf>
    <xf numFmtId="0" fontId="37" fillId="5" borderId="0" applyNumberFormat="0" applyBorder="0" applyAlignment="0" applyProtection="0">
      <alignment vertical="center"/>
    </xf>
    <xf numFmtId="0" fontId="37" fillId="5" borderId="0" applyNumberFormat="0" applyBorder="0" applyAlignment="0" applyProtection="0">
      <alignment vertical="center"/>
    </xf>
    <xf numFmtId="0" fontId="90" fillId="13" borderId="4" applyNumberFormat="0" applyFont="0" applyAlignment="0" applyProtection="0"/>
    <xf numFmtId="0" fontId="37" fillId="5" borderId="0" applyNumberFormat="0" applyBorder="0" applyAlignment="0" applyProtection="0">
      <alignment vertical="center"/>
    </xf>
    <xf numFmtId="0" fontId="37" fillId="5" borderId="0" applyNumberFormat="0" applyBorder="0" applyAlignment="0" applyProtection="0">
      <alignment vertical="center"/>
    </xf>
    <xf numFmtId="0" fontId="37" fillId="5" borderId="0" applyNumberFormat="0" applyBorder="0" applyAlignment="0" applyProtection="0">
      <alignment vertical="center"/>
    </xf>
    <xf numFmtId="0" fontId="1" fillId="0" borderId="0">
      <alignment vertical="center"/>
    </xf>
    <xf numFmtId="0" fontId="37" fillId="5" borderId="0" applyNumberFormat="0" applyBorder="0" applyAlignment="0" applyProtection="0">
      <alignment vertical="center"/>
    </xf>
    <xf numFmtId="0" fontId="1" fillId="0" borderId="0">
      <alignment vertical="center"/>
    </xf>
    <xf numFmtId="0" fontId="37" fillId="5" borderId="0" applyNumberFormat="0" applyBorder="0" applyAlignment="0" applyProtection="0">
      <alignment vertical="center"/>
    </xf>
    <xf numFmtId="0" fontId="1" fillId="0" borderId="0">
      <alignment vertical="center"/>
    </xf>
    <xf numFmtId="0" fontId="90" fillId="0" borderId="0">
      <alignment vertical="center"/>
    </xf>
    <xf numFmtId="0" fontId="1" fillId="0" borderId="0">
      <alignment vertical="center"/>
    </xf>
    <xf numFmtId="0" fontId="37" fillId="5" borderId="0" applyNumberFormat="0" applyBorder="0" applyAlignment="0" applyProtection="0">
      <alignment vertical="center"/>
    </xf>
    <xf numFmtId="0" fontId="90" fillId="0" borderId="0">
      <alignment vertical="center"/>
    </xf>
    <xf numFmtId="0" fontId="1" fillId="0" borderId="0">
      <alignment vertical="center"/>
    </xf>
    <xf numFmtId="0" fontId="37" fillId="5" borderId="0" applyNumberFormat="0" applyBorder="0" applyAlignment="0" applyProtection="0">
      <alignment vertical="center"/>
    </xf>
    <xf numFmtId="0" fontId="37" fillId="5" borderId="0" applyNumberFormat="0" applyBorder="0" applyAlignment="0" applyProtection="0">
      <alignment vertical="center"/>
    </xf>
    <xf numFmtId="0" fontId="1" fillId="0" borderId="0">
      <alignment vertical="center"/>
    </xf>
    <xf numFmtId="0" fontId="37" fillId="5" borderId="0" applyNumberFormat="0" applyBorder="0" applyAlignment="0" applyProtection="0">
      <alignment vertical="center"/>
    </xf>
    <xf numFmtId="0" fontId="37" fillId="5" borderId="0" applyNumberFormat="0" applyBorder="0" applyAlignment="0" applyProtection="0">
      <alignment vertical="center"/>
    </xf>
    <xf numFmtId="0" fontId="56" fillId="7" borderId="0" applyNumberFormat="0" applyBorder="0" applyAlignment="0" applyProtection="0">
      <alignment vertical="center"/>
    </xf>
    <xf numFmtId="0" fontId="1" fillId="0" borderId="0">
      <alignment vertical="center"/>
    </xf>
    <xf numFmtId="0" fontId="1" fillId="0" borderId="0">
      <alignment vertical="center"/>
    </xf>
    <xf numFmtId="0" fontId="90" fillId="6" borderId="0" applyNumberFormat="0" applyBorder="0" applyAlignment="0" applyProtection="0">
      <alignment vertical="center"/>
    </xf>
    <xf numFmtId="0" fontId="1" fillId="0" borderId="0">
      <alignment vertical="center"/>
    </xf>
    <xf numFmtId="0" fontId="37" fillId="6" borderId="0" applyNumberFormat="0" applyBorder="0" applyAlignment="0" applyProtection="0">
      <alignment vertical="center"/>
    </xf>
    <xf numFmtId="0" fontId="60" fillId="0" borderId="9" applyNumberFormat="0" applyFill="0" applyAlignment="0" applyProtection="0"/>
    <xf numFmtId="177" fontId="90" fillId="0" borderId="0" applyFont="0" applyFill="0" applyBorder="0" applyAlignment="0" applyProtection="0">
      <alignment vertical="center"/>
    </xf>
    <xf numFmtId="0" fontId="44" fillId="0" borderId="0" applyNumberFormat="0" applyFill="0" applyBorder="0" applyAlignment="0" applyProtection="0">
      <alignment vertical="center"/>
    </xf>
    <xf numFmtId="0" fontId="37" fillId="6" borderId="0" applyNumberFormat="0" applyBorder="0" applyAlignment="0" applyProtection="0">
      <alignment vertical="center"/>
    </xf>
    <xf numFmtId="177" fontId="90" fillId="0" borderId="0" applyFont="0" applyFill="0" applyBorder="0" applyAlignment="0" applyProtection="0">
      <alignment vertical="center"/>
    </xf>
    <xf numFmtId="0" fontId="44" fillId="0" borderId="0" applyNumberFormat="0" applyFill="0" applyBorder="0" applyAlignment="0" applyProtection="0">
      <alignment vertical="center"/>
    </xf>
    <xf numFmtId="0" fontId="37" fillId="6" borderId="0" applyNumberFormat="0" applyBorder="0" applyAlignment="0" applyProtection="0">
      <alignment vertical="center"/>
    </xf>
    <xf numFmtId="0" fontId="37" fillId="6" borderId="0" applyNumberFormat="0" applyBorder="0" applyAlignment="0" applyProtection="0">
      <alignment vertical="center"/>
    </xf>
    <xf numFmtId="0" fontId="1" fillId="0" borderId="0">
      <alignment vertical="center"/>
    </xf>
    <xf numFmtId="0" fontId="1" fillId="0" borderId="0">
      <alignment vertical="center"/>
    </xf>
    <xf numFmtId="0" fontId="37" fillId="6" borderId="0" applyNumberFormat="0" applyBorder="0" applyAlignment="0" applyProtection="0">
      <alignment vertical="center"/>
    </xf>
    <xf numFmtId="0" fontId="37" fillId="6"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37" fillId="6" borderId="0" applyNumberFormat="0" applyBorder="0" applyAlignment="0" applyProtection="0">
      <alignment vertical="center"/>
    </xf>
    <xf numFmtId="0" fontId="37" fillId="6" borderId="0" applyNumberFormat="0" applyBorder="0" applyAlignment="0" applyProtection="0">
      <alignment vertical="center"/>
    </xf>
    <xf numFmtId="0" fontId="37" fillId="6" borderId="0" applyNumberFormat="0" applyBorder="0" applyAlignment="0" applyProtection="0">
      <alignment vertical="center"/>
    </xf>
    <xf numFmtId="0" fontId="37" fillId="6" borderId="0" applyNumberFormat="0" applyBorder="0" applyAlignment="0" applyProtection="0">
      <alignment vertical="center"/>
    </xf>
    <xf numFmtId="0" fontId="1" fillId="0" borderId="0">
      <alignment vertical="center"/>
    </xf>
    <xf numFmtId="0" fontId="1" fillId="0" borderId="0">
      <alignment vertical="center"/>
    </xf>
    <xf numFmtId="0" fontId="90" fillId="12" borderId="0" applyNumberFormat="0" applyBorder="0" applyAlignment="0" applyProtection="0">
      <alignment vertical="center"/>
    </xf>
    <xf numFmtId="0" fontId="37" fillId="12" borderId="0" applyNumberFormat="0" applyBorder="0" applyAlignment="0" applyProtection="0">
      <alignment vertical="center"/>
    </xf>
    <xf numFmtId="0" fontId="38" fillId="18" borderId="0" applyNumberFormat="0" applyBorder="0" applyAlignment="0" applyProtection="0">
      <alignment vertical="center"/>
    </xf>
    <xf numFmtId="0" fontId="37" fillId="12" borderId="0" applyNumberFormat="0" applyBorder="0" applyAlignment="0" applyProtection="0">
      <alignment vertical="center"/>
    </xf>
    <xf numFmtId="0" fontId="38" fillId="18" borderId="0" applyNumberFormat="0" applyBorder="0" applyAlignment="0" applyProtection="0">
      <alignment vertical="center"/>
    </xf>
    <xf numFmtId="0" fontId="37" fillId="12" borderId="0" applyNumberFormat="0" applyBorder="0" applyAlignment="0" applyProtection="0">
      <alignment vertical="center"/>
    </xf>
    <xf numFmtId="0" fontId="1" fillId="0" borderId="0">
      <alignment vertical="center"/>
    </xf>
    <xf numFmtId="0" fontId="1" fillId="0" borderId="0">
      <alignment vertical="center"/>
    </xf>
    <xf numFmtId="0" fontId="37" fillId="12" borderId="0" applyNumberFormat="0" applyBorder="0" applyAlignment="0" applyProtection="0">
      <alignment vertical="center"/>
    </xf>
    <xf numFmtId="0" fontId="43" fillId="2" borderId="0" applyNumberFormat="0" applyBorder="0" applyAlignment="0" applyProtection="0">
      <alignment vertical="center"/>
    </xf>
    <xf numFmtId="0" fontId="37" fillId="12" borderId="0" applyNumberFormat="0" applyBorder="0" applyAlignment="0" applyProtection="0">
      <alignment vertical="center"/>
    </xf>
    <xf numFmtId="0" fontId="1" fillId="0" borderId="0">
      <alignment vertical="center"/>
    </xf>
    <xf numFmtId="0" fontId="43" fillId="2" borderId="0" applyNumberFormat="0" applyBorder="0" applyAlignment="0" applyProtection="0">
      <alignment vertical="center"/>
    </xf>
    <xf numFmtId="0" fontId="37" fillId="12" borderId="0" applyNumberFormat="0" applyBorder="0" applyAlignment="0" applyProtection="0">
      <alignment vertical="center"/>
    </xf>
    <xf numFmtId="0" fontId="1" fillId="0" borderId="0">
      <alignment vertical="center"/>
    </xf>
    <xf numFmtId="0" fontId="37" fillId="12" borderId="0" applyNumberFormat="0" applyBorder="0" applyAlignment="0" applyProtection="0">
      <alignment vertical="center"/>
    </xf>
    <xf numFmtId="0" fontId="38" fillId="17" borderId="0" applyNumberFormat="0" applyBorder="0" applyAlignment="0" applyProtection="0">
      <alignment vertical="center"/>
    </xf>
    <xf numFmtId="0" fontId="1" fillId="0" borderId="0"/>
    <xf numFmtId="0" fontId="37" fillId="12" borderId="0" applyNumberFormat="0" applyBorder="0" applyAlignment="0" applyProtection="0">
      <alignment vertical="center"/>
    </xf>
    <xf numFmtId="0" fontId="38" fillId="17" borderId="0" applyNumberFormat="0" applyBorder="0" applyAlignment="0" applyProtection="0">
      <alignment vertical="center"/>
    </xf>
    <xf numFmtId="0" fontId="43" fillId="2" borderId="0" applyNumberFormat="0" applyBorder="0" applyAlignment="0" applyProtection="0">
      <alignment vertical="center"/>
    </xf>
    <xf numFmtId="0" fontId="37" fillId="12" borderId="0" applyNumberFormat="0" applyBorder="0" applyAlignment="0" applyProtection="0">
      <alignment vertical="center"/>
    </xf>
    <xf numFmtId="9" fontId="90" fillId="0" borderId="0" applyFont="0" applyFill="0" applyBorder="0" applyAlignment="0" applyProtection="0">
      <alignment vertical="center"/>
    </xf>
    <xf numFmtId="0" fontId="1" fillId="0" borderId="0">
      <alignment vertical="center"/>
    </xf>
    <xf numFmtId="0" fontId="37" fillId="12" borderId="0" applyNumberFormat="0" applyBorder="0" applyAlignment="0" applyProtection="0">
      <alignment vertical="center"/>
    </xf>
    <xf numFmtId="0" fontId="53" fillId="0" borderId="0" applyNumberFormat="0" applyFill="0" applyBorder="0" applyAlignment="0" applyProtection="0"/>
    <xf numFmtId="0" fontId="37" fillId="12" borderId="0" applyNumberFormat="0" applyBorder="0" applyAlignment="0" applyProtection="0">
      <alignment vertical="center"/>
    </xf>
    <xf numFmtId="0" fontId="1" fillId="0" borderId="0">
      <alignment vertical="center"/>
    </xf>
    <xf numFmtId="0" fontId="1" fillId="0" borderId="0">
      <alignment vertical="center"/>
    </xf>
    <xf numFmtId="0" fontId="90" fillId="20" borderId="0" applyNumberFormat="0" applyBorder="0" applyAlignment="0" applyProtection="0">
      <alignment vertical="center"/>
    </xf>
    <xf numFmtId="0" fontId="37" fillId="20" borderId="0" applyNumberFormat="0" applyBorder="0" applyAlignment="0" applyProtection="0">
      <alignment vertical="center"/>
    </xf>
    <xf numFmtId="0" fontId="45" fillId="0" borderId="5" applyNumberFormat="0" applyFill="0" applyAlignment="0" applyProtection="0">
      <alignment vertical="center"/>
    </xf>
    <xf numFmtId="0" fontId="40" fillId="19" borderId="0" applyNumberFormat="0" applyBorder="0" applyAlignment="0" applyProtection="0">
      <alignment vertical="center"/>
    </xf>
    <xf numFmtId="0" fontId="1" fillId="0" borderId="0">
      <alignment vertical="center"/>
    </xf>
    <xf numFmtId="0" fontId="1" fillId="0" borderId="0">
      <alignment vertical="center"/>
    </xf>
    <xf numFmtId="0" fontId="37" fillId="20" borderId="0" applyNumberFormat="0" applyBorder="0" applyAlignment="0" applyProtection="0">
      <alignment vertical="center"/>
    </xf>
    <xf numFmtId="0" fontId="37" fillId="20" borderId="0" applyNumberFormat="0" applyBorder="0" applyAlignment="0" applyProtection="0">
      <alignment vertical="center"/>
    </xf>
    <xf numFmtId="0" fontId="37" fillId="20" borderId="0" applyNumberFormat="0" applyBorder="0" applyAlignment="0" applyProtection="0">
      <alignment vertical="center"/>
    </xf>
    <xf numFmtId="0" fontId="37" fillId="20" borderId="0" applyNumberFormat="0" applyBorder="0" applyAlignment="0" applyProtection="0">
      <alignment vertical="center"/>
    </xf>
    <xf numFmtId="0" fontId="1" fillId="0" borderId="0">
      <alignment vertical="center"/>
    </xf>
    <xf numFmtId="0" fontId="1" fillId="0" borderId="0">
      <alignment vertical="center"/>
    </xf>
    <xf numFmtId="0" fontId="37" fillId="20" borderId="0" applyNumberFormat="0" applyBorder="0" applyAlignment="0" applyProtection="0">
      <alignment vertical="center"/>
    </xf>
    <xf numFmtId="0" fontId="37" fillId="20" borderId="0" applyNumberFormat="0" applyBorder="0" applyAlignment="0" applyProtection="0">
      <alignment vertical="center"/>
    </xf>
    <xf numFmtId="0" fontId="45" fillId="0" borderId="5" applyNumberFormat="0" applyFill="0" applyAlignment="0" applyProtection="0">
      <alignment vertical="center"/>
    </xf>
    <xf numFmtId="0" fontId="40" fillId="19" borderId="0" applyNumberFormat="0" applyBorder="0" applyAlignment="0" applyProtection="0">
      <alignment vertical="center"/>
    </xf>
    <xf numFmtId="0" fontId="1" fillId="0" borderId="0">
      <alignment vertical="center"/>
    </xf>
    <xf numFmtId="0" fontId="1" fillId="0" borderId="0">
      <alignment vertical="center"/>
    </xf>
    <xf numFmtId="0" fontId="37" fillId="20" borderId="0" applyNumberFormat="0" applyBorder="0" applyAlignment="0" applyProtection="0">
      <alignment vertical="center"/>
    </xf>
    <xf numFmtId="0" fontId="37" fillId="20" borderId="0" applyNumberFormat="0" applyBorder="0" applyAlignment="0" applyProtection="0">
      <alignment vertical="center"/>
    </xf>
    <xf numFmtId="0" fontId="47" fillId="0" borderId="3" applyNumberFormat="0" applyFill="0" applyAlignment="0" applyProtection="0">
      <alignment vertical="center"/>
    </xf>
    <xf numFmtId="0" fontId="37" fillId="20" borderId="0" applyNumberFormat="0" applyBorder="0" applyAlignment="0" applyProtection="0">
      <alignment vertical="center"/>
    </xf>
    <xf numFmtId="0" fontId="37" fillId="20" borderId="0" applyNumberFormat="0" applyBorder="0" applyAlignment="0" applyProtection="0">
      <alignment vertical="center"/>
    </xf>
    <xf numFmtId="0" fontId="54" fillId="10" borderId="0" applyNumberFormat="0" applyBorder="0" applyAlignment="0" applyProtection="0"/>
    <xf numFmtId="0" fontId="1" fillId="0" borderId="0">
      <alignment vertical="center"/>
    </xf>
    <xf numFmtId="0" fontId="1" fillId="0" borderId="0">
      <alignment vertical="center"/>
    </xf>
    <xf numFmtId="0" fontId="54" fillId="8" borderId="0" applyNumberFormat="0" applyBorder="0" applyAlignment="0" applyProtection="0"/>
    <xf numFmtId="0" fontId="54" fillId="5" borderId="0" applyNumberFormat="0" applyBorder="0" applyAlignment="0" applyProtection="0"/>
    <xf numFmtId="0" fontId="54" fillId="18" borderId="0" applyNumberFormat="0" applyBorder="0" applyAlignment="0" applyProtection="0"/>
    <xf numFmtId="0" fontId="38" fillId="18" borderId="0" applyNumberFormat="0" applyBorder="0" applyAlignment="0" applyProtection="0">
      <alignment vertical="center"/>
    </xf>
    <xf numFmtId="0" fontId="54" fillId="23" borderId="0" applyNumberFormat="0" applyBorder="0" applyAlignment="0" applyProtection="0"/>
    <xf numFmtId="0" fontId="38" fillId="18" borderId="0" applyNumberFormat="0" applyBorder="0" applyAlignment="0" applyProtection="0">
      <alignment vertical="center"/>
    </xf>
    <xf numFmtId="0" fontId="54" fillId="17" borderId="0" applyNumberFormat="0" applyBorder="0" applyAlignment="0" applyProtection="0"/>
    <xf numFmtId="0" fontId="57" fillId="10" borderId="0" applyNumberFormat="0" applyBorder="0" applyAlignment="0" applyProtection="0">
      <alignment vertical="center"/>
    </xf>
    <xf numFmtId="0" fontId="38" fillId="10" borderId="0" applyNumberFormat="0" applyBorder="0" applyAlignment="0" applyProtection="0">
      <alignment vertical="center"/>
    </xf>
    <xf numFmtId="0" fontId="38" fillId="10" borderId="0" applyNumberFormat="0" applyBorder="0" applyAlignment="0" applyProtection="0">
      <alignment vertical="center"/>
    </xf>
    <xf numFmtId="0" fontId="38" fillId="10" borderId="0" applyNumberFormat="0" applyBorder="0" applyAlignment="0" applyProtection="0">
      <alignment vertical="center"/>
    </xf>
    <xf numFmtId="0" fontId="59" fillId="0" borderId="0" applyNumberFormat="0" applyFill="0" applyBorder="0" applyAlignment="0" applyProtection="0"/>
    <xf numFmtId="0" fontId="38" fillId="10" borderId="0" applyNumberFormat="0" applyBorder="0" applyAlignment="0" applyProtection="0">
      <alignment vertical="center"/>
    </xf>
    <xf numFmtId="0" fontId="1" fillId="0" borderId="0"/>
    <xf numFmtId="0" fontId="38" fillId="10" borderId="0" applyNumberFormat="0" applyBorder="0" applyAlignment="0" applyProtection="0">
      <alignment vertical="center"/>
    </xf>
    <xf numFmtId="177" fontId="90" fillId="0" borderId="0" applyFont="0" applyFill="0" applyBorder="0" applyAlignment="0" applyProtection="0">
      <alignment vertical="center"/>
    </xf>
    <xf numFmtId="0" fontId="44" fillId="0" borderId="0" applyNumberFormat="0" applyFill="0" applyBorder="0" applyAlignment="0" applyProtection="0">
      <alignment vertical="center"/>
    </xf>
    <xf numFmtId="0" fontId="1" fillId="0" borderId="0"/>
    <xf numFmtId="0" fontId="38" fillId="10" borderId="0" applyNumberFormat="0" applyBorder="0" applyAlignment="0" applyProtection="0">
      <alignment vertical="center"/>
    </xf>
    <xf numFmtId="177" fontId="90" fillId="0" borderId="0" applyFont="0" applyFill="0" applyBorder="0" applyAlignment="0" applyProtection="0">
      <alignment vertical="center"/>
    </xf>
    <xf numFmtId="0" fontId="44" fillId="0" borderId="0" applyNumberFormat="0" applyFill="0" applyBorder="0" applyAlignment="0" applyProtection="0">
      <alignment vertical="center"/>
    </xf>
    <xf numFmtId="0" fontId="38" fillId="10" borderId="0" applyNumberFormat="0" applyBorder="0" applyAlignment="0" applyProtection="0">
      <alignment vertical="center"/>
    </xf>
    <xf numFmtId="0" fontId="1" fillId="0" borderId="0"/>
    <xf numFmtId="0" fontId="38" fillId="10" borderId="0" applyNumberFormat="0" applyBorder="0" applyAlignment="0" applyProtection="0">
      <alignment vertical="center"/>
    </xf>
    <xf numFmtId="0" fontId="1" fillId="0" borderId="0"/>
    <xf numFmtId="0" fontId="38" fillId="10" borderId="0" applyNumberFormat="0" applyBorder="0" applyAlignment="0" applyProtection="0">
      <alignment vertical="center"/>
    </xf>
    <xf numFmtId="0" fontId="57" fillId="8" borderId="0" applyNumberFormat="0" applyBorder="0" applyAlignment="0" applyProtection="0">
      <alignment vertical="center"/>
    </xf>
    <xf numFmtId="0" fontId="38" fillId="8" borderId="0" applyNumberFormat="0" applyBorder="0" applyAlignment="0" applyProtection="0">
      <alignment vertical="center"/>
    </xf>
    <xf numFmtId="0" fontId="38" fillId="8" borderId="0" applyNumberFormat="0" applyBorder="0" applyAlignment="0" applyProtection="0">
      <alignment vertical="center"/>
    </xf>
    <xf numFmtId="0" fontId="38" fillId="8" borderId="0" applyNumberFormat="0" applyBorder="0" applyAlignment="0" applyProtection="0">
      <alignment vertical="center"/>
    </xf>
    <xf numFmtId="0" fontId="38" fillId="8" borderId="0" applyNumberFormat="0" applyBorder="0" applyAlignment="0" applyProtection="0">
      <alignment vertical="center"/>
    </xf>
    <xf numFmtId="0" fontId="38" fillId="8" borderId="0" applyNumberFormat="0" applyBorder="0" applyAlignment="0" applyProtection="0">
      <alignment vertical="center"/>
    </xf>
    <xf numFmtId="0" fontId="48" fillId="0" borderId="0" applyNumberFormat="0" applyFill="0" applyBorder="0" applyAlignment="0" applyProtection="0">
      <alignment vertical="center"/>
    </xf>
    <xf numFmtId="0" fontId="38" fillId="8" borderId="0" applyNumberFormat="0" applyBorder="0" applyAlignment="0" applyProtection="0">
      <alignment vertical="center"/>
    </xf>
    <xf numFmtId="0" fontId="38" fillId="8" borderId="0" applyNumberFormat="0" applyBorder="0" applyAlignment="0" applyProtection="0">
      <alignment vertical="center"/>
    </xf>
    <xf numFmtId="0" fontId="57" fillId="5" borderId="0" applyNumberFormat="0" applyBorder="0" applyAlignment="0" applyProtection="0">
      <alignment vertical="center"/>
    </xf>
    <xf numFmtId="0" fontId="38" fillId="5" borderId="0" applyNumberFormat="0" applyBorder="0" applyAlignment="0" applyProtection="0">
      <alignment vertical="center"/>
    </xf>
    <xf numFmtId="0" fontId="38" fillId="5" borderId="0" applyNumberFormat="0" applyBorder="0" applyAlignment="0" applyProtection="0">
      <alignment vertical="center"/>
    </xf>
    <xf numFmtId="0" fontId="38" fillId="5" borderId="0" applyNumberFormat="0" applyBorder="0" applyAlignment="0" applyProtection="0">
      <alignment vertical="center"/>
    </xf>
    <xf numFmtId="0" fontId="38" fillId="5" borderId="0" applyNumberFormat="0" applyBorder="0" applyAlignment="0" applyProtection="0">
      <alignment vertical="center"/>
    </xf>
    <xf numFmtId="0" fontId="38" fillId="5" borderId="0" applyNumberFormat="0" applyBorder="0" applyAlignment="0" applyProtection="0">
      <alignment vertical="center"/>
    </xf>
    <xf numFmtId="0" fontId="38" fillId="5" borderId="0" applyNumberFormat="0" applyBorder="0" applyAlignment="0" applyProtection="0">
      <alignment vertical="center"/>
    </xf>
    <xf numFmtId="0" fontId="57" fillId="18" borderId="0" applyNumberFormat="0" applyBorder="0" applyAlignment="0" applyProtection="0">
      <alignment vertical="center"/>
    </xf>
    <xf numFmtId="0" fontId="38" fillId="18" borderId="0" applyNumberFormat="0" applyBorder="0" applyAlignment="0" applyProtection="0">
      <alignment vertical="center"/>
    </xf>
    <xf numFmtId="0" fontId="40" fillId="19" borderId="0" applyNumberFormat="0" applyBorder="0" applyAlignment="0" applyProtection="0">
      <alignment vertical="center"/>
    </xf>
    <xf numFmtId="0" fontId="1" fillId="0" borderId="0">
      <alignment vertical="center"/>
    </xf>
    <xf numFmtId="0" fontId="1" fillId="0" borderId="0">
      <alignment vertical="center"/>
    </xf>
    <xf numFmtId="0" fontId="38" fillId="18" borderId="0" applyNumberFormat="0" applyBorder="0" applyAlignment="0" applyProtection="0">
      <alignment vertical="center"/>
    </xf>
    <xf numFmtId="0" fontId="38" fillId="18" borderId="0" applyNumberFormat="0" applyBorder="0" applyAlignment="0" applyProtection="0">
      <alignment vertical="center"/>
    </xf>
    <xf numFmtId="0" fontId="38" fillId="18" borderId="0" applyNumberFormat="0" applyBorder="0" applyAlignment="0" applyProtection="0">
      <alignment vertical="center"/>
    </xf>
    <xf numFmtId="0" fontId="38" fillId="18" borderId="0" applyNumberFormat="0" applyBorder="0" applyAlignment="0" applyProtection="0">
      <alignment vertical="center"/>
    </xf>
    <xf numFmtId="0" fontId="57" fillId="23" borderId="0" applyNumberFormat="0" applyBorder="0" applyAlignment="0" applyProtection="0">
      <alignment vertical="center"/>
    </xf>
    <xf numFmtId="0" fontId="47" fillId="0" borderId="3" applyNumberFormat="0" applyFill="0" applyAlignment="0" applyProtection="0">
      <alignment vertical="center"/>
    </xf>
    <xf numFmtId="0" fontId="38" fillId="23" borderId="0" applyNumberFormat="0" applyBorder="0" applyAlignment="0" applyProtection="0">
      <alignment vertical="center"/>
    </xf>
    <xf numFmtId="0" fontId="38" fillId="23" borderId="0" applyNumberFormat="0" applyBorder="0" applyAlignment="0" applyProtection="0">
      <alignment vertical="center"/>
    </xf>
    <xf numFmtId="0" fontId="44" fillId="0" borderId="1" applyNumberFormat="0" applyFill="0" applyAlignment="0" applyProtection="0">
      <alignment vertical="center"/>
    </xf>
    <xf numFmtId="0" fontId="38" fillId="23" borderId="0" applyNumberFormat="0" applyBorder="0" applyAlignment="0" applyProtection="0">
      <alignment vertical="center"/>
    </xf>
    <xf numFmtId="0" fontId="38" fillId="23" borderId="0" applyNumberFormat="0" applyBorder="0" applyAlignment="0" applyProtection="0">
      <alignment vertical="center"/>
    </xf>
    <xf numFmtId="0" fontId="38" fillId="23" borderId="0" applyNumberFormat="0" applyBorder="0" applyAlignment="0" applyProtection="0">
      <alignment vertical="center"/>
    </xf>
    <xf numFmtId="177" fontId="90" fillId="0" borderId="0" applyFont="0" applyFill="0" applyBorder="0" applyAlignment="0" applyProtection="0">
      <alignment vertical="center"/>
    </xf>
    <xf numFmtId="0" fontId="44" fillId="0" borderId="0" applyNumberFormat="0" applyFill="0" applyBorder="0" applyAlignment="0" applyProtection="0">
      <alignment vertical="center"/>
    </xf>
    <xf numFmtId="0" fontId="38" fillId="23" borderId="0" applyNumberFormat="0" applyBorder="0" applyAlignment="0" applyProtection="0">
      <alignment vertical="center"/>
    </xf>
    <xf numFmtId="177" fontId="90" fillId="0" borderId="0" applyFont="0" applyFill="0" applyBorder="0" applyAlignment="0" applyProtection="0">
      <alignment vertical="center"/>
    </xf>
    <xf numFmtId="0" fontId="44" fillId="0" borderId="0" applyNumberFormat="0" applyFill="0" applyBorder="0" applyAlignment="0" applyProtection="0">
      <alignment vertical="center"/>
    </xf>
    <xf numFmtId="0" fontId="38" fillId="23" borderId="0" applyNumberFormat="0" applyBorder="0" applyAlignment="0" applyProtection="0">
      <alignment vertical="center"/>
    </xf>
    <xf numFmtId="0" fontId="38" fillId="23" borderId="0" applyNumberFormat="0" applyBorder="0" applyAlignment="0" applyProtection="0">
      <alignment vertical="center"/>
    </xf>
    <xf numFmtId="0" fontId="38" fillId="23" borderId="0" applyNumberFormat="0" applyBorder="0" applyAlignment="0" applyProtection="0">
      <alignment vertical="center"/>
    </xf>
    <xf numFmtId="0" fontId="1" fillId="0" borderId="0">
      <alignment vertical="center"/>
    </xf>
    <xf numFmtId="0" fontId="1" fillId="0" borderId="0">
      <alignment vertical="center"/>
    </xf>
    <xf numFmtId="0" fontId="38" fillId="23" borderId="0" applyNumberFormat="0" applyBorder="0" applyAlignment="0" applyProtection="0">
      <alignment vertical="center"/>
    </xf>
    <xf numFmtId="0" fontId="1" fillId="0" borderId="0">
      <alignment vertical="center"/>
    </xf>
    <xf numFmtId="0" fontId="38" fillId="23" borderId="0" applyNumberFormat="0" applyBorder="0" applyAlignment="0" applyProtection="0">
      <alignment vertical="center"/>
    </xf>
    <xf numFmtId="0" fontId="38" fillId="23" borderId="0" applyNumberFormat="0" applyBorder="0" applyAlignment="0" applyProtection="0">
      <alignment vertical="center"/>
    </xf>
    <xf numFmtId="0" fontId="38" fillId="23" borderId="0" applyNumberFormat="0" applyBorder="0" applyAlignment="0" applyProtection="0">
      <alignment vertical="center"/>
    </xf>
    <xf numFmtId="0" fontId="57" fillId="17" borderId="0" applyNumberFormat="0" applyBorder="0" applyAlignment="0" applyProtection="0">
      <alignment vertical="center"/>
    </xf>
    <xf numFmtId="0" fontId="47" fillId="0" borderId="3" applyNumberFormat="0" applyFill="0" applyAlignment="0" applyProtection="0">
      <alignment vertical="center"/>
    </xf>
    <xf numFmtId="0" fontId="38" fillId="17" borderId="0" applyNumberFormat="0" applyBorder="0" applyAlignment="0" applyProtection="0">
      <alignment vertical="center"/>
    </xf>
    <xf numFmtId="0" fontId="38" fillId="17" borderId="0" applyNumberFormat="0" applyBorder="0" applyAlignment="0" applyProtection="0">
      <alignment vertical="center"/>
    </xf>
    <xf numFmtId="177" fontId="90" fillId="0" borderId="0" applyFont="0" applyFill="0" applyBorder="0" applyAlignment="0" applyProtection="0">
      <alignment vertical="center"/>
    </xf>
    <xf numFmtId="0" fontId="44" fillId="0" borderId="0" applyNumberFormat="0" applyFill="0" applyBorder="0" applyAlignment="0" applyProtection="0">
      <alignment vertical="center"/>
    </xf>
    <xf numFmtId="0" fontId="38" fillId="17" borderId="0" applyNumberFormat="0" applyBorder="0" applyAlignment="0" applyProtection="0">
      <alignment vertical="center"/>
    </xf>
    <xf numFmtId="0" fontId="38" fillId="17" borderId="0" applyNumberFormat="0" applyBorder="0" applyAlignment="0" applyProtection="0">
      <alignment vertical="center"/>
    </xf>
    <xf numFmtId="0" fontId="38" fillId="17" borderId="0" applyNumberFormat="0" applyBorder="0" applyAlignment="0" applyProtection="0">
      <alignment vertical="center"/>
    </xf>
    <xf numFmtId="0" fontId="38" fillId="17" borderId="0" applyNumberFormat="0" applyBorder="0" applyAlignment="0" applyProtection="0">
      <alignment vertical="center"/>
    </xf>
    <xf numFmtId="0" fontId="57" fillId="23" borderId="0" applyNumberFormat="0" applyBorder="0" applyAlignment="0" applyProtection="0">
      <alignment vertical="center"/>
    </xf>
    <xf numFmtId="0" fontId="38" fillId="17" borderId="0" applyNumberFormat="0" applyBorder="0" applyAlignment="0" applyProtection="0">
      <alignment vertical="center"/>
    </xf>
    <xf numFmtId="0" fontId="57" fillId="14" borderId="0" applyNumberFormat="0" applyBorder="0" applyAlignment="0" applyProtection="0">
      <alignment vertical="center"/>
    </xf>
    <xf numFmtId="0" fontId="38" fillId="17" borderId="0" applyNumberFormat="0" applyBorder="0" applyAlignment="0" applyProtection="0">
      <alignment vertical="center"/>
    </xf>
    <xf numFmtId="0" fontId="38" fillId="14" borderId="0" applyNumberFormat="0" applyBorder="0" applyAlignment="0" applyProtection="0">
      <alignment vertical="center"/>
    </xf>
    <xf numFmtId="0" fontId="54" fillId="18" borderId="0" applyNumberFormat="0" applyBorder="0" applyAlignment="0" applyProtection="0"/>
    <xf numFmtId="0" fontId="1" fillId="0" borderId="0">
      <alignment vertical="center"/>
    </xf>
    <xf numFmtId="0" fontId="54" fillId="23" borderId="0" applyNumberFormat="0" applyBorder="0" applyAlignment="0" applyProtection="0"/>
    <xf numFmtId="0" fontId="54" fillId="14" borderId="0" applyNumberFormat="0" applyBorder="0" applyAlignment="0" applyProtection="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9" fillId="7" borderId="0" applyNumberFormat="0" applyBorder="0" applyAlignment="0" applyProtection="0"/>
    <xf numFmtId="0" fontId="68" fillId="16" borderId="10" applyNumberFormat="0" applyAlignment="0" applyProtection="0"/>
    <xf numFmtId="3" fontId="1" fillId="0" borderId="2"/>
    <xf numFmtId="3" fontId="1" fillId="0" borderId="2"/>
    <xf numFmtId="0" fontId="38" fillId="14" borderId="0" applyNumberFormat="0" applyBorder="0" applyAlignment="0" applyProtection="0">
      <alignment vertical="center"/>
    </xf>
    <xf numFmtId="0" fontId="1" fillId="0" borderId="0">
      <alignment vertical="center"/>
    </xf>
    <xf numFmtId="3" fontId="1" fillId="0" borderId="2"/>
    <xf numFmtId="3" fontId="1" fillId="0" borderId="2"/>
    <xf numFmtId="3" fontId="1" fillId="0" borderId="2"/>
    <xf numFmtId="0" fontId="62" fillId="0" borderId="0" applyNumberFormat="0" applyFill="0" applyBorder="0" applyAlignment="0" applyProtection="0"/>
    <xf numFmtId="0" fontId="64" fillId="2" borderId="0" applyNumberFormat="0" applyBorder="0" applyAlignment="0" applyProtection="0"/>
    <xf numFmtId="0" fontId="90" fillId="0" borderId="0"/>
    <xf numFmtId="0" fontId="1" fillId="0" borderId="0">
      <alignment vertical="center"/>
    </xf>
    <xf numFmtId="0" fontId="1" fillId="0" borderId="0">
      <alignment vertical="center"/>
    </xf>
    <xf numFmtId="0" fontId="65" fillId="0" borderId="3" applyNumberFormat="0" applyFill="0" applyAlignment="0" applyProtection="0"/>
    <xf numFmtId="0" fontId="66" fillId="11" borderId="10" applyNumberFormat="0" applyAlignment="0" applyProtection="0"/>
    <xf numFmtId="178" fontId="67" fillId="0" borderId="0"/>
    <xf numFmtId="0" fontId="1" fillId="0" borderId="0">
      <alignment vertical="center"/>
    </xf>
    <xf numFmtId="0" fontId="90" fillId="13" borderId="4" applyNumberFormat="0" applyFont="0" applyAlignment="0" applyProtection="0"/>
    <xf numFmtId="9" fontId="90" fillId="0" borderId="0" applyFont="0" applyFill="0" applyBorder="0" applyAlignment="0" applyProtection="0">
      <alignment vertical="center"/>
    </xf>
    <xf numFmtId="0" fontId="48" fillId="0" borderId="0" applyNumberFormat="0" applyFill="0" applyBorder="0" applyAlignment="0" applyProtection="0">
      <alignment vertical="center"/>
    </xf>
    <xf numFmtId="0" fontId="1" fillId="0" borderId="0">
      <alignment vertical="center"/>
    </xf>
    <xf numFmtId="0" fontId="90" fillId="13" borderId="4" applyNumberFormat="0" applyFont="0" applyAlignment="0" applyProtection="0"/>
    <xf numFmtId="9" fontId="90" fillId="0" borderId="0" applyFont="0" applyFill="0" applyBorder="0" applyAlignment="0" applyProtection="0">
      <alignment vertical="center"/>
    </xf>
    <xf numFmtId="0" fontId="48" fillId="0" borderId="0" applyNumberFormat="0" applyFill="0" applyBorder="0" applyAlignment="0" applyProtection="0">
      <alignment vertical="center"/>
    </xf>
    <xf numFmtId="0" fontId="1" fillId="0" borderId="0">
      <alignment vertical="center"/>
    </xf>
    <xf numFmtId="0" fontId="90" fillId="13" borderId="4" applyNumberFormat="0" applyFont="0" applyAlignment="0" applyProtection="0"/>
    <xf numFmtId="0" fontId="48" fillId="0" borderId="0" applyNumberFormat="0" applyFill="0" applyBorder="0" applyAlignment="0" applyProtection="0">
      <alignment vertical="center"/>
    </xf>
    <xf numFmtId="0" fontId="90" fillId="13" borderId="4" applyNumberFormat="0" applyFont="0" applyAlignment="0" applyProtection="0"/>
    <xf numFmtId="0" fontId="48" fillId="0" borderId="0" applyNumberFormat="0" applyFill="0" applyBorder="0" applyAlignment="0" applyProtection="0">
      <alignment vertical="center"/>
    </xf>
    <xf numFmtId="0" fontId="1" fillId="0" borderId="0">
      <alignment vertical="center"/>
    </xf>
    <xf numFmtId="0" fontId="90" fillId="13" borderId="4" applyNumberFormat="0" applyFont="0" applyAlignment="0" applyProtection="0"/>
    <xf numFmtId="0" fontId="1" fillId="0" borderId="0">
      <alignment vertical="center"/>
    </xf>
    <xf numFmtId="0" fontId="1" fillId="0" borderId="0">
      <alignment vertical="center"/>
    </xf>
    <xf numFmtId="0" fontId="1" fillId="0" borderId="0">
      <alignment vertical="center"/>
    </xf>
    <xf numFmtId="0" fontId="90" fillId="13" borderId="4" applyNumberFormat="0" applyFont="0" applyAlignment="0" applyProtection="0"/>
    <xf numFmtId="0" fontId="1" fillId="0" borderId="0">
      <alignment vertical="center"/>
    </xf>
    <xf numFmtId="0" fontId="1" fillId="0" borderId="0">
      <alignment vertical="center"/>
    </xf>
    <xf numFmtId="0" fontId="63" fillId="16" borderId="7" applyNumberFormat="0" applyAlignment="0" applyProtection="0"/>
    <xf numFmtId="9" fontId="90" fillId="0" borderId="0" applyFont="0" applyFill="0" applyBorder="0" applyAlignment="0" applyProtection="0">
      <alignment vertical="center"/>
    </xf>
    <xf numFmtId="0" fontId="1" fillId="0" borderId="0">
      <alignment vertical="center"/>
    </xf>
    <xf numFmtId="9" fontId="90" fillId="0" borderId="0" applyFont="0" applyFill="0" applyBorder="0" applyAlignment="0" applyProtection="0">
      <alignment vertical="center"/>
    </xf>
    <xf numFmtId="9" fontId="90" fillId="0" borderId="0" applyFont="0" applyFill="0" applyBorder="0" applyAlignment="0" applyProtection="0">
      <alignment vertical="center"/>
    </xf>
    <xf numFmtId="0" fontId="52" fillId="7" borderId="0" applyNumberFormat="0" applyBorder="0" applyAlignment="0" applyProtection="0">
      <alignment vertical="center"/>
    </xf>
    <xf numFmtId="9" fontId="90" fillId="0" borderId="0" applyFont="0" applyFill="0" applyBorder="0" applyAlignment="0" applyProtection="0">
      <alignment vertical="center"/>
    </xf>
    <xf numFmtId="0" fontId="52" fillId="7" borderId="0" applyNumberFormat="0" applyBorder="0" applyAlignment="0" applyProtection="0">
      <alignment vertical="center"/>
    </xf>
    <xf numFmtId="9" fontId="90" fillId="0" borderId="0" applyFont="0" applyFill="0" applyBorder="0" applyAlignment="0" applyProtection="0">
      <alignment vertical="center"/>
    </xf>
    <xf numFmtId="0" fontId="70" fillId="0" borderId="3" applyNumberFormat="0" applyFill="0" applyAlignment="0" applyProtection="0">
      <alignment vertical="center"/>
    </xf>
    <xf numFmtId="9" fontId="90" fillId="0" borderId="0" applyFont="0" applyFill="0" applyBorder="0" applyAlignment="0" applyProtection="0">
      <alignment vertical="center"/>
    </xf>
    <xf numFmtId="0" fontId="71" fillId="0" borderId="5" applyNumberFormat="0" applyFill="0" applyAlignment="0" applyProtection="0">
      <alignment vertical="center"/>
    </xf>
    <xf numFmtId="9" fontId="90" fillId="0" borderId="0" applyFont="0" applyFill="0" applyBorder="0" applyAlignment="0" applyProtection="0">
      <alignment vertical="center"/>
    </xf>
    <xf numFmtId="0" fontId="72" fillId="0" borderId="1" applyNumberFormat="0" applyFill="0" applyAlignment="0" applyProtection="0">
      <alignment vertical="center"/>
    </xf>
    <xf numFmtId="9" fontId="90" fillId="0" borderId="0" applyFont="0" applyFill="0" applyBorder="0" applyAlignment="0" applyProtection="0">
      <alignment vertical="center"/>
    </xf>
    <xf numFmtId="0" fontId="72" fillId="0" borderId="0" applyNumberFormat="0" applyFill="0" applyBorder="0" applyAlignment="0" applyProtection="0">
      <alignment vertical="center"/>
    </xf>
    <xf numFmtId="9" fontId="90" fillId="0" borderId="0" applyFont="0" applyFill="0" applyBorder="0" applyAlignment="0" applyProtection="0">
      <alignment vertical="center"/>
    </xf>
    <xf numFmtId="0" fontId="47" fillId="0" borderId="3" applyNumberFormat="0" applyFill="0" applyAlignment="0" applyProtection="0">
      <alignment vertical="center"/>
    </xf>
    <xf numFmtId="0" fontId="1" fillId="0" borderId="0">
      <alignment vertical="center"/>
    </xf>
    <xf numFmtId="0" fontId="47" fillId="0" borderId="3" applyNumberFormat="0" applyFill="0" applyAlignment="0" applyProtection="0">
      <alignment vertical="center"/>
    </xf>
    <xf numFmtId="0" fontId="47" fillId="0" borderId="3" applyNumberFormat="0" applyFill="0" applyAlignment="0" applyProtection="0">
      <alignment vertical="center"/>
    </xf>
    <xf numFmtId="0" fontId="47" fillId="0" borderId="3" applyNumberFormat="0" applyFill="0" applyAlignment="0" applyProtection="0">
      <alignment vertical="center"/>
    </xf>
    <xf numFmtId="0" fontId="47" fillId="0" borderId="3" applyNumberFormat="0" applyFill="0" applyAlignment="0" applyProtection="0">
      <alignment vertical="center"/>
    </xf>
    <xf numFmtId="0" fontId="47" fillId="0" borderId="3" applyNumberFormat="0" applyFill="0" applyAlignment="0" applyProtection="0">
      <alignment vertical="center"/>
    </xf>
    <xf numFmtId="0" fontId="47" fillId="0" borderId="3" applyNumberFormat="0" applyFill="0" applyAlignment="0" applyProtection="0">
      <alignment vertical="center"/>
    </xf>
    <xf numFmtId="0" fontId="73" fillId="0" borderId="0" applyNumberFormat="0" applyFill="0" applyBorder="0" applyAlignment="0" applyProtection="0">
      <alignment vertical="center"/>
    </xf>
    <xf numFmtId="0" fontId="47" fillId="0" borderId="3" applyNumberFormat="0" applyFill="0" applyAlignment="0" applyProtection="0">
      <alignment vertical="center"/>
    </xf>
    <xf numFmtId="0" fontId="45" fillId="0" borderId="5" applyNumberFormat="0" applyFill="0" applyAlignment="0" applyProtection="0">
      <alignment vertical="center"/>
    </xf>
    <xf numFmtId="0" fontId="1" fillId="0" borderId="0">
      <alignment vertical="center"/>
    </xf>
    <xf numFmtId="0" fontId="1" fillId="0" borderId="0">
      <alignment vertical="center"/>
    </xf>
    <xf numFmtId="0" fontId="45" fillId="0" borderId="5" applyNumberFormat="0" applyFill="0" applyAlignment="0" applyProtection="0">
      <alignment vertical="center"/>
    </xf>
    <xf numFmtId="0" fontId="1" fillId="0" borderId="0">
      <alignment vertical="center"/>
    </xf>
    <xf numFmtId="0" fontId="1" fillId="0" borderId="0">
      <alignment vertical="center"/>
    </xf>
    <xf numFmtId="0" fontId="45" fillId="0" borderId="5" applyNumberFormat="0" applyFill="0" applyAlignment="0" applyProtection="0">
      <alignment vertical="center"/>
    </xf>
    <xf numFmtId="0" fontId="45" fillId="0" borderId="5" applyNumberFormat="0" applyFill="0" applyAlignment="0" applyProtection="0">
      <alignment vertical="center"/>
    </xf>
    <xf numFmtId="0" fontId="45" fillId="0" borderId="5" applyNumberFormat="0" applyFill="0" applyAlignment="0" applyProtection="0">
      <alignment vertical="center"/>
    </xf>
    <xf numFmtId="0" fontId="45" fillId="0" borderId="5" applyNumberFormat="0" applyFill="0" applyAlignment="0" applyProtection="0">
      <alignment vertical="center"/>
    </xf>
    <xf numFmtId="0" fontId="45" fillId="0" borderId="5" applyNumberFormat="0" applyFill="0" applyAlignment="0" applyProtection="0">
      <alignment vertical="center"/>
    </xf>
    <xf numFmtId="0" fontId="45" fillId="0" borderId="5" applyNumberFormat="0" applyFill="0" applyAlignment="0" applyProtection="0">
      <alignment vertical="center"/>
    </xf>
    <xf numFmtId="0" fontId="45" fillId="0" borderId="5" applyNumberFormat="0" applyFill="0" applyAlignment="0" applyProtection="0">
      <alignment vertical="center"/>
    </xf>
    <xf numFmtId="0" fontId="45" fillId="0" borderId="5" applyNumberFormat="0" applyFill="0" applyAlignment="0" applyProtection="0">
      <alignment vertical="center"/>
    </xf>
    <xf numFmtId="0" fontId="44" fillId="0" borderId="1" applyNumberFormat="0" applyFill="0" applyAlignment="0" applyProtection="0">
      <alignment vertical="center"/>
    </xf>
    <xf numFmtId="0" fontId="44" fillId="0" borderId="1" applyNumberFormat="0" applyFill="0" applyAlignment="0" applyProtection="0">
      <alignment vertical="center"/>
    </xf>
    <xf numFmtId="0" fontId="43" fillId="2" borderId="0" applyNumberFormat="0" applyBorder="0" applyAlignment="0" applyProtection="0">
      <alignment vertical="center"/>
    </xf>
    <xf numFmtId="0" fontId="44" fillId="0" borderId="1" applyNumberFormat="0" applyFill="0" applyAlignment="0" applyProtection="0">
      <alignment vertical="center"/>
    </xf>
    <xf numFmtId="0" fontId="44" fillId="0" borderId="1" applyNumberFormat="0" applyFill="0" applyAlignment="0" applyProtection="0">
      <alignment vertical="center"/>
    </xf>
    <xf numFmtId="0" fontId="44" fillId="0" borderId="1" applyNumberFormat="0" applyFill="0" applyAlignment="0" applyProtection="0">
      <alignment vertical="center"/>
    </xf>
    <xf numFmtId="0" fontId="44" fillId="0" borderId="1" applyNumberFormat="0" applyFill="0" applyAlignment="0" applyProtection="0">
      <alignment vertical="center"/>
    </xf>
    <xf numFmtId="0" fontId="44" fillId="0" borderId="1" applyNumberFormat="0" applyFill="0" applyAlignment="0" applyProtection="0">
      <alignment vertical="center"/>
    </xf>
    <xf numFmtId="0" fontId="44" fillId="0" borderId="1" applyNumberFormat="0" applyFill="0" applyAlignment="0" applyProtection="0">
      <alignment vertical="center"/>
    </xf>
    <xf numFmtId="0" fontId="44" fillId="0" borderId="1" applyNumberFormat="0" applyFill="0" applyAlignment="0" applyProtection="0">
      <alignment vertical="center"/>
    </xf>
    <xf numFmtId="0" fontId="44" fillId="0" borderId="1" applyNumberFormat="0" applyFill="0" applyAlignment="0" applyProtection="0">
      <alignment vertical="center"/>
    </xf>
    <xf numFmtId="0" fontId="44" fillId="0" borderId="0" applyNumberFormat="0" applyFill="0" applyBorder="0" applyAlignment="0" applyProtection="0">
      <alignment vertical="center"/>
    </xf>
    <xf numFmtId="177" fontId="90" fillId="0" borderId="0" applyFont="0" applyFill="0" applyBorder="0" applyAlignment="0" applyProtection="0">
      <alignment vertical="center"/>
    </xf>
    <xf numFmtId="0" fontId="44" fillId="0" borderId="0" applyNumberFormat="0" applyFill="0" applyBorder="0" applyAlignment="0" applyProtection="0">
      <alignment vertical="center"/>
    </xf>
    <xf numFmtId="177" fontId="90" fillId="0" borderId="0" applyFon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1" fillId="0" borderId="0">
      <alignment vertical="center"/>
    </xf>
    <xf numFmtId="0" fontId="48" fillId="0" borderId="0" applyNumberFormat="0" applyFill="0" applyBorder="0" applyAlignment="0" applyProtection="0">
      <alignment vertical="center"/>
    </xf>
    <xf numFmtId="0" fontId="1" fillId="0" borderId="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90" fillId="0" borderId="0"/>
    <xf numFmtId="0" fontId="48" fillId="0" borderId="0" applyNumberFormat="0" applyFill="0" applyBorder="0" applyAlignment="0" applyProtection="0">
      <alignment vertical="center"/>
    </xf>
    <xf numFmtId="0" fontId="90" fillId="0" borderId="0">
      <alignment vertical="center"/>
    </xf>
    <xf numFmtId="0" fontId="90" fillId="0" borderId="0"/>
    <xf numFmtId="0" fontId="48" fillId="0" borderId="0" applyNumberFormat="0" applyFill="0" applyBorder="0" applyAlignment="0" applyProtection="0">
      <alignment vertical="center"/>
    </xf>
    <xf numFmtId="0" fontId="90" fillId="0" borderId="0">
      <alignment vertical="center"/>
    </xf>
    <xf numFmtId="0" fontId="74" fillId="11" borderId="10" applyNumberFormat="0" applyAlignment="0" applyProtection="0">
      <alignment vertical="center"/>
    </xf>
    <xf numFmtId="0" fontId="52" fillId="7" borderId="0" applyNumberFormat="0" applyBorder="0" applyAlignment="0" applyProtection="0">
      <alignment vertical="center"/>
    </xf>
    <xf numFmtId="0" fontId="55" fillId="0" borderId="0" applyNumberFormat="0" applyFill="0" applyBorder="0" applyAlignment="0" applyProtection="0">
      <alignment vertical="center"/>
    </xf>
    <xf numFmtId="0" fontId="52" fillId="7" borderId="0" applyNumberFormat="0" applyBorder="0" applyAlignment="0" applyProtection="0">
      <alignment vertical="center"/>
    </xf>
    <xf numFmtId="0" fontId="55" fillId="0" borderId="0" applyNumberFormat="0" applyFill="0" applyBorder="0" applyAlignment="0" applyProtection="0">
      <alignment vertical="center"/>
    </xf>
    <xf numFmtId="0" fontId="52" fillId="7" borderId="0" applyNumberFormat="0" applyBorder="0" applyAlignment="0" applyProtection="0">
      <alignment vertical="center"/>
    </xf>
    <xf numFmtId="0" fontId="1" fillId="0" borderId="0">
      <alignment vertical="center"/>
    </xf>
    <xf numFmtId="0" fontId="52" fillId="7" borderId="0" applyNumberFormat="0" applyBorder="0" applyAlignment="0" applyProtection="0">
      <alignment vertical="center"/>
    </xf>
    <xf numFmtId="0" fontId="52" fillId="7" borderId="0" applyNumberFormat="0" applyBorder="0" applyAlignment="0" applyProtection="0">
      <alignment vertical="center"/>
    </xf>
    <xf numFmtId="0" fontId="52" fillId="7" borderId="0" applyNumberFormat="0" applyBorder="0" applyAlignment="0" applyProtection="0">
      <alignment vertical="center"/>
    </xf>
    <xf numFmtId="0" fontId="52" fillId="7" borderId="0" applyNumberFormat="0" applyBorder="0" applyAlignment="0" applyProtection="0">
      <alignment vertical="center"/>
    </xf>
    <xf numFmtId="0" fontId="52" fillId="7" borderId="0" applyNumberFormat="0" applyBorder="0" applyAlignment="0" applyProtection="0">
      <alignment vertical="center"/>
    </xf>
    <xf numFmtId="0" fontId="52" fillId="7"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3" fillId="2" borderId="0" applyNumberFormat="0" applyBorder="0" applyAlignment="0" applyProtection="0">
      <alignment vertical="center"/>
    </xf>
    <xf numFmtId="0" fontId="1" fillId="0" borderId="0">
      <alignment vertical="center"/>
    </xf>
    <xf numFmtId="0" fontId="1" fillId="0" borderId="0">
      <alignment vertical="center"/>
    </xf>
    <xf numFmtId="0" fontId="58" fillId="0" borderId="0" applyNumberFormat="0" applyFill="0" applyBorder="0" applyAlignment="0" applyProtection="0">
      <alignment vertical="center"/>
    </xf>
    <xf numFmtId="0" fontId="1" fillId="0" borderId="0">
      <alignment vertical="center"/>
    </xf>
    <xf numFmtId="0" fontId="90" fillId="0" borderId="0"/>
    <xf numFmtId="0" fontId="90" fillId="0" borderId="0"/>
    <xf numFmtId="0" fontId="90" fillId="0" borderId="0"/>
    <xf numFmtId="0" fontId="90"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3" fillId="2"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0" fillId="13" borderId="4" applyNumberFormat="0" applyFont="0" applyAlignment="0" applyProtection="0">
      <alignment vertical="center"/>
    </xf>
    <xf numFmtId="0" fontId="1" fillId="0" borderId="0">
      <alignment vertical="center"/>
    </xf>
    <xf numFmtId="0" fontId="1" fillId="0" borderId="0">
      <alignment vertical="center"/>
    </xf>
    <xf numFmtId="0" fontId="1" fillId="0" borderId="0"/>
    <xf numFmtId="0" fontId="1" fillId="0" borderId="0">
      <alignment vertical="center"/>
    </xf>
    <xf numFmtId="0" fontId="1" fillId="0" borderId="0">
      <alignment vertical="center"/>
    </xf>
    <xf numFmtId="0" fontId="1" fillId="0" borderId="0"/>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0" fillId="19" borderId="0" applyNumberFormat="0" applyBorder="0" applyAlignment="0" applyProtection="0">
      <alignment vertical="center"/>
    </xf>
    <xf numFmtId="0" fontId="1" fillId="0" borderId="0">
      <alignment vertical="center"/>
    </xf>
    <xf numFmtId="0" fontId="1" fillId="0" borderId="0">
      <alignment vertical="center"/>
    </xf>
    <xf numFmtId="0" fontId="40" fillId="19"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alignment vertical="center"/>
    </xf>
    <xf numFmtId="0" fontId="1" fillId="0" borderId="0">
      <alignment vertical="center"/>
    </xf>
    <xf numFmtId="0" fontId="1" fillId="0" borderId="0"/>
    <xf numFmtId="0" fontId="1" fillId="0" borderId="0">
      <alignment vertical="center"/>
    </xf>
    <xf numFmtId="0" fontId="1" fillId="0" borderId="0">
      <alignment vertical="center"/>
    </xf>
    <xf numFmtId="0" fontId="90" fillId="13" borderId="4" applyNumberFormat="0" applyFon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0" fillId="19" borderId="0" applyNumberFormat="0" applyBorder="0" applyAlignment="0" applyProtection="0">
      <alignment vertical="center"/>
    </xf>
    <xf numFmtId="0" fontId="1" fillId="0" borderId="0">
      <alignment vertical="center"/>
    </xf>
    <xf numFmtId="0" fontId="1" fillId="0" borderId="0">
      <alignment vertical="center"/>
    </xf>
    <xf numFmtId="0" fontId="1" fillId="0" borderId="0"/>
    <xf numFmtId="0" fontId="1" fillId="0" borderId="0">
      <alignment vertical="center"/>
    </xf>
    <xf numFmtId="0" fontId="40" fillId="19"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0" fillId="0" borderId="0">
      <alignment vertical="center"/>
    </xf>
    <xf numFmtId="0" fontId="90" fillId="0" borderId="0">
      <alignment vertical="center"/>
    </xf>
    <xf numFmtId="0" fontId="38" fillId="22" borderId="0" applyNumberFormat="0" applyBorder="0" applyAlignment="0" applyProtection="0">
      <alignment vertical="center"/>
    </xf>
    <xf numFmtId="0" fontId="90" fillId="0" borderId="0">
      <alignment vertical="center"/>
    </xf>
    <xf numFmtId="0" fontId="90" fillId="0" borderId="0">
      <alignment vertical="center"/>
    </xf>
    <xf numFmtId="0" fontId="90" fillId="0" borderId="0">
      <alignment vertical="center"/>
    </xf>
    <xf numFmtId="0" fontId="38" fillId="22" borderId="0" applyNumberFormat="0" applyBorder="0" applyAlignment="0" applyProtection="0">
      <alignment vertical="center"/>
    </xf>
    <xf numFmtId="0" fontId="90" fillId="0" borderId="0">
      <alignment vertical="center"/>
    </xf>
    <xf numFmtId="0" fontId="38" fillId="22" borderId="0" applyNumberFormat="0" applyBorder="0" applyAlignment="0" applyProtection="0">
      <alignment vertical="center"/>
    </xf>
    <xf numFmtId="0" fontId="90" fillId="0" borderId="0">
      <alignment vertical="center"/>
    </xf>
    <xf numFmtId="0" fontId="38" fillId="22" borderId="0" applyNumberFormat="0" applyBorder="0" applyAlignment="0" applyProtection="0">
      <alignment vertical="center"/>
    </xf>
    <xf numFmtId="0" fontId="90" fillId="0" borderId="0">
      <alignment vertical="center"/>
    </xf>
    <xf numFmtId="0" fontId="38" fillId="22" borderId="0" applyNumberFormat="0" applyBorder="0" applyAlignment="0" applyProtection="0">
      <alignment vertical="center"/>
    </xf>
    <xf numFmtId="0" fontId="90" fillId="0" borderId="0">
      <alignment vertical="center"/>
    </xf>
    <xf numFmtId="0" fontId="90" fillId="0" borderId="0">
      <alignment vertical="center"/>
    </xf>
    <xf numFmtId="0" fontId="90" fillId="0" borderId="0">
      <alignment vertical="center"/>
    </xf>
    <xf numFmtId="0" fontId="90" fillId="0" borderId="0">
      <alignment vertical="center"/>
    </xf>
    <xf numFmtId="0" fontId="90" fillId="0" borderId="0">
      <alignment vertical="center"/>
    </xf>
    <xf numFmtId="0" fontId="1" fillId="0" borderId="0"/>
    <xf numFmtId="0" fontId="90" fillId="0" borderId="0">
      <alignment vertical="center"/>
    </xf>
    <xf numFmtId="0" fontId="90" fillId="0" borderId="0">
      <alignment vertical="center"/>
    </xf>
    <xf numFmtId="0" fontId="90" fillId="0" borderId="0">
      <alignment vertical="center"/>
    </xf>
    <xf numFmtId="0" fontId="90" fillId="0" borderId="0">
      <alignment vertical="center"/>
    </xf>
    <xf numFmtId="0" fontId="90" fillId="0" borderId="0">
      <alignment vertical="center"/>
    </xf>
    <xf numFmtId="0" fontId="90" fillId="0" borderId="0">
      <alignment vertical="center"/>
    </xf>
    <xf numFmtId="0" fontId="90" fillId="0" borderId="0">
      <alignment vertical="center"/>
    </xf>
    <xf numFmtId="0" fontId="90" fillId="0" borderId="0">
      <alignment vertical="center"/>
    </xf>
    <xf numFmtId="0" fontId="90" fillId="0" borderId="0">
      <alignment vertical="center"/>
    </xf>
    <xf numFmtId="0" fontId="90" fillId="0" borderId="0">
      <alignment vertical="center"/>
    </xf>
    <xf numFmtId="0" fontId="90" fillId="0" borderId="0">
      <alignment vertical="center"/>
    </xf>
    <xf numFmtId="0" fontId="90" fillId="0" borderId="0">
      <alignment vertical="center"/>
    </xf>
    <xf numFmtId="0" fontId="90" fillId="0" borderId="0">
      <alignment vertical="center"/>
    </xf>
    <xf numFmtId="0" fontId="90" fillId="0" borderId="0">
      <alignment vertical="center"/>
    </xf>
    <xf numFmtId="0" fontId="90" fillId="0" borderId="0">
      <alignment vertical="center"/>
    </xf>
    <xf numFmtId="0" fontId="90" fillId="0" borderId="0">
      <alignment vertical="center"/>
    </xf>
    <xf numFmtId="0" fontId="90" fillId="0" borderId="0">
      <alignment vertical="center"/>
    </xf>
    <xf numFmtId="0" fontId="90" fillId="0" borderId="0">
      <alignment vertical="center"/>
    </xf>
    <xf numFmtId="0" fontId="90" fillId="0" borderId="0">
      <alignment vertical="center"/>
    </xf>
    <xf numFmtId="0" fontId="90" fillId="0" borderId="0">
      <alignment vertical="center"/>
    </xf>
    <xf numFmtId="0" fontId="90" fillId="0" borderId="0">
      <alignment vertical="center"/>
    </xf>
    <xf numFmtId="0" fontId="90" fillId="0" borderId="0">
      <alignment vertical="center"/>
    </xf>
    <xf numFmtId="0" fontId="90" fillId="0" borderId="0">
      <alignment vertical="center"/>
    </xf>
    <xf numFmtId="0" fontId="90" fillId="0" borderId="0">
      <alignment vertical="center"/>
    </xf>
    <xf numFmtId="0" fontId="90" fillId="0" borderId="0">
      <alignment vertical="center"/>
    </xf>
    <xf numFmtId="0" fontId="90" fillId="0" borderId="0">
      <alignment vertical="center"/>
    </xf>
    <xf numFmtId="0" fontId="90" fillId="0" borderId="0">
      <alignment vertical="center"/>
    </xf>
    <xf numFmtId="0" fontId="90" fillId="0" borderId="0">
      <alignment vertical="center"/>
    </xf>
    <xf numFmtId="0" fontId="90" fillId="0" borderId="0">
      <alignment vertical="center"/>
    </xf>
    <xf numFmtId="0" fontId="90" fillId="0" borderId="0">
      <alignment vertical="center"/>
    </xf>
    <xf numFmtId="0" fontId="90" fillId="0" borderId="0">
      <alignment vertical="center"/>
    </xf>
    <xf numFmtId="0" fontId="90" fillId="0" borderId="0">
      <alignment vertical="center"/>
    </xf>
    <xf numFmtId="0" fontId="90" fillId="0" borderId="0">
      <alignment vertical="center"/>
    </xf>
    <xf numFmtId="0" fontId="74" fillId="11" borderId="10" applyNumberFormat="0" applyAlignment="0" applyProtection="0">
      <alignment vertical="center"/>
    </xf>
    <xf numFmtId="0" fontId="90" fillId="0" borderId="0">
      <alignment vertical="center"/>
    </xf>
    <xf numFmtId="0" fontId="74" fillId="11" borderId="10" applyNumberFormat="0" applyAlignment="0" applyProtection="0">
      <alignment vertical="center"/>
    </xf>
    <xf numFmtId="0" fontId="90" fillId="0" borderId="0">
      <alignment vertical="center"/>
    </xf>
    <xf numFmtId="0" fontId="74" fillId="11" borderId="10" applyNumberFormat="0" applyAlignment="0" applyProtection="0">
      <alignment vertical="center"/>
    </xf>
    <xf numFmtId="0" fontId="90" fillId="0" borderId="0">
      <alignment vertical="center"/>
    </xf>
    <xf numFmtId="0" fontId="1" fillId="0" borderId="0"/>
    <xf numFmtId="0" fontId="90"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0" fillId="0" borderId="0">
      <alignment vertical="center"/>
    </xf>
    <xf numFmtId="0" fontId="76" fillId="16" borderId="7"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5" fillId="16" borderId="10"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177" fontId="90"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0" fillId="0" borderId="0">
      <alignment vertical="center"/>
    </xf>
    <xf numFmtId="0" fontId="76" fillId="16" borderId="7" applyNumberFormat="0" applyAlignment="0" applyProtection="0">
      <alignment vertical="center"/>
    </xf>
    <xf numFmtId="0" fontId="90" fillId="0" borderId="0">
      <alignment vertical="center"/>
    </xf>
    <xf numFmtId="0" fontId="90" fillId="0" borderId="0">
      <alignment vertical="center"/>
    </xf>
    <xf numFmtId="0" fontId="90" fillId="0" borderId="0">
      <alignment vertical="center"/>
    </xf>
    <xf numFmtId="0" fontId="90" fillId="0" borderId="0">
      <alignment vertical="center"/>
    </xf>
    <xf numFmtId="0" fontId="90" fillId="0" borderId="0">
      <alignment vertical="center"/>
    </xf>
    <xf numFmtId="0" fontId="90" fillId="0" borderId="0">
      <alignment vertical="center"/>
    </xf>
    <xf numFmtId="0" fontId="90" fillId="0" borderId="0">
      <alignment vertical="center"/>
    </xf>
    <xf numFmtId="0" fontId="90" fillId="0" borderId="0">
      <alignment vertical="center"/>
    </xf>
    <xf numFmtId="0" fontId="90" fillId="0" borderId="0">
      <alignment vertical="center"/>
    </xf>
    <xf numFmtId="0" fontId="90" fillId="0" borderId="0">
      <alignment vertical="center"/>
    </xf>
    <xf numFmtId="0" fontId="90" fillId="0" borderId="0">
      <alignment vertical="center"/>
    </xf>
    <xf numFmtId="0" fontId="90" fillId="0" borderId="0">
      <alignment vertical="center"/>
    </xf>
    <xf numFmtId="0" fontId="90" fillId="0" borderId="0">
      <alignment vertical="center"/>
    </xf>
    <xf numFmtId="0" fontId="90" fillId="0" borderId="0">
      <alignment vertical="center"/>
    </xf>
    <xf numFmtId="0" fontId="90" fillId="0" borderId="0">
      <alignment vertical="center"/>
    </xf>
    <xf numFmtId="0" fontId="90" fillId="0" borderId="0">
      <alignment vertical="center"/>
    </xf>
    <xf numFmtId="0" fontId="90" fillId="0" borderId="0">
      <alignment vertical="center"/>
    </xf>
    <xf numFmtId="0" fontId="90" fillId="0" borderId="0">
      <alignment vertical="center"/>
    </xf>
    <xf numFmtId="0" fontId="9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alignment vertical="center"/>
    </xf>
    <xf numFmtId="0" fontId="1" fillId="0" borderId="0"/>
    <xf numFmtId="0" fontId="1" fillId="0" borderId="0">
      <alignment vertical="center"/>
    </xf>
    <xf numFmtId="0" fontId="1" fillId="0" borderId="0"/>
    <xf numFmtId="0" fontId="1" fillId="0" borderId="0">
      <alignment vertical="center"/>
    </xf>
    <xf numFmtId="0" fontId="1" fillId="0" borderId="0"/>
    <xf numFmtId="0" fontId="1" fillId="0" borderId="0">
      <alignment vertical="center"/>
    </xf>
    <xf numFmtId="0" fontId="1" fillId="0" borderId="0"/>
    <xf numFmtId="0" fontId="1" fillId="0" borderId="0">
      <alignment vertical="center"/>
    </xf>
    <xf numFmtId="0" fontId="1" fillId="0" borderId="0"/>
    <xf numFmtId="0" fontId="1" fillId="0" borderId="0">
      <alignment vertical="center"/>
    </xf>
    <xf numFmtId="0" fontId="1" fillId="0" borderId="0"/>
    <xf numFmtId="0" fontId="1" fillId="0" borderId="0">
      <alignment vertical="center"/>
    </xf>
    <xf numFmtId="0" fontId="1" fillId="0" borderId="0"/>
    <xf numFmtId="0" fontId="1" fillId="0" borderId="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3" fillId="2"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3" fillId="2"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7"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alignment vertical="center"/>
    </xf>
    <xf numFmtId="0" fontId="1" fillId="0" borderId="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90" fillId="13" borderId="4" applyNumberFormat="0" applyFon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alignment vertical="center"/>
    </xf>
    <xf numFmtId="0" fontId="1" fillId="0" borderId="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90" fillId="13" borderId="4" applyNumberFormat="0" applyFon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0" fillId="0" borderId="0">
      <alignment vertical="center"/>
    </xf>
    <xf numFmtId="0" fontId="1" fillId="0" borderId="0">
      <alignment vertical="center"/>
    </xf>
    <xf numFmtId="0" fontId="90" fillId="0" borderId="0">
      <alignment vertical="center"/>
    </xf>
    <xf numFmtId="0" fontId="1" fillId="0" borderId="0">
      <alignment vertical="center"/>
    </xf>
    <xf numFmtId="0" fontId="90" fillId="0" borderId="0">
      <alignment vertical="center"/>
    </xf>
    <xf numFmtId="0" fontId="1" fillId="0" borderId="0">
      <alignment vertical="center"/>
    </xf>
    <xf numFmtId="0" fontId="90" fillId="0" borderId="0">
      <alignment vertical="center"/>
    </xf>
    <xf numFmtId="0" fontId="1" fillId="0" borderId="0">
      <alignment vertical="center"/>
    </xf>
    <xf numFmtId="0" fontId="90" fillId="0" borderId="0">
      <alignment vertical="center"/>
    </xf>
    <xf numFmtId="0" fontId="1" fillId="0" borderId="0">
      <alignment vertical="center"/>
    </xf>
    <xf numFmtId="0" fontId="9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0" fillId="0" borderId="0">
      <alignment vertical="center"/>
    </xf>
    <xf numFmtId="0" fontId="1" fillId="0" borderId="0">
      <alignment vertical="center"/>
    </xf>
    <xf numFmtId="0" fontId="1" fillId="0" borderId="0">
      <alignment vertical="center"/>
    </xf>
    <xf numFmtId="0" fontId="1" fillId="0" borderId="0">
      <alignment vertical="center"/>
    </xf>
    <xf numFmtId="0" fontId="38" fillId="21" borderId="0" applyNumberFormat="0" applyBorder="0" applyAlignment="0" applyProtection="0">
      <alignment vertical="center"/>
    </xf>
    <xf numFmtId="0" fontId="1" fillId="0" borderId="0">
      <alignment vertical="center"/>
    </xf>
    <xf numFmtId="0" fontId="38" fillId="21" borderId="0" applyNumberFormat="0" applyBorder="0" applyAlignment="0" applyProtection="0">
      <alignment vertical="center"/>
    </xf>
    <xf numFmtId="0" fontId="1" fillId="0" borderId="0">
      <alignment vertical="center"/>
    </xf>
    <xf numFmtId="0" fontId="38" fillId="21" borderId="0" applyNumberFormat="0" applyBorder="0" applyAlignment="0" applyProtection="0">
      <alignment vertical="center"/>
    </xf>
    <xf numFmtId="0" fontId="1" fillId="0" borderId="0">
      <alignment vertical="center"/>
    </xf>
    <xf numFmtId="0" fontId="38" fillId="21" borderId="0" applyNumberFormat="0" applyBorder="0" applyAlignment="0" applyProtection="0">
      <alignment vertical="center"/>
    </xf>
    <xf numFmtId="0" fontId="1" fillId="0" borderId="0">
      <alignment vertical="center"/>
    </xf>
    <xf numFmtId="0" fontId="38" fillId="21" borderId="0" applyNumberFormat="0" applyBorder="0" applyAlignment="0" applyProtection="0">
      <alignment vertical="center"/>
    </xf>
    <xf numFmtId="0" fontId="1" fillId="0" borderId="0">
      <alignment vertical="center"/>
    </xf>
    <xf numFmtId="0" fontId="1" fillId="0" borderId="0">
      <alignment vertical="center"/>
    </xf>
    <xf numFmtId="0" fontId="9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0" fillId="0" borderId="0">
      <alignment vertical="center"/>
    </xf>
    <xf numFmtId="0" fontId="90" fillId="0" borderId="0">
      <alignment vertical="center"/>
    </xf>
    <xf numFmtId="0" fontId="90" fillId="0" borderId="0">
      <alignment vertical="center"/>
    </xf>
    <xf numFmtId="0" fontId="90" fillId="0" borderId="0">
      <alignment vertical="center"/>
    </xf>
    <xf numFmtId="0" fontId="90" fillId="0" borderId="0">
      <alignment vertical="center"/>
    </xf>
    <xf numFmtId="0" fontId="90" fillId="0" borderId="0">
      <alignment vertical="center"/>
    </xf>
    <xf numFmtId="0" fontId="38" fillId="21" borderId="0" applyNumberFormat="0" applyBorder="0" applyAlignment="0" applyProtection="0">
      <alignment vertical="center"/>
    </xf>
    <xf numFmtId="0" fontId="90" fillId="0" borderId="0">
      <alignment vertical="center"/>
    </xf>
    <xf numFmtId="0" fontId="38" fillId="21" borderId="0" applyNumberFormat="0" applyBorder="0" applyAlignment="0" applyProtection="0">
      <alignment vertical="center"/>
    </xf>
    <xf numFmtId="0" fontId="90" fillId="0" borderId="0">
      <alignment vertical="center"/>
    </xf>
    <xf numFmtId="0" fontId="90" fillId="0" borderId="0">
      <alignment vertical="center"/>
    </xf>
    <xf numFmtId="0" fontId="90" fillId="0" borderId="0">
      <alignment vertical="center"/>
    </xf>
    <xf numFmtId="0" fontId="90" fillId="0" borderId="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0" fillId="0" borderId="0">
      <alignment vertical="center"/>
    </xf>
    <xf numFmtId="0" fontId="90" fillId="0" borderId="0">
      <alignment vertical="center"/>
    </xf>
    <xf numFmtId="0" fontId="9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3" fillId="0" borderId="0" applyNumberFormat="0" applyFill="0" applyBorder="0" applyAlignment="0" applyProtection="0">
      <alignment vertical="top"/>
      <protection locked="0"/>
    </xf>
    <xf numFmtId="0" fontId="84" fillId="0" borderId="0" applyNumberFormat="0" applyFill="0" applyBorder="0" applyAlignment="0" applyProtection="0">
      <alignment vertical="top"/>
      <protection locked="0"/>
    </xf>
    <xf numFmtId="0" fontId="84" fillId="0" borderId="0" applyNumberFormat="0" applyFill="0" applyBorder="0" applyAlignment="0" applyProtection="0">
      <alignment vertical="top"/>
      <protection locked="0"/>
    </xf>
    <xf numFmtId="0" fontId="84" fillId="0" borderId="0" applyNumberFormat="0" applyFill="0" applyBorder="0" applyAlignment="0" applyProtection="0">
      <alignment vertical="top"/>
      <protection locked="0"/>
    </xf>
    <xf numFmtId="0" fontId="84" fillId="0" borderId="0" applyNumberFormat="0" applyFill="0" applyBorder="0" applyAlignment="0" applyProtection="0">
      <alignment vertical="top"/>
      <protection locked="0"/>
    </xf>
    <xf numFmtId="0" fontId="84" fillId="0" borderId="0" applyNumberFormat="0" applyFill="0" applyBorder="0" applyAlignment="0" applyProtection="0">
      <alignment vertical="top"/>
      <protection locked="0"/>
    </xf>
    <xf numFmtId="0" fontId="84" fillId="0" borderId="0" applyNumberFormat="0" applyFill="0" applyBorder="0" applyAlignment="0" applyProtection="0">
      <alignment vertical="top"/>
      <protection locked="0"/>
    </xf>
    <xf numFmtId="0" fontId="85" fillId="2" borderId="0" applyNumberFormat="0" applyBorder="0" applyAlignment="0" applyProtection="0">
      <alignment vertical="center"/>
    </xf>
    <xf numFmtId="0" fontId="43" fillId="2" borderId="0" applyNumberFormat="0" applyBorder="0" applyAlignment="0" applyProtection="0">
      <alignment vertical="center"/>
    </xf>
    <xf numFmtId="0" fontId="43" fillId="2" borderId="0" applyNumberFormat="0" applyBorder="0" applyAlignment="0" applyProtection="0">
      <alignment vertical="center"/>
    </xf>
    <xf numFmtId="0" fontId="43" fillId="2" borderId="0" applyNumberFormat="0" applyBorder="0" applyAlignment="0" applyProtection="0">
      <alignment vertical="center"/>
    </xf>
    <xf numFmtId="0" fontId="43" fillId="2" borderId="0" applyNumberFormat="0" applyBorder="0" applyAlignment="0" applyProtection="0">
      <alignment vertical="center"/>
    </xf>
    <xf numFmtId="0" fontId="7" fillId="0" borderId="8" applyNumberFormat="0" applyFill="0" applyAlignment="0" applyProtection="0">
      <alignment vertical="center"/>
    </xf>
    <xf numFmtId="0" fontId="78" fillId="0" borderId="8" applyNumberFormat="0" applyFill="0" applyAlignment="0" applyProtection="0">
      <alignment vertical="center"/>
    </xf>
    <xf numFmtId="0" fontId="78" fillId="0" borderId="8" applyNumberFormat="0" applyFill="0" applyAlignment="0" applyProtection="0">
      <alignment vertical="center"/>
    </xf>
    <xf numFmtId="0" fontId="78" fillId="0" borderId="8" applyNumberFormat="0" applyFill="0" applyAlignment="0" applyProtection="0">
      <alignment vertical="center"/>
    </xf>
    <xf numFmtId="0" fontId="78" fillId="0" borderId="8" applyNumberFormat="0" applyFill="0" applyAlignment="0" applyProtection="0">
      <alignment vertical="center"/>
    </xf>
    <xf numFmtId="0" fontId="78" fillId="0" borderId="8" applyNumberFormat="0" applyFill="0" applyAlignment="0" applyProtection="0">
      <alignment vertical="center"/>
    </xf>
    <xf numFmtId="0" fontId="78" fillId="0" borderId="8" applyNumberFormat="0" applyFill="0" applyAlignment="0" applyProtection="0">
      <alignment vertical="center"/>
    </xf>
    <xf numFmtId="0" fontId="78" fillId="0" borderId="8" applyNumberFormat="0" applyFill="0" applyAlignment="0" applyProtection="0">
      <alignment vertical="center"/>
    </xf>
    <xf numFmtId="0" fontId="78" fillId="0" borderId="8" applyNumberFormat="0" applyFill="0" applyAlignment="0" applyProtection="0">
      <alignment vertical="center"/>
    </xf>
    <xf numFmtId="0" fontId="78" fillId="0" borderId="8" applyNumberFormat="0" applyFill="0" applyAlignment="0" applyProtection="0">
      <alignment vertical="center"/>
    </xf>
    <xf numFmtId="0" fontId="78" fillId="0" borderId="8" applyNumberFormat="0" applyFill="0" applyAlignment="0" applyProtection="0">
      <alignment vertical="center"/>
    </xf>
    <xf numFmtId="0" fontId="78" fillId="0" borderId="8" applyNumberFormat="0" applyFill="0" applyAlignment="0" applyProtection="0">
      <alignment vertical="center"/>
    </xf>
    <xf numFmtId="0" fontId="78" fillId="0" borderId="8" applyNumberFormat="0" applyFill="0" applyAlignment="0" applyProtection="0">
      <alignment vertical="center"/>
    </xf>
    <xf numFmtId="0" fontId="78" fillId="0" borderId="8" applyNumberFormat="0" applyFill="0" applyAlignment="0" applyProtection="0">
      <alignment vertical="center"/>
    </xf>
    <xf numFmtId="0" fontId="79" fillId="16" borderId="10" applyNumberFormat="0" applyAlignment="0" applyProtection="0">
      <alignment vertical="center"/>
    </xf>
    <xf numFmtId="0" fontId="75" fillId="16" borderId="10" applyNumberFormat="0" applyAlignment="0" applyProtection="0">
      <alignment vertical="center"/>
    </xf>
    <xf numFmtId="0" fontId="75" fillId="16" borderId="10" applyNumberFormat="0" applyAlignment="0" applyProtection="0">
      <alignment vertical="center"/>
    </xf>
    <xf numFmtId="0" fontId="75" fillId="16" borderId="10" applyNumberFormat="0" applyAlignment="0" applyProtection="0">
      <alignment vertical="center"/>
    </xf>
    <xf numFmtId="0" fontId="75" fillId="16" borderId="10" applyNumberFormat="0" applyAlignment="0" applyProtection="0">
      <alignment vertical="center"/>
    </xf>
    <xf numFmtId="0" fontId="75" fillId="16" borderId="10" applyNumberFormat="0" applyAlignment="0" applyProtection="0">
      <alignment vertical="center"/>
    </xf>
    <xf numFmtId="0" fontId="75" fillId="16" borderId="10" applyNumberFormat="0" applyAlignment="0" applyProtection="0">
      <alignment vertical="center"/>
    </xf>
    <xf numFmtId="0" fontId="75" fillId="16" borderId="10" applyNumberFormat="0" applyAlignment="0" applyProtection="0">
      <alignment vertical="center"/>
    </xf>
    <xf numFmtId="0" fontId="75" fillId="16" borderId="10" applyNumberFormat="0" applyAlignment="0" applyProtection="0">
      <alignment vertical="center"/>
    </xf>
    <xf numFmtId="0" fontId="75" fillId="16" borderId="10" applyNumberFormat="0" applyAlignment="0" applyProtection="0">
      <alignment vertical="center"/>
    </xf>
    <xf numFmtId="0" fontId="75" fillId="16" borderId="10" applyNumberFormat="0" applyAlignment="0" applyProtection="0">
      <alignment vertical="center"/>
    </xf>
    <xf numFmtId="0" fontId="75" fillId="16" borderId="10" applyNumberFormat="0" applyAlignment="0" applyProtection="0">
      <alignment vertical="center"/>
    </xf>
    <xf numFmtId="0" fontId="75" fillId="16" borderId="10" applyNumberFormat="0" applyAlignment="0" applyProtection="0">
      <alignment vertical="center"/>
    </xf>
    <xf numFmtId="0" fontId="80" fillId="15" borderId="6" applyNumberFormat="0" applyAlignment="0" applyProtection="0">
      <alignment vertical="center"/>
    </xf>
    <xf numFmtId="0" fontId="80" fillId="15" borderId="6" applyNumberFormat="0" applyAlignment="0" applyProtection="0">
      <alignment vertical="center"/>
    </xf>
    <xf numFmtId="0" fontId="80" fillId="15" borderId="6" applyNumberFormat="0" applyAlignment="0" applyProtection="0">
      <alignment vertical="center"/>
    </xf>
    <xf numFmtId="0" fontId="80" fillId="15" borderId="6" applyNumberFormat="0" applyAlignment="0" applyProtection="0">
      <alignment vertical="center"/>
    </xf>
    <xf numFmtId="0" fontId="80" fillId="15" borderId="6" applyNumberFormat="0" applyAlignment="0" applyProtection="0">
      <alignment vertical="center"/>
    </xf>
    <xf numFmtId="0" fontId="80" fillId="15" borderId="6" applyNumberFormat="0" applyAlignment="0" applyProtection="0">
      <alignment vertical="center"/>
    </xf>
    <xf numFmtId="0" fontId="80" fillId="15" borderId="6" applyNumberFormat="0" applyAlignment="0" applyProtection="0">
      <alignment vertical="center"/>
    </xf>
    <xf numFmtId="0" fontId="80" fillId="15" borderId="6" applyNumberFormat="0" applyAlignment="0" applyProtection="0">
      <alignment vertical="center"/>
    </xf>
    <xf numFmtId="0" fontId="80" fillId="15" borderId="6" applyNumberFormat="0" applyAlignment="0" applyProtection="0">
      <alignment vertical="center"/>
    </xf>
    <xf numFmtId="0" fontId="80" fillId="15" borderId="6" applyNumberFormat="0" applyAlignment="0" applyProtection="0">
      <alignment vertical="center"/>
    </xf>
    <xf numFmtId="0" fontId="80" fillId="15" borderId="6" applyNumberFormat="0" applyAlignment="0" applyProtection="0">
      <alignment vertical="center"/>
    </xf>
    <xf numFmtId="0" fontId="80" fillId="15" borderId="6" applyNumberFormat="0" applyAlignment="0" applyProtection="0">
      <alignment vertical="center"/>
    </xf>
    <xf numFmtId="0" fontId="80" fillId="15" borderId="6" applyNumberFormat="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81" fillId="0" borderId="9" applyNumberFormat="0" applyFill="0" applyAlignment="0" applyProtection="0">
      <alignment vertical="center"/>
    </xf>
    <xf numFmtId="0" fontId="82" fillId="0" borderId="9" applyNumberFormat="0" applyFill="0" applyAlignment="0" applyProtection="0">
      <alignment vertical="center"/>
    </xf>
    <xf numFmtId="0" fontId="82" fillId="0" borderId="9" applyNumberFormat="0" applyFill="0" applyAlignment="0" applyProtection="0">
      <alignment vertical="center"/>
    </xf>
    <xf numFmtId="0" fontId="82" fillId="0" borderId="9" applyNumberFormat="0" applyFill="0" applyAlignment="0" applyProtection="0">
      <alignment vertical="center"/>
    </xf>
    <xf numFmtId="0" fontId="82" fillId="0" borderId="9" applyNumberFormat="0" applyFill="0" applyAlignment="0" applyProtection="0">
      <alignment vertical="center"/>
    </xf>
    <xf numFmtId="0" fontId="82" fillId="0" borderId="9" applyNumberFormat="0" applyFill="0" applyAlignment="0" applyProtection="0">
      <alignment vertical="center"/>
    </xf>
    <xf numFmtId="0" fontId="82" fillId="0" borderId="9" applyNumberFormat="0" applyFill="0" applyAlignment="0" applyProtection="0">
      <alignment vertical="center"/>
    </xf>
    <xf numFmtId="0" fontId="82" fillId="0" borderId="9" applyNumberFormat="0" applyFill="0" applyAlignment="0" applyProtection="0">
      <alignment vertical="center"/>
    </xf>
    <xf numFmtId="0" fontId="82" fillId="0" borderId="9" applyNumberFormat="0" applyFill="0" applyAlignment="0" applyProtection="0">
      <alignment vertical="center"/>
    </xf>
    <xf numFmtId="0" fontId="82" fillId="0" borderId="9" applyNumberFormat="0" applyFill="0" applyAlignment="0" applyProtection="0">
      <alignment vertical="center"/>
    </xf>
    <xf numFmtId="0" fontId="82" fillId="0" borderId="9" applyNumberFormat="0" applyFill="0" applyAlignment="0" applyProtection="0">
      <alignment vertical="center"/>
    </xf>
    <xf numFmtId="0" fontId="82" fillId="0" borderId="9" applyNumberFormat="0" applyFill="0" applyAlignment="0" applyProtection="0">
      <alignment vertical="center"/>
    </xf>
    <xf numFmtId="0" fontId="82" fillId="0" borderId="9" applyNumberFormat="0" applyFill="0" applyAlignment="0" applyProtection="0">
      <alignment vertical="center"/>
    </xf>
    <xf numFmtId="0" fontId="82" fillId="0" borderId="9" applyNumberFormat="0" applyFill="0" applyAlignment="0" applyProtection="0">
      <alignment vertical="center"/>
    </xf>
    <xf numFmtId="177" fontId="90" fillId="0" borderId="0" applyFont="0" applyFill="0" applyBorder="0" applyAlignment="0" applyProtection="0">
      <alignment vertical="center"/>
    </xf>
    <xf numFmtId="177" fontId="90" fillId="0" borderId="0" applyFont="0" applyFill="0" applyBorder="0" applyAlignment="0" applyProtection="0"/>
    <xf numFmtId="177" fontId="90" fillId="0" borderId="0" applyFont="0" applyFill="0" applyBorder="0" applyAlignment="0" applyProtection="0"/>
    <xf numFmtId="177" fontId="90" fillId="0" borderId="0" applyFont="0" applyFill="0" applyBorder="0" applyAlignment="0" applyProtection="0"/>
    <xf numFmtId="177" fontId="90" fillId="0" borderId="0" applyFont="0" applyFill="0" applyBorder="0" applyAlignment="0" applyProtection="0"/>
    <xf numFmtId="177" fontId="90" fillId="0" borderId="0" applyFont="0" applyFill="0" applyBorder="0" applyAlignment="0" applyProtection="0"/>
    <xf numFmtId="177" fontId="90" fillId="0" borderId="0" applyFont="0" applyFill="0" applyBorder="0" applyAlignment="0" applyProtection="0"/>
    <xf numFmtId="177" fontId="90" fillId="0" borderId="0" applyFont="0" applyFill="0" applyBorder="0" applyAlignment="0" applyProtection="0"/>
    <xf numFmtId="177" fontId="90" fillId="0" borderId="0" applyFont="0" applyFill="0" applyBorder="0" applyAlignment="0" applyProtection="0"/>
    <xf numFmtId="177" fontId="90" fillId="0" borderId="0" applyFont="0" applyFill="0" applyBorder="0" applyAlignment="0" applyProtection="0"/>
    <xf numFmtId="177" fontId="90" fillId="0" borderId="0" applyFont="0" applyFill="0" applyBorder="0" applyAlignment="0" applyProtection="0"/>
    <xf numFmtId="177" fontId="90" fillId="0" borderId="0" applyFont="0" applyFill="0" applyBorder="0" applyAlignment="0" applyProtection="0">
      <alignment vertical="center"/>
    </xf>
    <xf numFmtId="177" fontId="90" fillId="0" borderId="0" applyFont="0" applyFill="0" applyBorder="0" applyAlignment="0" applyProtection="0">
      <alignment vertical="center"/>
    </xf>
    <xf numFmtId="177" fontId="90" fillId="0" borderId="0" applyFont="0" applyFill="0" applyBorder="0" applyAlignment="0" applyProtection="0">
      <alignment vertical="center"/>
    </xf>
    <xf numFmtId="177" fontId="90" fillId="0" borderId="0" applyFont="0" applyFill="0" applyBorder="0" applyAlignment="0" applyProtection="0">
      <alignment vertical="center"/>
    </xf>
    <xf numFmtId="177" fontId="90" fillId="0" borderId="0" applyFont="0" applyFill="0" applyBorder="0" applyAlignment="0" applyProtection="0">
      <alignment vertical="center"/>
    </xf>
    <xf numFmtId="177" fontId="90" fillId="0" borderId="0" applyFont="0" applyFill="0" applyBorder="0" applyAlignment="0" applyProtection="0">
      <alignment vertical="center"/>
    </xf>
    <xf numFmtId="177" fontId="90" fillId="0" borderId="0" applyFont="0" applyFill="0" applyBorder="0" applyAlignment="0" applyProtection="0">
      <alignment vertical="center"/>
    </xf>
    <xf numFmtId="177" fontId="90" fillId="0" borderId="0" applyFont="0" applyFill="0" applyBorder="0" applyAlignment="0" applyProtection="0">
      <alignment vertical="center"/>
    </xf>
    <xf numFmtId="177" fontId="90" fillId="0" borderId="0" applyFont="0" applyFill="0" applyBorder="0" applyAlignment="0" applyProtection="0">
      <alignment vertical="center"/>
    </xf>
    <xf numFmtId="0" fontId="57" fillId="21" borderId="0" applyNumberFormat="0" applyBorder="0" applyAlignment="0" applyProtection="0">
      <alignment vertical="center"/>
    </xf>
    <xf numFmtId="0" fontId="38" fillId="21" borderId="0" applyNumberFormat="0" applyBorder="0" applyAlignment="0" applyProtection="0">
      <alignment vertical="center"/>
    </xf>
    <xf numFmtId="0" fontId="38" fillId="21" borderId="0" applyNumberFormat="0" applyBorder="0" applyAlignment="0" applyProtection="0">
      <alignment vertical="center"/>
    </xf>
    <xf numFmtId="0" fontId="38" fillId="21" borderId="0" applyNumberFormat="0" applyBorder="0" applyAlignment="0" applyProtection="0">
      <alignment vertical="center"/>
    </xf>
    <xf numFmtId="0" fontId="38" fillId="21" borderId="0" applyNumberFormat="0" applyBorder="0" applyAlignment="0" applyProtection="0">
      <alignment vertical="center"/>
    </xf>
    <xf numFmtId="0" fontId="38" fillId="21" borderId="0" applyNumberFormat="0" applyBorder="0" applyAlignment="0" applyProtection="0">
      <alignment vertical="center"/>
    </xf>
    <xf numFmtId="0" fontId="76" fillId="16" borderId="7" applyNumberFormat="0" applyAlignment="0" applyProtection="0">
      <alignment vertical="center"/>
    </xf>
    <xf numFmtId="0" fontId="38" fillId="21" borderId="0" applyNumberFormat="0" applyBorder="0" applyAlignment="0" applyProtection="0">
      <alignment vertical="center"/>
    </xf>
    <xf numFmtId="0" fontId="76" fillId="16" borderId="7" applyNumberFormat="0" applyAlignment="0" applyProtection="0">
      <alignment vertical="center"/>
    </xf>
    <xf numFmtId="0" fontId="57" fillId="3"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57" fillId="22" borderId="0" applyNumberFormat="0" applyBorder="0" applyAlignment="0" applyProtection="0">
      <alignment vertical="center"/>
    </xf>
    <xf numFmtId="0" fontId="38" fillId="22" borderId="0" applyNumberFormat="0" applyBorder="0" applyAlignment="0" applyProtection="0">
      <alignment vertical="center"/>
    </xf>
    <xf numFmtId="0" fontId="38" fillId="22" borderId="0" applyNumberFormat="0" applyBorder="0" applyAlignment="0" applyProtection="0">
      <alignment vertical="center"/>
    </xf>
    <xf numFmtId="0" fontId="38" fillId="22" borderId="0" applyNumberFormat="0" applyBorder="0" applyAlignment="0" applyProtection="0">
      <alignment vertical="center"/>
    </xf>
    <xf numFmtId="0" fontId="38" fillId="22" borderId="0" applyNumberFormat="0" applyBorder="0" applyAlignment="0" applyProtection="0">
      <alignment vertical="center"/>
    </xf>
    <xf numFmtId="0" fontId="38" fillId="22" borderId="0" applyNumberFormat="0" applyBorder="0" applyAlignment="0" applyProtection="0">
      <alignment vertical="center"/>
    </xf>
    <xf numFmtId="0" fontId="38" fillId="22" borderId="0" applyNumberFormat="0" applyBorder="0" applyAlignment="0" applyProtection="0">
      <alignment vertical="center"/>
    </xf>
    <xf numFmtId="0" fontId="38" fillId="22" borderId="0" applyNumberFormat="0" applyBorder="0" applyAlignment="0" applyProtection="0">
      <alignment vertical="center"/>
    </xf>
    <xf numFmtId="0" fontId="38" fillId="22" borderId="0" applyNumberFormat="0" applyBorder="0" applyAlignment="0" applyProtection="0">
      <alignment vertical="center"/>
    </xf>
    <xf numFmtId="0" fontId="57" fillId="18" borderId="0" applyNumberFormat="0" applyBorder="0" applyAlignment="0" applyProtection="0">
      <alignment vertical="center"/>
    </xf>
    <xf numFmtId="0" fontId="38" fillId="18" borderId="0" applyNumberFormat="0" applyBorder="0" applyAlignment="0" applyProtection="0">
      <alignment vertical="center"/>
    </xf>
    <xf numFmtId="0" fontId="38" fillId="18" borderId="0" applyNumberFormat="0" applyBorder="0" applyAlignment="0" applyProtection="0">
      <alignment vertical="center"/>
    </xf>
    <xf numFmtId="0" fontId="38" fillId="18" borderId="0" applyNumberFormat="0" applyBorder="0" applyAlignment="0" applyProtection="0">
      <alignment vertical="center"/>
    </xf>
    <xf numFmtId="0" fontId="38" fillId="18" borderId="0" applyNumberFormat="0" applyBorder="0" applyAlignment="0" applyProtection="0">
      <alignment vertical="center"/>
    </xf>
    <xf numFmtId="0" fontId="38" fillId="18" borderId="0" applyNumberFormat="0" applyBorder="0" applyAlignment="0" applyProtection="0">
      <alignment vertical="center"/>
    </xf>
    <xf numFmtId="0" fontId="38" fillId="18" borderId="0" applyNumberFormat="0" applyBorder="0" applyAlignment="0" applyProtection="0">
      <alignment vertical="center"/>
    </xf>
    <xf numFmtId="0" fontId="38" fillId="18" borderId="0" applyNumberFormat="0" applyBorder="0" applyAlignment="0" applyProtection="0">
      <alignment vertical="center"/>
    </xf>
    <xf numFmtId="0" fontId="38" fillId="18" borderId="0" applyNumberFormat="0" applyBorder="0" applyAlignment="0" applyProtection="0">
      <alignment vertical="center"/>
    </xf>
    <xf numFmtId="0" fontId="38" fillId="18" borderId="0" applyNumberFormat="0" applyBorder="0" applyAlignment="0" applyProtection="0">
      <alignment vertical="center"/>
    </xf>
    <xf numFmtId="0" fontId="38" fillId="18" borderId="0" applyNumberFormat="0" applyBorder="0" applyAlignment="0" applyProtection="0">
      <alignment vertical="center"/>
    </xf>
    <xf numFmtId="0" fontId="38" fillId="18" borderId="0" applyNumberFormat="0" applyBorder="0" applyAlignment="0" applyProtection="0">
      <alignment vertical="center"/>
    </xf>
    <xf numFmtId="0" fontId="38" fillId="23" borderId="0" applyNumberFormat="0" applyBorder="0" applyAlignment="0" applyProtection="0">
      <alignment vertical="center"/>
    </xf>
    <xf numFmtId="0" fontId="38" fillId="23" borderId="0" applyNumberFormat="0" applyBorder="0" applyAlignment="0" applyProtection="0">
      <alignment vertical="center"/>
    </xf>
    <xf numFmtId="0" fontId="38" fillId="23" borderId="0" applyNumberFormat="0" applyBorder="0" applyAlignment="0" applyProtection="0">
      <alignment vertical="center"/>
    </xf>
    <xf numFmtId="0" fontId="38" fillId="23" borderId="0" applyNumberFormat="0" applyBorder="0" applyAlignment="0" applyProtection="0">
      <alignment vertical="center"/>
    </xf>
    <xf numFmtId="0" fontId="38" fillId="23" borderId="0" applyNumberFormat="0" applyBorder="0" applyAlignment="0" applyProtection="0">
      <alignment vertical="center"/>
    </xf>
    <xf numFmtId="0" fontId="38" fillId="23" borderId="0" applyNumberFormat="0" applyBorder="0" applyAlignment="0" applyProtection="0">
      <alignment vertical="center"/>
    </xf>
    <xf numFmtId="0" fontId="38" fillId="23" borderId="0" applyNumberFormat="0" applyBorder="0" applyAlignment="0" applyProtection="0">
      <alignment vertical="center"/>
    </xf>
    <xf numFmtId="0" fontId="38" fillId="23" borderId="0" applyNumberFormat="0" applyBorder="0" applyAlignment="0" applyProtection="0">
      <alignment vertical="center"/>
    </xf>
    <xf numFmtId="0" fontId="38" fillId="23" borderId="0" applyNumberFormat="0" applyBorder="0" applyAlignment="0" applyProtection="0">
      <alignment vertical="center"/>
    </xf>
    <xf numFmtId="0" fontId="38" fillId="23" borderId="0" applyNumberFormat="0" applyBorder="0" applyAlignment="0" applyProtection="0">
      <alignment vertical="center"/>
    </xf>
    <xf numFmtId="0" fontId="38" fillId="23" borderId="0" applyNumberFormat="0" applyBorder="0" applyAlignment="0" applyProtection="0">
      <alignment vertical="center"/>
    </xf>
    <xf numFmtId="0" fontId="38" fillId="23" borderId="0" applyNumberFormat="0" applyBorder="0" applyAlignment="0" applyProtection="0">
      <alignment vertical="center"/>
    </xf>
    <xf numFmtId="0" fontId="38" fillId="23" borderId="0" applyNumberFormat="0" applyBorder="0" applyAlignment="0" applyProtection="0">
      <alignment vertical="center"/>
    </xf>
    <xf numFmtId="0" fontId="38" fillId="14" borderId="0" applyNumberFormat="0" applyBorder="0" applyAlignment="0" applyProtection="0">
      <alignment vertical="center"/>
    </xf>
    <xf numFmtId="0" fontId="38" fillId="14" borderId="0" applyNumberFormat="0" applyBorder="0" applyAlignment="0" applyProtection="0">
      <alignment vertical="center"/>
    </xf>
    <xf numFmtId="0" fontId="38" fillId="14" borderId="0" applyNumberFormat="0" applyBorder="0" applyAlignment="0" applyProtection="0">
      <alignment vertical="center"/>
    </xf>
    <xf numFmtId="0" fontId="38" fillId="14" borderId="0" applyNumberFormat="0" applyBorder="0" applyAlignment="0" applyProtection="0">
      <alignment vertical="center"/>
    </xf>
    <xf numFmtId="0" fontId="38" fillId="14" borderId="0" applyNumberFormat="0" applyBorder="0" applyAlignment="0" applyProtection="0">
      <alignment vertical="center"/>
    </xf>
    <xf numFmtId="0" fontId="38" fillId="14" borderId="0" applyNumberFormat="0" applyBorder="0" applyAlignment="0" applyProtection="0">
      <alignment vertical="center"/>
    </xf>
    <xf numFmtId="0" fontId="38" fillId="14" borderId="0" applyNumberFormat="0" applyBorder="0" applyAlignment="0" applyProtection="0">
      <alignment vertical="center"/>
    </xf>
    <xf numFmtId="0" fontId="38" fillId="14" borderId="0" applyNumberFormat="0" applyBorder="0" applyAlignment="0" applyProtection="0">
      <alignment vertical="center"/>
    </xf>
    <xf numFmtId="0" fontId="38" fillId="14" borderId="0" applyNumberFormat="0" applyBorder="0" applyAlignment="0" applyProtection="0">
      <alignment vertical="center"/>
    </xf>
    <xf numFmtId="0" fontId="86" fillId="19" borderId="0" applyNumberFormat="0" applyBorder="0" applyAlignment="0" applyProtection="0">
      <alignment vertical="center"/>
    </xf>
    <xf numFmtId="0" fontId="40" fillId="19" borderId="0" applyNumberFormat="0" applyBorder="0" applyAlignment="0" applyProtection="0">
      <alignment vertical="center"/>
    </xf>
    <xf numFmtId="0" fontId="40" fillId="19" borderId="0" applyNumberFormat="0" applyBorder="0" applyAlignment="0" applyProtection="0">
      <alignment vertical="center"/>
    </xf>
    <xf numFmtId="0" fontId="40" fillId="19" borderId="0" applyNumberFormat="0" applyBorder="0" applyAlignment="0" applyProtection="0">
      <alignment vertical="center"/>
    </xf>
    <xf numFmtId="0" fontId="40" fillId="19" borderId="0" applyNumberFormat="0" applyBorder="0" applyAlignment="0" applyProtection="0">
      <alignment vertical="center"/>
    </xf>
    <xf numFmtId="0" fontId="76" fillId="16" borderId="7" applyNumberFormat="0" applyAlignment="0" applyProtection="0">
      <alignment vertical="center"/>
    </xf>
    <xf numFmtId="0" fontId="76" fillId="16" borderId="7" applyNumberFormat="0" applyAlignment="0" applyProtection="0">
      <alignment vertical="center"/>
    </xf>
    <xf numFmtId="0" fontId="76" fillId="16" borderId="7" applyNumberFormat="0" applyAlignment="0" applyProtection="0">
      <alignment vertical="center"/>
    </xf>
    <xf numFmtId="0" fontId="76" fillId="16" borderId="7" applyNumberFormat="0" applyAlignment="0" applyProtection="0">
      <alignment vertical="center"/>
    </xf>
    <xf numFmtId="0" fontId="76" fillId="16" borderId="7" applyNumberFormat="0" applyAlignment="0" applyProtection="0">
      <alignment vertical="center"/>
    </xf>
    <xf numFmtId="0" fontId="76" fillId="16" borderId="7" applyNumberFormat="0" applyAlignment="0" applyProtection="0">
      <alignment vertical="center"/>
    </xf>
    <xf numFmtId="0" fontId="76" fillId="16" borderId="7" applyNumberFormat="0" applyAlignment="0" applyProtection="0">
      <alignment vertical="center"/>
    </xf>
    <xf numFmtId="0" fontId="76" fillId="16" borderId="7" applyNumberFormat="0" applyAlignment="0" applyProtection="0">
      <alignment vertical="center"/>
    </xf>
    <xf numFmtId="0" fontId="76" fillId="16" borderId="7" applyNumberFormat="0" applyAlignment="0" applyProtection="0">
      <alignment vertical="center"/>
    </xf>
    <xf numFmtId="0" fontId="87" fillId="11" borderId="10" applyNumberFormat="0" applyAlignment="0" applyProtection="0">
      <alignment vertical="center"/>
    </xf>
    <xf numFmtId="0" fontId="74" fillId="11" borderId="10" applyNumberFormat="0" applyAlignment="0" applyProtection="0">
      <alignment vertical="center"/>
    </xf>
    <xf numFmtId="0" fontId="74" fillId="11" borderId="10" applyNumberFormat="0" applyAlignment="0" applyProtection="0">
      <alignment vertical="center"/>
    </xf>
    <xf numFmtId="0" fontId="74" fillId="11" borderId="10" applyNumberFormat="0" applyAlignment="0" applyProtection="0">
      <alignment vertical="center"/>
    </xf>
    <xf numFmtId="0" fontId="74" fillId="11" borderId="10" applyNumberFormat="0" applyAlignment="0" applyProtection="0">
      <alignment vertical="center"/>
    </xf>
    <xf numFmtId="0" fontId="74" fillId="11" borderId="10" applyNumberFormat="0" applyAlignment="0" applyProtection="0">
      <alignment vertical="center"/>
    </xf>
    <xf numFmtId="0" fontId="74" fillId="11" borderId="10" applyNumberFormat="0" applyAlignment="0" applyProtection="0">
      <alignment vertical="center"/>
    </xf>
    <xf numFmtId="0" fontId="74" fillId="11" borderId="10" applyNumberFormat="0" applyAlignment="0" applyProtection="0">
      <alignment vertical="center"/>
    </xf>
    <xf numFmtId="0" fontId="74" fillId="11" borderId="10" applyNumberFormat="0" applyAlignment="0" applyProtection="0">
      <alignment vertical="center"/>
    </xf>
    <xf numFmtId="0" fontId="74" fillId="11" borderId="10" applyNumberFormat="0" applyAlignment="0" applyProtection="0">
      <alignment vertical="center"/>
    </xf>
    <xf numFmtId="0" fontId="90" fillId="13" borderId="4" applyNumberFormat="0" applyFont="0" applyAlignment="0" applyProtection="0">
      <alignment vertical="center"/>
    </xf>
    <xf numFmtId="0" fontId="90" fillId="13" borderId="4" applyNumberFormat="0" applyFont="0" applyAlignment="0" applyProtection="0">
      <alignment vertical="center"/>
    </xf>
    <xf numFmtId="0" fontId="90" fillId="13" borderId="4" applyNumberFormat="0" applyFont="0" applyAlignment="0" applyProtection="0">
      <alignment vertical="center"/>
    </xf>
    <xf numFmtId="0" fontId="90" fillId="13" borderId="4" applyNumberFormat="0" applyFont="0" applyAlignment="0" applyProtection="0">
      <alignment vertical="center"/>
    </xf>
    <xf numFmtId="0" fontId="90" fillId="13" borderId="4" applyNumberFormat="0" applyFont="0" applyAlignment="0" applyProtection="0">
      <alignment vertical="center"/>
    </xf>
    <xf numFmtId="0" fontId="90" fillId="13" borderId="4" applyNumberFormat="0" applyFont="0" applyAlignment="0" applyProtection="0">
      <alignment vertical="center"/>
    </xf>
    <xf numFmtId="0" fontId="90" fillId="13" borderId="4" applyNumberFormat="0" applyFont="0" applyAlignment="0" applyProtection="0">
      <alignment vertical="center"/>
    </xf>
    <xf numFmtId="0" fontId="90" fillId="13" borderId="4" applyNumberFormat="0" applyFont="0" applyAlignment="0" applyProtection="0">
      <alignment vertical="center"/>
    </xf>
    <xf numFmtId="0" fontId="90" fillId="13" borderId="4" applyNumberFormat="0" applyFont="0" applyAlignment="0" applyProtection="0">
      <alignment vertical="center"/>
    </xf>
    <xf numFmtId="177" fontId="1" fillId="0" borderId="0" applyFont="0" applyFill="0" applyBorder="0" applyAlignment="0" applyProtection="0">
      <alignment vertical="center"/>
    </xf>
  </cellStyleXfs>
  <cellXfs count="1538">
    <xf numFmtId="0" fontId="0" fillId="0" borderId="0" xfId="0">
      <alignment vertical="center"/>
    </xf>
    <xf numFmtId="0" fontId="1" fillId="24" borderId="0" xfId="611" applyFill="1"/>
    <xf numFmtId="0" fontId="1" fillId="0" borderId="0" xfId="611"/>
    <xf numFmtId="0" fontId="3" fillId="0" borderId="2" xfId="611" applyFont="1" applyFill="1" applyBorder="1" applyAlignment="1">
      <alignment horizontal="center" vertical="center"/>
    </xf>
    <xf numFmtId="179" fontId="3" fillId="0" borderId="2" xfId="611" applyNumberFormat="1" applyFont="1" applyFill="1" applyBorder="1" applyAlignment="1">
      <alignment horizontal="center" vertical="center"/>
    </xf>
    <xf numFmtId="0" fontId="3" fillId="0" borderId="2" xfId="611" applyFont="1" applyFill="1" applyBorder="1" applyAlignment="1">
      <alignment horizontal="center" vertical="center" wrapText="1"/>
    </xf>
    <xf numFmtId="180" fontId="3" fillId="0" borderId="2" xfId="611" applyNumberFormat="1" applyFont="1" applyFill="1" applyBorder="1" applyAlignment="1">
      <alignment horizontal="center" vertical="center"/>
    </xf>
    <xf numFmtId="0" fontId="3" fillId="0" borderId="2" xfId="611" applyNumberFormat="1" applyFont="1" applyFill="1" applyBorder="1" applyAlignment="1">
      <alignment horizontal="center" vertical="center"/>
    </xf>
    <xf numFmtId="0" fontId="5" fillId="0" borderId="2" xfId="611" applyFont="1" applyBorder="1" applyAlignment="1">
      <alignment horizontal="center" vertical="center" wrapText="1"/>
    </xf>
    <xf numFmtId="0" fontId="6" fillId="0" borderId="2" xfId="611" applyFont="1" applyBorder="1" applyAlignment="1">
      <alignment horizontal="center" vertical="center" wrapText="1"/>
    </xf>
    <xf numFmtId="0" fontId="1" fillId="0" borderId="0" xfId="611" applyAlignment="1">
      <alignment vertical="center"/>
    </xf>
    <xf numFmtId="0" fontId="4" fillId="0" borderId="17" xfId="611" applyFont="1" applyBorder="1" applyAlignment="1">
      <alignment horizontal="center" vertical="center" wrapText="1"/>
    </xf>
    <xf numFmtId="0" fontId="4" fillId="0" borderId="18" xfId="611" applyFont="1" applyBorder="1" applyAlignment="1">
      <alignment horizontal="center" vertical="center" wrapText="1"/>
    </xf>
    <xf numFmtId="0" fontId="4" fillId="0" borderId="2" xfId="611" applyFont="1" applyBorder="1" applyAlignment="1">
      <alignment horizontal="left" vertical="center" wrapText="1"/>
    </xf>
    <xf numFmtId="180" fontId="4" fillId="24" borderId="2" xfId="611" applyNumberFormat="1" applyFont="1" applyFill="1" applyBorder="1" applyAlignment="1">
      <alignment horizontal="center" vertical="center" wrapText="1"/>
    </xf>
    <xf numFmtId="0" fontId="3" fillId="0" borderId="2" xfId="611" applyFont="1" applyBorder="1" applyAlignment="1">
      <alignment horizontal="center" vertical="center" wrapText="1"/>
    </xf>
    <xf numFmtId="0" fontId="8" fillId="0" borderId="18" xfId="611" applyFont="1" applyBorder="1" applyAlignment="1">
      <alignment horizontal="center" vertical="center" wrapText="1"/>
    </xf>
    <xf numFmtId="0" fontId="8" fillId="0" borderId="2" xfId="611" applyFont="1" applyBorder="1" applyAlignment="1">
      <alignment horizontal="left" vertical="center" wrapText="1"/>
    </xf>
    <xf numFmtId="180" fontId="4" fillId="0" borderId="2" xfId="611" applyNumberFormat="1" applyFont="1" applyBorder="1" applyAlignment="1">
      <alignment horizontal="center" vertical="center" wrapText="1"/>
    </xf>
    <xf numFmtId="49" fontId="9" fillId="0" borderId="18" xfId="611" applyNumberFormat="1" applyFont="1" applyBorder="1" applyAlignment="1">
      <alignment horizontal="center" vertical="center" wrapText="1"/>
    </xf>
    <xf numFmtId="0" fontId="3" fillId="0" borderId="2" xfId="611" applyFont="1" applyBorder="1" applyAlignment="1">
      <alignment horizontal="left" vertical="center" wrapText="1"/>
    </xf>
    <xf numFmtId="0" fontId="3" fillId="0" borderId="2" xfId="611" applyFont="1" applyBorder="1" applyAlignment="1">
      <alignment horizontal="right" vertical="center" wrapText="1"/>
    </xf>
    <xf numFmtId="0" fontId="10" fillId="24" borderId="2" xfId="611" applyFont="1" applyFill="1" applyBorder="1" applyAlignment="1">
      <alignment horizontal="center" vertical="center" wrapText="1"/>
    </xf>
    <xf numFmtId="10" fontId="3" fillId="0" borderId="2" xfId="611" applyNumberFormat="1" applyFont="1" applyBorder="1" applyAlignment="1">
      <alignment horizontal="center" vertical="center" wrapText="1"/>
    </xf>
    <xf numFmtId="49" fontId="9" fillId="24" borderId="18" xfId="611" applyNumberFormat="1" applyFont="1" applyFill="1" applyBorder="1" applyAlignment="1">
      <alignment horizontal="center" vertical="center" wrapText="1"/>
    </xf>
    <xf numFmtId="0" fontId="3" fillId="24" borderId="2" xfId="611" applyFont="1" applyFill="1" applyBorder="1" applyAlignment="1">
      <alignment horizontal="left" vertical="center" wrapText="1"/>
    </xf>
    <xf numFmtId="180" fontId="3" fillId="24" borderId="2" xfId="611" applyNumberFormat="1" applyFont="1" applyFill="1" applyBorder="1" applyAlignment="1">
      <alignment horizontal="center" vertical="center" wrapText="1"/>
    </xf>
    <xf numFmtId="182" fontId="3" fillId="0" borderId="2" xfId="611" applyNumberFormat="1" applyFont="1" applyBorder="1" applyAlignment="1">
      <alignment horizontal="center" vertical="center" wrapText="1"/>
    </xf>
    <xf numFmtId="183" fontId="3" fillId="0" borderId="2" xfId="611" applyNumberFormat="1" applyFont="1" applyBorder="1" applyAlignment="1">
      <alignment horizontal="center" vertical="center" wrapText="1"/>
    </xf>
    <xf numFmtId="10" fontId="9" fillId="0" borderId="2" xfId="611" applyNumberFormat="1" applyFont="1" applyBorder="1" applyAlignment="1">
      <alignment horizontal="center" vertical="center" wrapText="1"/>
    </xf>
    <xf numFmtId="10" fontId="9" fillId="24" borderId="2" xfId="611" applyNumberFormat="1" applyFont="1" applyFill="1" applyBorder="1" applyAlignment="1">
      <alignment horizontal="center" vertical="center" wrapText="1"/>
    </xf>
    <xf numFmtId="49" fontId="8" fillId="0" borderId="18" xfId="611" applyNumberFormat="1" applyFont="1" applyBorder="1" applyAlignment="1">
      <alignment horizontal="center" vertical="center" wrapText="1"/>
    </xf>
    <xf numFmtId="182" fontId="4" fillId="0" borderId="2" xfId="611" applyNumberFormat="1" applyFont="1" applyBorder="1" applyAlignment="1">
      <alignment horizontal="center" vertical="center" wrapText="1"/>
    </xf>
    <xf numFmtId="49" fontId="8" fillId="0" borderId="19" xfId="611" applyNumberFormat="1" applyFont="1" applyBorder="1" applyAlignment="1">
      <alignment horizontal="center" vertical="center" wrapText="1"/>
    </xf>
    <xf numFmtId="0" fontId="4" fillId="0" borderId="20" xfId="611" applyFont="1" applyBorder="1" applyAlignment="1">
      <alignment horizontal="left" vertical="center" wrapText="1"/>
    </xf>
    <xf numFmtId="0" fontId="11" fillId="19" borderId="20" xfId="611" applyFont="1" applyFill="1" applyBorder="1" applyAlignment="1">
      <alignment horizontal="center" vertical="center" wrapText="1"/>
    </xf>
    <xf numFmtId="0" fontId="3" fillId="0" borderId="20" xfId="611" applyFont="1" applyBorder="1" applyAlignment="1">
      <alignment horizontal="center" vertical="center" wrapText="1"/>
    </xf>
    <xf numFmtId="184" fontId="3" fillId="0" borderId="2" xfId="611" applyNumberFormat="1" applyFont="1" applyFill="1" applyBorder="1" applyAlignment="1">
      <alignment horizontal="center" vertical="center"/>
    </xf>
    <xf numFmtId="0" fontId="1" fillId="0" borderId="0" xfId="611" applyFont="1"/>
    <xf numFmtId="0" fontId="1" fillId="0" borderId="2" xfId="611" applyBorder="1" applyAlignment="1">
      <alignment vertical="center"/>
    </xf>
    <xf numFmtId="0" fontId="5" fillId="0" borderId="2" xfId="611" applyFont="1" applyFill="1" applyBorder="1" applyAlignment="1">
      <alignment horizontal="center" vertical="center" wrapText="1"/>
    </xf>
    <xf numFmtId="180" fontId="1" fillId="0" borderId="0" xfId="611" applyNumberFormat="1"/>
    <xf numFmtId="10" fontId="6" fillId="0" borderId="2" xfId="611" applyNumberFormat="1" applyFont="1" applyBorder="1" applyAlignment="1">
      <alignment horizontal="center" vertical="center"/>
    </xf>
    <xf numFmtId="180" fontId="1" fillId="0" borderId="2" xfId="611" applyNumberFormat="1" applyBorder="1" applyAlignment="1">
      <alignment horizontal="center" vertical="center"/>
    </xf>
    <xf numFmtId="0" fontId="9" fillId="0" borderId="23" xfId="611" applyFont="1" applyBorder="1" applyAlignment="1">
      <alignment vertical="center" wrapText="1"/>
    </xf>
    <xf numFmtId="0" fontId="0" fillId="0" borderId="0" xfId="0" applyAlignment="1"/>
    <xf numFmtId="0" fontId="0" fillId="0" borderId="0" xfId="0" applyAlignment="1">
      <alignment horizontal="center"/>
    </xf>
    <xf numFmtId="0" fontId="3" fillId="0" borderId="2" xfId="0" applyFont="1" applyBorder="1" applyAlignment="1">
      <alignment horizontal="center"/>
    </xf>
    <xf numFmtId="0" fontId="3" fillId="0" borderId="2" xfId="0" applyFont="1" applyBorder="1" applyAlignment="1"/>
    <xf numFmtId="184" fontId="3" fillId="0" borderId="2" xfId="0" applyNumberFormat="1" applyFont="1" applyBorder="1" applyAlignment="1">
      <alignment horizontal="center"/>
    </xf>
    <xf numFmtId="0" fontId="3" fillId="0" borderId="2" xfId="334" applyFont="1" applyBorder="1" applyAlignment="1">
      <alignment horizontal="center" vertical="center" wrapText="1"/>
    </xf>
    <xf numFmtId="0" fontId="3" fillId="0" borderId="2" xfId="0" applyFont="1" applyFill="1" applyBorder="1" applyAlignment="1">
      <alignment horizontal="center"/>
    </xf>
    <xf numFmtId="179" fontId="3" fillId="0" borderId="2" xfId="0" applyNumberFormat="1" applyFont="1" applyBorder="1" applyAlignment="1">
      <alignment horizontal="center"/>
    </xf>
    <xf numFmtId="179" fontId="11" fillId="24" borderId="2" xfId="0" applyNumberFormat="1" applyFont="1" applyFill="1" applyBorder="1" applyAlignment="1">
      <alignment horizontal="center"/>
    </xf>
    <xf numFmtId="9" fontId="3" fillId="0" borderId="2" xfId="0" applyNumberFormat="1" applyFont="1" applyFill="1" applyBorder="1" applyAlignment="1">
      <alignment horizontal="center"/>
    </xf>
    <xf numFmtId="9" fontId="3" fillId="0" borderId="2" xfId="0" applyNumberFormat="1" applyFont="1" applyBorder="1" applyAlignment="1">
      <alignment horizontal="center"/>
    </xf>
    <xf numFmtId="180" fontId="3" fillId="0" borderId="2" xfId="0" applyNumberFormat="1" applyFont="1" applyBorder="1" applyAlignment="1"/>
    <xf numFmtId="0" fontId="4" fillId="0" borderId="2" xfId="0" applyFont="1" applyBorder="1" applyAlignment="1">
      <alignment horizontal="center"/>
    </xf>
    <xf numFmtId="0" fontId="3" fillId="0" borderId="2" xfId="707" applyFont="1" applyBorder="1" applyAlignment="1" applyProtection="1">
      <alignment horizontal="center"/>
      <protection hidden="1"/>
    </xf>
    <xf numFmtId="0" fontId="4" fillId="0" borderId="2" xfId="707" applyFont="1" applyBorder="1" applyAlignment="1" applyProtection="1">
      <alignment horizontal="center"/>
      <protection hidden="1"/>
    </xf>
    <xf numFmtId="180" fontId="4" fillId="0" borderId="2" xfId="707" applyNumberFormat="1" applyFont="1" applyBorder="1" applyAlignment="1" applyProtection="1">
      <alignment horizontal="center"/>
      <protection hidden="1"/>
    </xf>
    <xf numFmtId="180" fontId="3" fillId="0" borderId="2" xfId="707" applyNumberFormat="1" applyFont="1" applyBorder="1" applyAlignment="1" applyProtection="1">
      <alignment horizontal="center"/>
      <protection hidden="1"/>
    </xf>
    <xf numFmtId="9" fontId="4" fillId="0" borderId="2" xfId="707" applyNumberFormat="1" applyFont="1" applyBorder="1" applyAlignment="1" applyProtection="1">
      <alignment horizontal="left"/>
      <protection hidden="1"/>
    </xf>
    <xf numFmtId="0" fontId="3" fillId="0" borderId="2" xfId="707" applyFont="1" applyBorder="1" applyAlignment="1" applyProtection="1">
      <protection hidden="1"/>
    </xf>
    <xf numFmtId="179" fontId="3" fillId="0" borderId="2" xfId="707" applyNumberFormat="1" applyFont="1" applyBorder="1" applyAlignment="1" applyProtection="1">
      <alignment horizontal="center"/>
      <protection hidden="1"/>
    </xf>
    <xf numFmtId="9" fontId="12" fillId="0" borderId="2" xfId="707" applyNumberFormat="1" applyFont="1" applyBorder="1" applyAlignment="1" applyProtection="1">
      <alignment horizontal="center"/>
      <protection hidden="1"/>
    </xf>
    <xf numFmtId="0" fontId="3" fillId="0" borderId="2" xfId="707" applyFont="1" applyBorder="1" applyAlignment="1" applyProtection="1">
      <alignment horizontal="left"/>
      <protection hidden="1"/>
    </xf>
    <xf numFmtId="180" fontId="3" fillId="0" borderId="2" xfId="707" applyNumberFormat="1" applyFont="1" applyBorder="1" applyAlignment="1" applyProtection="1">
      <protection hidden="1"/>
    </xf>
    <xf numFmtId="10" fontId="12" fillId="0" borderId="2" xfId="707" applyNumberFormat="1" applyFont="1" applyBorder="1" applyAlignment="1" applyProtection="1">
      <alignment horizontal="center"/>
      <protection hidden="1"/>
    </xf>
    <xf numFmtId="180" fontId="3" fillId="0" borderId="11" xfId="707" applyNumberFormat="1" applyFont="1" applyBorder="1" applyAlignment="1" applyProtection="1">
      <protection hidden="1"/>
    </xf>
    <xf numFmtId="180" fontId="4" fillId="0" borderId="2" xfId="707" applyNumberFormat="1" applyFont="1" applyBorder="1" applyAlignment="1" applyProtection="1">
      <protection hidden="1"/>
    </xf>
    <xf numFmtId="10" fontId="3" fillId="0" borderId="2" xfId="707" applyNumberFormat="1" applyFont="1" applyBorder="1" applyAlignment="1" applyProtection="1">
      <alignment horizontal="center"/>
      <protection hidden="1"/>
    </xf>
    <xf numFmtId="0" fontId="4" fillId="0" borderId="2" xfId="707" applyFont="1" applyBorder="1" applyAlignment="1" applyProtection="1">
      <protection hidden="1"/>
    </xf>
    <xf numFmtId="10" fontId="11" fillId="24" borderId="2" xfId="707" applyNumberFormat="1" applyFont="1" applyFill="1" applyBorder="1" applyAlignment="1" applyProtection="1">
      <alignment horizontal="center" vertical="center"/>
      <protection hidden="1"/>
    </xf>
    <xf numFmtId="185" fontId="4" fillId="0" borderId="2" xfId="707" applyNumberFormat="1" applyFont="1" applyBorder="1" applyAlignment="1" applyProtection="1">
      <alignment horizontal="center"/>
      <protection hidden="1"/>
    </xf>
    <xf numFmtId="186" fontId="11" fillId="24" borderId="2" xfId="707" applyNumberFormat="1" applyFont="1" applyFill="1" applyBorder="1" applyAlignment="1" applyProtection="1">
      <alignment horizontal="center" vertical="center"/>
      <protection hidden="1"/>
    </xf>
    <xf numFmtId="0" fontId="4" fillId="0" borderId="0" xfId="707" applyFont="1" applyAlignment="1" applyProtection="1">
      <protection hidden="1"/>
    </xf>
    <xf numFmtId="10" fontId="3" fillId="0" borderId="2" xfId="707" applyNumberFormat="1" applyFont="1" applyFill="1" applyBorder="1" applyAlignment="1" applyProtection="1">
      <alignment horizontal="center"/>
      <protection hidden="1"/>
    </xf>
    <xf numFmtId="184" fontId="4" fillId="0" borderId="2" xfId="0" applyNumberFormat="1" applyFont="1" applyBorder="1" applyAlignment="1">
      <alignment horizontal="center"/>
    </xf>
    <xf numFmtId="182" fontId="3" fillId="0" borderId="2" xfId="0" applyNumberFormat="1" applyFont="1" applyBorder="1" applyAlignment="1"/>
    <xf numFmtId="0" fontId="9" fillId="0" borderId="2" xfId="0" applyFont="1" applyBorder="1" applyAlignment="1"/>
    <xf numFmtId="182" fontId="3" fillId="0" borderId="2" xfId="0" applyNumberFormat="1" applyFont="1" applyBorder="1" applyAlignment="1">
      <alignment horizontal="center"/>
    </xf>
    <xf numFmtId="0" fontId="3" fillId="0" borderId="2" xfId="0" applyNumberFormat="1" applyFont="1" applyBorder="1" applyAlignment="1">
      <alignment horizontal="center"/>
    </xf>
    <xf numFmtId="9" fontId="3" fillId="0" borderId="2" xfId="0" applyNumberFormat="1" applyFont="1" applyBorder="1" applyAlignment="1"/>
    <xf numFmtId="0" fontId="3" fillId="0" borderId="2" xfId="0" applyFont="1" applyFill="1" applyBorder="1" applyAlignment="1"/>
    <xf numFmtId="187" fontId="3" fillId="0" borderId="2" xfId="0" applyNumberFormat="1" applyFont="1" applyBorder="1" applyAlignment="1">
      <alignment horizontal="center"/>
    </xf>
    <xf numFmtId="184" fontId="3" fillId="0" borderId="2" xfId="0" applyNumberFormat="1" applyFont="1" applyBorder="1" applyAlignment="1"/>
    <xf numFmtId="10" fontId="3" fillId="0" borderId="2" xfId="0" applyNumberFormat="1" applyFont="1" applyBorder="1" applyAlignment="1">
      <alignment horizontal="center"/>
    </xf>
    <xf numFmtId="10" fontId="3" fillId="0" borderId="2" xfId="0" applyNumberFormat="1" applyFont="1" applyBorder="1" applyAlignment="1"/>
    <xf numFmtId="178" fontId="3" fillId="0" borderId="2" xfId="0" applyNumberFormat="1" applyFont="1" applyFill="1" applyBorder="1" applyAlignment="1"/>
    <xf numFmtId="0" fontId="3" fillId="0" borderId="2" xfId="0" applyFont="1" applyFill="1" applyBorder="1" applyAlignment="1">
      <alignment horizontal="left"/>
    </xf>
    <xf numFmtId="0" fontId="3" fillId="0" borderId="13" xfId="0" applyFont="1" applyBorder="1" applyAlignment="1"/>
    <xf numFmtId="0" fontId="3" fillId="0" borderId="28" xfId="0" applyFont="1" applyFill="1" applyBorder="1" applyAlignment="1"/>
    <xf numFmtId="0" fontId="9" fillId="0" borderId="2" xfId="0" applyFont="1" applyBorder="1" applyAlignment="1">
      <alignment horizontal="right"/>
    </xf>
    <xf numFmtId="0" fontId="9" fillId="0" borderId="2" xfId="0" applyFont="1" applyBorder="1" applyAlignment="1">
      <alignment horizontal="center"/>
    </xf>
    <xf numFmtId="0" fontId="3" fillId="6" borderId="2" xfId="0" applyFont="1" applyFill="1" applyBorder="1" applyAlignment="1">
      <alignment horizontal="left"/>
    </xf>
    <xf numFmtId="184" fontId="3" fillId="6" borderId="2" xfId="0" applyNumberFormat="1" applyFont="1" applyFill="1" applyBorder="1" applyAlignment="1">
      <alignment horizontal="center"/>
    </xf>
    <xf numFmtId="0" fontId="0" fillId="6" borderId="2" xfId="0" applyFill="1" applyBorder="1" applyAlignment="1"/>
    <xf numFmtId="0" fontId="3" fillId="6" borderId="2" xfId="0" applyFont="1" applyFill="1" applyBorder="1" applyAlignment="1">
      <alignment vertical="center" wrapText="1"/>
    </xf>
    <xf numFmtId="10" fontId="3" fillId="6" borderId="2" xfId="0" applyNumberFormat="1" applyFont="1" applyFill="1" applyBorder="1" applyAlignment="1">
      <alignment horizontal="center"/>
    </xf>
    <xf numFmtId="9" fontId="3" fillId="6" borderId="2" xfId="0" applyNumberFormat="1" applyFont="1" applyFill="1" applyBorder="1" applyAlignment="1">
      <alignment horizontal="center"/>
    </xf>
    <xf numFmtId="0" fontId="9" fillId="6" borderId="2" xfId="0" applyFont="1" applyFill="1" applyBorder="1" applyAlignment="1"/>
    <xf numFmtId="9" fontId="9" fillId="6" borderId="2" xfId="0" applyNumberFormat="1" applyFont="1" applyFill="1" applyBorder="1" applyAlignment="1">
      <alignment horizontal="center"/>
    </xf>
    <xf numFmtId="0" fontId="3" fillId="0" borderId="2" xfId="0" applyFont="1" applyFill="1" applyBorder="1" applyAlignment="1">
      <alignment horizontal="left" vertical="center" wrapText="1"/>
    </xf>
    <xf numFmtId="9" fontId="4" fillId="0" borderId="2" xfId="0" applyNumberFormat="1" applyFont="1" applyFill="1" applyBorder="1" applyAlignment="1">
      <alignment horizontal="center" vertical="center"/>
    </xf>
    <xf numFmtId="9" fontId="0" fillId="0" borderId="0" xfId="0" applyNumberFormat="1">
      <alignment vertical="center"/>
    </xf>
    <xf numFmtId="0" fontId="4" fillId="0" borderId="2" xfId="0" applyFont="1" applyFill="1" applyBorder="1" applyAlignment="1">
      <alignment horizontal="center" vertical="center"/>
    </xf>
    <xf numFmtId="10" fontId="0" fillId="0" borderId="0" xfId="0" applyNumberFormat="1">
      <alignment vertical="center"/>
    </xf>
    <xf numFmtId="0" fontId="3" fillId="0" borderId="2" xfId="0" applyFont="1" applyFill="1" applyBorder="1">
      <alignment vertical="center"/>
    </xf>
    <xf numFmtId="9" fontId="3" fillId="0" borderId="2" xfId="0" applyNumberFormat="1" applyFont="1" applyFill="1" applyBorder="1" applyAlignment="1">
      <alignment horizontal="center" vertical="center"/>
    </xf>
    <xf numFmtId="9" fontId="0" fillId="0" borderId="0" xfId="0" applyNumberFormat="1" applyAlignment="1"/>
    <xf numFmtId="0" fontId="0" fillId="0" borderId="0" xfId="0" applyFont="1">
      <alignment vertical="center"/>
    </xf>
    <xf numFmtId="0" fontId="0" fillId="0" borderId="0" xfId="0" applyFont="1" applyAlignment="1">
      <alignment vertical="center"/>
    </xf>
    <xf numFmtId="0" fontId="14" fillId="16" borderId="0" xfId="0" applyFont="1" applyFill="1" applyAlignment="1"/>
    <xf numFmtId="0" fontId="0" fillId="24" borderId="0" xfId="0" applyFill="1">
      <alignment vertical="center"/>
    </xf>
    <xf numFmtId="0" fontId="17" fillId="0" borderId="13" xfId="0" applyNumberFormat="1" applyFont="1" applyFill="1" applyBorder="1" applyAlignment="1" applyProtection="1">
      <alignment horizontal="center"/>
    </xf>
    <xf numFmtId="49" fontId="17" fillId="0" borderId="2" xfId="0" applyNumberFormat="1" applyFont="1" applyFill="1" applyBorder="1" applyAlignment="1" applyProtection="1">
      <alignment horizontal="center"/>
    </xf>
    <xf numFmtId="0" fontId="17" fillId="0" borderId="2" xfId="0" applyNumberFormat="1" applyFont="1" applyFill="1" applyBorder="1" applyAlignment="1" applyProtection="1">
      <alignment horizontal="center"/>
    </xf>
    <xf numFmtId="0" fontId="17" fillId="0" borderId="2" xfId="0" applyNumberFormat="1" applyFont="1" applyFill="1" applyBorder="1" applyAlignment="1" applyProtection="1">
      <alignment wrapText="1"/>
    </xf>
    <xf numFmtId="49" fontId="17" fillId="0" borderId="13" xfId="0" applyNumberFormat="1" applyFont="1" applyFill="1" applyBorder="1" applyAlignment="1" applyProtection="1">
      <alignment horizontal="center"/>
    </xf>
    <xf numFmtId="0" fontId="18" fillId="24" borderId="2" xfId="0" applyNumberFormat="1" applyFont="1" applyFill="1" applyBorder="1" applyAlignment="1" applyProtection="1">
      <alignment vertical="center"/>
    </xf>
    <xf numFmtId="49" fontId="17" fillId="24" borderId="13" xfId="0" applyNumberFormat="1" applyFont="1" applyFill="1" applyBorder="1" applyAlignment="1" applyProtection="1">
      <alignment horizontal="center"/>
    </xf>
    <xf numFmtId="0" fontId="17" fillId="24" borderId="2" xfId="0" applyNumberFormat="1" applyFont="1" applyFill="1" applyBorder="1" applyAlignment="1" applyProtection="1">
      <alignment horizontal="center"/>
    </xf>
    <xf numFmtId="0" fontId="18" fillId="24" borderId="13" xfId="0" applyNumberFormat="1" applyFont="1" applyFill="1" applyBorder="1" applyAlignment="1" applyProtection="1">
      <alignment horizontal="left" vertical="center"/>
    </xf>
    <xf numFmtId="0" fontId="18" fillId="0" borderId="13" xfId="0" applyNumberFormat="1" applyFont="1" applyFill="1" applyBorder="1" applyAlignment="1" applyProtection="1">
      <alignment horizontal="left" vertical="center"/>
    </xf>
    <xf numFmtId="49" fontId="17" fillId="24" borderId="2" xfId="0" applyNumberFormat="1" applyFont="1" applyFill="1" applyBorder="1" applyAlignment="1" applyProtection="1">
      <alignment horizontal="center"/>
    </xf>
    <xf numFmtId="0" fontId="18" fillId="0" borderId="2" xfId="0" applyNumberFormat="1" applyFont="1" applyFill="1" applyBorder="1" applyAlignment="1" applyProtection="1">
      <alignment horizontal="left" vertical="center"/>
    </xf>
    <xf numFmtId="0" fontId="18" fillId="24" borderId="2" xfId="0" applyNumberFormat="1" applyFont="1" applyFill="1" applyBorder="1" applyAlignment="1" applyProtection="1">
      <alignment horizontal="left" vertical="center"/>
    </xf>
    <xf numFmtId="0" fontId="17" fillId="0" borderId="0" xfId="0" applyNumberFormat="1" applyFont="1" applyFill="1" applyBorder="1" applyAlignment="1" applyProtection="1"/>
    <xf numFmtId="184" fontId="17" fillId="0" borderId="0" xfId="0" applyNumberFormat="1" applyFont="1" applyFill="1" applyBorder="1" applyAlignment="1" applyProtection="1"/>
    <xf numFmtId="0" fontId="17" fillId="0" borderId="0" xfId="0" applyNumberFormat="1" applyFont="1" applyFill="1" applyBorder="1" applyAlignment="1" applyProtection="1">
      <alignment horizontal="center"/>
    </xf>
    <xf numFmtId="0" fontId="19" fillId="0" borderId="0" xfId="0" applyNumberFormat="1" applyFont="1" applyFill="1" applyBorder="1" applyAlignment="1" applyProtection="1"/>
    <xf numFmtId="0" fontId="20" fillId="0" borderId="0" xfId="0" applyNumberFormat="1" applyFont="1" applyFill="1" applyBorder="1" applyAlignment="1" applyProtection="1">
      <alignment vertical="center"/>
    </xf>
    <xf numFmtId="9" fontId="19" fillId="0" borderId="0" xfId="0" applyNumberFormat="1" applyFont="1" applyFill="1" applyBorder="1" applyAlignment="1" applyProtection="1"/>
    <xf numFmtId="10" fontId="19" fillId="16" borderId="0" xfId="0" applyNumberFormat="1" applyFont="1" applyFill="1" applyBorder="1" applyAlignment="1" applyProtection="1"/>
    <xf numFmtId="188" fontId="17" fillId="0" borderId="11" xfId="0" applyNumberFormat="1" applyFont="1" applyFill="1" applyBorder="1" applyAlignment="1" applyProtection="1">
      <alignment horizontal="right"/>
    </xf>
    <xf numFmtId="49" fontId="17" fillId="0" borderId="13" xfId="0" applyNumberFormat="1" applyFont="1" applyFill="1" applyBorder="1" applyAlignment="1" applyProtection="1">
      <alignment horizontal="left"/>
    </xf>
    <xf numFmtId="0" fontId="17" fillId="0" borderId="13" xfId="0" applyNumberFormat="1" applyFont="1" applyFill="1" applyBorder="1" applyAlignment="1" applyProtection="1"/>
    <xf numFmtId="0" fontId="17" fillId="24" borderId="13" xfId="0" applyNumberFormat="1" applyFont="1" applyFill="1" applyBorder="1" applyAlignment="1" applyProtection="1"/>
    <xf numFmtId="188" fontId="17" fillId="24" borderId="11" xfId="0" applyNumberFormat="1" applyFont="1" applyFill="1" applyBorder="1" applyAlignment="1" applyProtection="1">
      <alignment horizontal="right"/>
    </xf>
    <xf numFmtId="49" fontId="17" fillId="24" borderId="13" xfId="0" applyNumberFormat="1" applyFont="1" applyFill="1" applyBorder="1" applyAlignment="1" applyProtection="1">
      <alignment horizontal="left"/>
    </xf>
    <xf numFmtId="0" fontId="17" fillId="0" borderId="0" xfId="0" applyNumberFormat="1" applyFont="1" applyFill="1" applyBorder="1" applyAlignment="1" applyProtection="1">
      <alignment horizontal="left" vertical="center"/>
    </xf>
    <xf numFmtId="0" fontId="90" fillId="0" borderId="0" xfId="1542" applyAlignment="1"/>
    <xf numFmtId="0" fontId="9" fillId="20" borderId="0" xfId="1542" applyFont="1" applyFill="1" applyAlignment="1"/>
    <xf numFmtId="0" fontId="9" fillId="12" borderId="0" xfId="1542" applyFont="1" applyFill="1" applyAlignment="1"/>
    <xf numFmtId="0" fontId="90" fillId="0" borderId="0" xfId="1542" applyFill="1" applyAlignment="1"/>
    <xf numFmtId="0" fontId="9" fillId="0" borderId="0" xfId="1542" applyFont="1" applyAlignment="1"/>
    <xf numFmtId="0" fontId="9" fillId="8" borderId="0" xfId="1542" applyFont="1" applyFill="1" applyAlignment="1"/>
    <xf numFmtId="179" fontId="3" fillId="25" borderId="2" xfId="0" applyNumberFormat="1" applyFont="1" applyFill="1" applyBorder="1" applyAlignment="1">
      <alignment horizontal="center"/>
    </xf>
    <xf numFmtId="10" fontId="9" fillId="0" borderId="2" xfId="707" applyNumberFormat="1" applyFont="1" applyBorder="1" applyAlignment="1" applyProtection="1">
      <alignment horizontal="center" vertical="center"/>
      <protection hidden="1"/>
    </xf>
    <xf numFmtId="186" fontId="9" fillId="0" borderId="2" xfId="707" applyNumberFormat="1" applyFont="1" applyBorder="1" applyAlignment="1" applyProtection="1">
      <alignment horizontal="center" vertical="center"/>
      <protection hidden="1"/>
    </xf>
    <xf numFmtId="178" fontId="4" fillId="0" borderId="2" xfId="1542" applyNumberFormat="1" applyFont="1" applyBorder="1" applyAlignment="1">
      <alignment horizontal="center"/>
    </xf>
    <xf numFmtId="184" fontId="4" fillId="0" borderId="2" xfId="1542" applyNumberFormat="1" applyFont="1" applyBorder="1" applyAlignment="1">
      <alignment horizontal="center"/>
    </xf>
    <xf numFmtId="0" fontId="9" fillId="0" borderId="13" xfId="0" applyFont="1" applyBorder="1" applyAlignment="1">
      <alignment horizontal="center"/>
    </xf>
    <xf numFmtId="0" fontId="0" fillId="0" borderId="2" xfId="0" applyBorder="1" applyAlignment="1">
      <alignment horizontal="center"/>
    </xf>
    <xf numFmtId="0" fontId="0" fillId="0" borderId="2" xfId="0" applyBorder="1" applyAlignment="1"/>
    <xf numFmtId="0" fontId="3" fillId="6" borderId="27" xfId="0" applyFont="1" applyFill="1" applyBorder="1" applyAlignment="1">
      <alignment horizontal="left"/>
    </xf>
    <xf numFmtId="184" fontId="3" fillId="6" borderId="27" xfId="0" applyNumberFormat="1" applyFont="1" applyFill="1" applyBorder="1" applyAlignment="1">
      <alignment horizontal="center"/>
    </xf>
    <xf numFmtId="0" fontId="9" fillId="20" borderId="0" xfId="1542" applyFont="1" applyFill="1" applyAlignment="1">
      <alignment horizontal="center"/>
    </xf>
    <xf numFmtId="0" fontId="3" fillId="20" borderId="2" xfId="1542" applyFont="1" applyFill="1" applyBorder="1" applyAlignment="1">
      <alignment horizontal="center"/>
    </xf>
    <xf numFmtId="180" fontId="9" fillId="20" borderId="2" xfId="1542" applyNumberFormat="1" applyFont="1" applyFill="1" applyBorder="1" applyAlignment="1">
      <alignment horizontal="center"/>
    </xf>
    <xf numFmtId="0" fontId="9" fillId="20" borderId="2" xfId="1542" applyFont="1" applyFill="1" applyBorder="1" applyAlignment="1">
      <alignment horizontal="center"/>
    </xf>
    <xf numFmtId="184" fontId="9" fillId="20" borderId="2" xfId="1542" applyNumberFormat="1" applyFont="1" applyFill="1" applyBorder="1" applyAlignment="1">
      <alignment horizontal="center"/>
    </xf>
    <xf numFmtId="9" fontId="3" fillId="20" borderId="2" xfId="1542" applyNumberFormat="1" applyFont="1" applyFill="1" applyBorder="1" applyAlignment="1">
      <alignment horizontal="center"/>
    </xf>
    <xf numFmtId="0" fontId="3" fillId="20" borderId="2" xfId="1542" applyFont="1" applyFill="1" applyBorder="1" applyAlignment="1">
      <alignment horizontal="center" vertical="center" wrapText="1"/>
    </xf>
    <xf numFmtId="10" fontId="3" fillId="20" borderId="2" xfId="1542" applyNumberFormat="1" applyFont="1" applyFill="1" applyBorder="1" applyAlignment="1">
      <alignment horizontal="center"/>
    </xf>
    <xf numFmtId="10" fontId="9" fillId="20" borderId="2" xfId="1542" applyNumberFormat="1" applyFont="1" applyFill="1" applyBorder="1" applyAlignment="1">
      <alignment horizontal="center"/>
    </xf>
    <xf numFmtId="0" fontId="90" fillId="0" borderId="0" xfId="1542" applyAlignment="1">
      <alignment horizontal="center"/>
    </xf>
    <xf numFmtId="0" fontId="9" fillId="12" borderId="0" xfId="1542" applyFont="1" applyFill="1" applyAlignment="1">
      <alignment horizontal="center"/>
    </xf>
    <xf numFmtId="0" fontId="9" fillId="12" borderId="2" xfId="1542" applyFont="1" applyFill="1" applyBorder="1" applyAlignment="1"/>
    <xf numFmtId="10" fontId="9" fillId="12" borderId="2" xfId="1542" applyNumberFormat="1" applyFont="1" applyFill="1" applyBorder="1" applyAlignment="1">
      <alignment horizontal="center"/>
    </xf>
    <xf numFmtId="0" fontId="9" fillId="12" borderId="0" xfId="1542" applyFont="1" applyFill="1" applyBorder="1" applyAlignment="1">
      <alignment horizontal="left"/>
    </xf>
    <xf numFmtId="0" fontId="90" fillId="0" borderId="0" xfId="1542" applyFill="1" applyAlignment="1">
      <alignment horizontal="center"/>
    </xf>
    <xf numFmtId="0" fontId="3" fillId="0" borderId="0" xfId="1542" applyFont="1" applyFill="1" applyBorder="1" applyAlignment="1">
      <alignment horizontal="left"/>
    </xf>
    <xf numFmtId="184" fontId="90" fillId="0" borderId="0" xfId="1542" applyNumberFormat="1" applyFill="1" applyAlignment="1"/>
    <xf numFmtId="0" fontId="9" fillId="0" borderId="0" xfId="1542" applyFont="1" applyAlignment="1">
      <alignment horizontal="center"/>
    </xf>
    <xf numFmtId="0" fontId="9" fillId="24" borderId="0" xfId="1542" applyFont="1" applyFill="1" applyAlignment="1"/>
    <xf numFmtId="0" fontId="9" fillId="8" borderId="0" xfId="1542" applyFont="1" applyFill="1" applyAlignment="1">
      <alignment horizontal="center"/>
    </xf>
    <xf numFmtId="0" fontId="9" fillId="8" borderId="2" xfId="1542" applyFont="1" applyFill="1" applyBorder="1" applyAlignment="1"/>
    <xf numFmtId="184" fontId="9" fillId="8" borderId="2" xfId="1542" applyNumberFormat="1" applyFont="1" applyFill="1" applyBorder="1" applyAlignment="1"/>
    <xf numFmtId="10" fontId="9" fillId="8" borderId="2" xfId="1542" applyNumberFormat="1" applyFont="1" applyFill="1" applyBorder="1" applyAlignment="1"/>
    <xf numFmtId="0" fontId="3" fillId="6" borderId="2" xfId="1542" applyFont="1" applyFill="1" applyBorder="1" applyAlignment="1">
      <alignment horizontal="left"/>
    </xf>
    <xf numFmtId="184" fontId="3" fillId="6" borderId="2" xfId="1542" applyNumberFormat="1" applyFont="1" applyFill="1" applyBorder="1" applyAlignment="1">
      <alignment horizontal="center"/>
    </xf>
    <xf numFmtId="0" fontId="90" fillId="6" borderId="2" xfId="1542" applyFill="1" applyBorder="1" applyAlignment="1"/>
    <xf numFmtId="0" fontId="3" fillId="6" borderId="2" xfId="1542" applyFont="1" applyFill="1" applyBorder="1" applyAlignment="1">
      <alignment vertical="center" wrapText="1"/>
    </xf>
    <xf numFmtId="10" fontId="3" fillId="6" borderId="2" xfId="1542" applyNumberFormat="1" applyFont="1" applyFill="1" applyBorder="1" applyAlignment="1">
      <alignment horizontal="center"/>
    </xf>
    <xf numFmtId="0" fontId="11" fillId="6" borderId="11" xfId="1542" applyFont="1" applyFill="1" applyBorder="1" applyAlignment="1">
      <alignment horizontal="left"/>
    </xf>
    <xf numFmtId="0" fontId="11" fillId="6" borderId="12" xfId="1542" applyFont="1" applyFill="1" applyBorder="1" applyAlignment="1">
      <alignment horizontal="left"/>
    </xf>
    <xf numFmtId="0" fontId="11" fillId="6" borderId="13" xfId="1542" applyFont="1" applyFill="1" applyBorder="1" applyAlignment="1">
      <alignment horizontal="left"/>
    </xf>
    <xf numFmtId="0" fontId="13" fillId="6" borderId="2" xfId="1542" applyFont="1" applyFill="1" applyBorder="1" applyAlignment="1">
      <alignment horizontal="center"/>
    </xf>
    <xf numFmtId="0" fontId="13" fillId="6" borderId="12" xfId="1542" applyFont="1" applyFill="1" applyBorder="1" applyAlignment="1">
      <alignment horizontal="center"/>
    </xf>
    <xf numFmtId="0" fontId="13" fillId="6" borderId="13" xfId="1542" applyFont="1" applyFill="1" applyBorder="1" applyAlignment="1">
      <alignment horizontal="center"/>
    </xf>
    <xf numFmtId="9" fontId="3" fillId="6" borderId="2" xfId="1542" applyNumberFormat="1" applyFont="1" applyFill="1" applyBorder="1" applyAlignment="1">
      <alignment horizontal="center"/>
    </xf>
    <xf numFmtId="0" fontId="9" fillId="6" borderId="2" xfId="1542" applyFont="1" applyFill="1" applyBorder="1" applyAlignment="1"/>
    <xf numFmtId="9" fontId="9" fillId="6" borderId="2" xfId="1542" applyNumberFormat="1" applyFont="1" applyFill="1" applyBorder="1" applyAlignment="1">
      <alignment horizontal="center"/>
    </xf>
    <xf numFmtId="0" fontId="23" fillId="0" borderId="2" xfId="0" applyFont="1" applyFill="1" applyBorder="1" applyAlignment="1">
      <alignment horizontal="center" vertical="center"/>
    </xf>
    <xf numFmtId="0" fontId="6" fillId="20" borderId="13" xfId="0" applyFont="1" applyFill="1" applyBorder="1" applyAlignment="1">
      <alignment horizontal="center" vertical="center"/>
    </xf>
    <xf numFmtId="49" fontId="23" fillId="0" borderId="2" xfId="0" applyNumberFormat="1" applyFont="1" applyFill="1" applyBorder="1" applyAlignment="1">
      <alignment horizontal="center" vertical="center"/>
    </xf>
    <xf numFmtId="0" fontId="6" fillId="0" borderId="2" xfId="0" applyFont="1" applyBorder="1" applyAlignment="1">
      <alignment horizontal="justify" vertical="center"/>
    </xf>
    <xf numFmtId="178" fontId="23" fillId="0" borderId="2" xfId="0" applyNumberFormat="1" applyFont="1" applyFill="1" applyBorder="1" applyAlignment="1">
      <alignment horizontal="center" vertical="center"/>
    </xf>
    <xf numFmtId="0" fontId="23" fillId="0" borderId="0" xfId="0" applyFont="1" applyAlignment="1">
      <alignment horizontal="center" vertical="center"/>
    </xf>
    <xf numFmtId="0" fontId="23" fillId="0" borderId="2" xfId="0" applyNumberFormat="1" applyFont="1" applyFill="1" applyBorder="1" applyAlignment="1">
      <alignment horizontal="center" vertical="center"/>
    </xf>
    <xf numFmtId="0" fontId="6" fillId="0" borderId="2" xfId="0" applyFont="1" applyBorder="1" applyAlignment="1"/>
    <xf numFmtId="0" fontId="23" fillId="0" borderId="13" xfId="0" applyFont="1" applyBorder="1" applyAlignment="1">
      <alignment vertical="center"/>
    </xf>
    <xf numFmtId="0" fontId="23" fillId="0" borderId="0" xfId="0" applyFont="1" applyAlignment="1"/>
    <xf numFmtId="0" fontId="23" fillId="0" borderId="0" xfId="0" applyFont="1" applyAlignment="1">
      <alignment horizontal="center"/>
    </xf>
    <xf numFmtId="0" fontId="15" fillId="0" borderId="0" xfId="0" applyFont="1" applyBorder="1" applyAlignment="1">
      <alignment horizontal="center"/>
    </xf>
    <xf numFmtId="0" fontId="24" fillId="0" borderId="0" xfId="0" applyFont="1" applyAlignment="1">
      <alignment horizontal="center"/>
    </xf>
    <xf numFmtId="9" fontId="24" fillId="0" borderId="0" xfId="0" applyNumberFormat="1" applyFont="1" applyAlignment="1">
      <alignment horizontal="center"/>
    </xf>
    <xf numFmtId="0" fontId="1" fillId="0" borderId="0" xfId="0" applyFont="1" applyAlignment="1">
      <alignment vertical="center"/>
    </xf>
    <xf numFmtId="49" fontId="3" fillId="0" borderId="0" xfId="0" applyNumberFormat="1" applyFont="1" applyFill="1" applyBorder="1" applyAlignment="1">
      <alignment horizontal="center" vertical="center" wrapText="1"/>
    </xf>
    <xf numFmtId="0" fontId="3" fillId="0" borderId="0" xfId="0" applyFont="1" applyFill="1" applyBorder="1" applyAlignment="1">
      <alignment horizontal="center" vertical="center"/>
    </xf>
    <xf numFmtId="0" fontId="3" fillId="0" borderId="0" xfId="0" applyFont="1" applyFill="1" applyBorder="1" applyAlignment="1">
      <alignment vertical="center" wrapText="1"/>
    </xf>
    <xf numFmtId="0" fontId="1" fillId="0" borderId="0" xfId="0" applyFont="1" applyBorder="1" applyAlignment="1">
      <alignment vertical="center" wrapText="1"/>
    </xf>
    <xf numFmtId="0" fontId="1" fillId="0" borderId="0" xfId="0" applyFont="1" applyBorder="1" applyAlignment="1">
      <alignment horizontal="center" vertical="center" wrapText="1"/>
    </xf>
    <xf numFmtId="0" fontId="1" fillId="0" borderId="0" xfId="0" applyFont="1" applyBorder="1" applyAlignment="1">
      <alignment horizontal="center"/>
    </xf>
    <xf numFmtId="180" fontId="3" fillId="0" borderId="0" xfId="0" applyNumberFormat="1" applyFont="1" applyFill="1" applyBorder="1" applyAlignment="1">
      <alignment horizontal="center" vertical="center"/>
    </xf>
    <xf numFmtId="188" fontId="23" fillId="0" borderId="11" xfId="0" applyNumberFormat="1" applyFont="1" applyBorder="1" applyAlignment="1">
      <alignment horizontal="right"/>
    </xf>
    <xf numFmtId="49" fontId="23" fillId="0" borderId="13" xfId="0" applyNumberFormat="1" applyFont="1" applyBorder="1" applyAlignment="1">
      <alignment horizontal="left"/>
    </xf>
    <xf numFmtId="0" fontId="23" fillId="0" borderId="2" xfId="0" applyFont="1" applyBorder="1" applyAlignment="1">
      <alignment horizontal="center"/>
    </xf>
    <xf numFmtId="188" fontId="23" fillId="0" borderId="11" xfId="0" applyNumberFormat="1" applyFont="1" applyFill="1" applyBorder="1" applyAlignment="1">
      <alignment horizontal="right"/>
    </xf>
    <xf numFmtId="49" fontId="23" fillId="0" borderId="13" xfId="0" applyNumberFormat="1" applyFont="1" applyFill="1" applyBorder="1" applyAlignment="1">
      <alignment horizontal="left"/>
    </xf>
    <xf numFmtId="0" fontId="23" fillId="0" borderId="0" xfId="0" applyFont="1" applyFill="1" applyAlignment="1"/>
    <xf numFmtId="0" fontId="23" fillId="5" borderId="0" xfId="0" applyFont="1" applyFill="1" applyAlignment="1"/>
    <xf numFmtId="189" fontId="23" fillId="0" borderId="2" xfId="0" applyNumberFormat="1" applyFont="1" applyBorder="1" applyAlignment="1">
      <alignment horizontal="center"/>
    </xf>
    <xf numFmtId="0" fontId="23" fillId="0" borderId="2" xfId="0" applyFont="1" applyBorder="1" applyAlignment="1">
      <alignment horizontal="left"/>
    </xf>
    <xf numFmtId="0" fontId="23" fillId="0" borderId="13" xfId="0" applyFont="1" applyBorder="1" applyAlignment="1"/>
    <xf numFmtId="0" fontId="23" fillId="0" borderId="13" xfId="0" applyFont="1" applyFill="1" applyBorder="1" applyAlignment="1"/>
    <xf numFmtId="189" fontId="23" fillId="0" borderId="2" xfId="0" applyNumberFormat="1" applyFont="1" applyFill="1" applyBorder="1" applyAlignment="1">
      <alignment horizontal="center"/>
    </xf>
    <xf numFmtId="49" fontId="9" fillId="0" borderId="2" xfId="0" applyNumberFormat="1" applyFont="1" applyBorder="1" applyAlignment="1">
      <alignment horizontal="center" vertical="center"/>
    </xf>
    <xf numFmtId="0" fontId="3" fillId="0" borderId="2" xfId="480" applyFont="1" applyFill="1" applyBorder="1" applyAlignment="1">
      <alignment horizontal="center" vertical="center" wrapText="1"/>
    </xf>
    <xf numFmtId="178" fontId="3" fillId="0" borderId="2" xfId="480" applyNumberFormat="1" applyFont="1" applyFill="1" applyBorder="1" applyAlignment="1">
      <alignment horizontal="center" vertical="center" wrapText="1"/>
    </xf>
    <xf numFmtId="0" fontId="4" fillId="0" borderId="2" xfId="480" applyFont="1" applyFill="1" applyBorder="1" applyAlignment="1">
      <alignment horizontal="center" vertical="center" wrapText="1"/>
    </xf>
    <xf numFmtId="184" fontId="4" fillId="0" borderId="2" xfId="480" applyNumberFormat="1" applyFont="1" applyFill="1" applyBorder="1" applyAlignment="1">
      <alignment horizontal="center" vertical="center" wrapText="1"/>
    </xf>
    <xf numFmtId="0" fontId="3" fillId="16" borderId="2" xfId="1516" applyFont="1" applyFill="1" applyBorder="1" applyAlignment="1">
      <alignment horizontal="center"/>
    </xf>
    <xf numFmtId="49" fontId="8" fillId="0" borderId="2" xfId="0" applyNumberFormat="1" applyFont="1" applyBorder="1" applyAlignment="1">
      <alignment horizontal="center" vertical="center"/>
    </xf>
    <xf numFmtId="0" fontId="3" fillId="0" borderId="2" xfId="1516" applyFont="1" applyBorder="1" applyAlignment="1">
      <alignment horizontal="center"/>
    </xf>
    <xf numFmtId="0" fontId="3" fillId="5" borderId="2" xfId="480" applyFont="1" applyFill="1" applyBorder="1" applyAlignment="1">
      <alignment horizontal="center" vertical="center" wrapText="1"/>
    </xf>
    <xf numFmtId="182" fontId="3" fillId="5" borderId="2" xfId="480" applyNumberFormat="1" applyFont="1" applyFill="1" applyBorder="1" applyAlignment="1">
      <alignment horizontal="center" vertical="center" wrapText="1"/>
    </xf>
    <xf numFmtId="1" fontId="3" fillId="0" borderId="2" xfId="480" applyNumberFormat="1" applyFont="1" applyFill="1" applyBorder="1" applyAlignment="1">
      <alignment horizontal="center" vertical="center" wrapText="1"/>
    </xf>
    <xf numFmtId="0" fontId="18" fillId="0" borderId="2" xfId="0" applyFont="1" applyFill="1" applyBorder="1" applyAlignment="1">
      <alignment horizontal="center" vertical="center" wrapText="1"/>
    </xf>
    <xf numFmtId="0" fontId="9" fillId="0" borderId="2" xfId="480" applyFont="1" applyBorder="1" applyAlignment="1">
      <alignment horizontal="center"/>
    </xf>
    <xf numFmtId="0" fontId="18" fillId="0" borderId="2" xfId="480" applyFont="1" applyBorder="1" applyAlignment="1">
      <alignment horizontal="center"/>
    </xf>
    <xf numFmtId="10" fontId="3" fillId="16" borderId="2" xfId="0" applyNumberFormat="1" applyFont="1" applyFill="1" applyBorder="1" applyAlignment="1">
      <alignment horizontal="center" vertical="center" wrapText="1"/>
    </xf>
    <xf numFmtId="179" fontId="3" fillId="16" borderId="2" xfId="0" applyNumberFormat="1" applyFont="1" applyFill="1" applyBorder="1" applyAlignment="1">
      <alignment horizontal="center" vertical="center" wrapText="1"/>
    </xf>
    <xf numFmtId="182" fontId="3" fillId="5" borderId="2" xfId="10" applyNumberFormat="1" applyFont="1" applyFill="1" applyBorder="1" applyAlignment="1">
      <alignment horizontal="center" vertical="center" wrapText="1"/>
    </xf>
    <xf numFmtId="187" fontId="3" fillId="5" borderId="2" xfId="0" applyNumberFormat="1" applyFont="1" applyFill="1" applyBorder="1" applyAlignment="1">
      <alignment horizontal="center" vertical="center" wrapText="1"/>
    </xf>
    <xf numFmtId="0" fontId="18" fillId="0" borderId="2" xfId="480" applyFont="1" applyFill="1" applyBorder="1" applyAlignment="1">
      <alignment horizontal="center"/>
    </xf>
    <xf numFmtId="182" fontId="3" fillId="5" borderId="2" xfId="0" applyNumberFormat="1" applyFont="1" applyFill="1" applyBorder="1" applyAlignment="1">
      <alignment horizontal="center" vertical="center" wrapText="1"/>
    </xf>
    <xf numFmtId="49" fontId="18" fillId="0" borderId="2" xfId="0" applyNumberFormat="1" applyFont="1" applyBorder="1" applyAlignment="1">
      <alignment horizontal="center" vertical="center"/>
    </xf>
    <xf numFmtId="182" fontId="4" fillId="0" borderId="11" xfId="480" applyNumberFormat="1" applyFont="1" applyFill="1" applyBorder="1" applyAlignment="1">
      <alignment horizontal="center" vertical="center" wrapText="1"/>
    </xf>
    <xf numFmtId="0" fontId="4" fillId="0" borderId="11" xfId="480" applyFont="1" applyFill="1" applyBorder="1" applyAlignment="1">
      <alignment horizontal="center" vertical="center" wrapText="1"/>
    </xf>
    <xf numFmtId="0" fontId="90" fillId="0" borderId="0" xfId="1542">
      <alignment vertical="center"/>
    </xf>
    <xf numFmtId="0" fontId="7" fillId="0" borderId="0" xfId="1542" applyFont="1" applyAlignment="1"/>
    <xf numFmtId="0" fontId="3" fillId="0" borderId="2" xfId="1542" applyFont="1" applyBorder="1" applyAlignment="1">
      <alignment horizontal="center"/>
    </xf>
    <xf numFmtId="0" fontId="3" fillId="0" borderId="2" xfId="1542" applyFont="1" applyBorder="1" applyAlignment="1"/>
    <xf numFmtId="184" fontId="3" fillId="0" borderId="2" xfId="1542" applyNumberFormat="1" applyFont="1" applyBorder="1" applyAlignment="1">
      <alignment horizontal="center"/>
    </xf>
    <xf numFmtId="180" fontId="3" fillId="0" borderId="2" xfId="1542" applyNumberFormat="1" applyFont="1" applyBorder="1" applyAlignment="1"/>
    <xf numFmtId="9" fontId="3" fillId="0" borderId="2" xfId="1542" applyNumberFormat="1" applyFont="1" applyBorder="1" applyAlignment="1">
      <alignment horizontal="center"/>
    </xf>
    <xf numFmtId="0" fontId="4" fillId="0" borderId="2" xfId="1542" applyFont="1" applyBorder="1" applyAlignment="1">
      <alignment horizontal="center"/>
    </xf>
    <xf numFmtId="0" fontId="3" fillId="0" borderId="2" xfId="721" applyFont="1" applyBorder="1" applyAlignment="1" applyProtection="1">
      <alignment horizontal="center"/>
      <protection hidden="1"/>
    </xf>
    <xf numFmtId="0" fontId="4" fillId="0" borderId="2" xfId="721" applyFont="1" applyBorder="1" applyAlignment="1" applyProtection="1">
      <alignment horizontal="center"/>
      <protection hidden="1"/>
    </xf>
    <xf numFmtId="180" fontId="4" fillId="0" borderId="2" xfId="721" applyNumberFormat="1" applyFont="1" applyBorder="1" applyAlignment="1" applyProtection="1">
      <alignment horizontal="center"/>
      <protection hidden="1"/>
    </xf>
    <xf numFmtId="180" fontId="3" fillId="0" borderId="2" xfId="721" applyNumberFormat="1" applyFont="1" applyBorder="1" applyAlignment="1" applyProtection="1">
      <alignment horizontal="center"/>
      <protection hidden="1"/>
    </xf>
    <xf numFmtId="0" fontId="3" fillId="0" borderId="2" xfId="721" applyFont="1" applyBorder="1" applyAlignment="1" applyProtection="1">
      <protection hidden="1"/>
    </xf>
    <xf numFmtId="179" fontId="3" fillId="0" borderId="2" xfId="721" applyNumberFormat="1" applyFont="1" applyBorder="1" applyAlignment="1" applyProtection="1">
      <alignment horizontal="center"/>
      <protection hidden="1"/>
    </xf>
    <xf numFmtId="9" fontId="12" fillId="0" borderId="2" xfId="721" applyNumberFormat="1" applyFont="1" applyBorder="1" applyAlignment="1" applyProtection="1">
      <alignment horizontal="center"/>
      <protection hidden="1"/>
    </xf>
    <xf numFmtId="180" fontId="3" fillId="0" borderId="2" xfId="721" applyNumberFormat="1" applyFont="1" applyBorder="1" applyAlignment="1" applyProtection="1">
      <protection hidden="1"/>
    </xf>
    <xf numFmtId="0" fontId="9" fillId="0" borderId="2" xfId="1542" applyFont="1" applyFill="1" applyBorder="1" applyAlignment="1"/>
    <xf numFmtId="10" fontId="12" fillId="0" borderId="2" xfId="721" applyNumberFormat="1" applyFont="1" applyBorder="1" applyAlignment="1" applyProtection="1">
      <alignment horizontal="center"/>
      <protection hidden="1"/>
    </xf>
    <xf numFmtId="180" fontId="4" fillId="0" borderId="2" xfId="721" applyNumberFormat="1" applyFont="1" applyBorder="1" applyAlignment="1" applyProtection="1">
      <protection hidden="1"/>
    </xf>
    <xf numFmtId="10" fontId="3" fillId="0" borderId="2" xfId="721" applyNumberFormat="1" applyFont="1" applyBorder="1" applyAlignment="1" applyProtection="1">
      <alignment horizontal="center"/>
      <protection hidden="1"/>
    </xf>
    <xf numFmtId="0" fontId="4" fillId="0" borderId="2" xfId="721" applyFont="1" applyBorder="1" applyAlignment="1" applyProtection="1">
      <protection hidden="1"/>
    </xf>
    <xf numFmtId="10" fontId="9" fillId="0" borderId="2" xfId="721" applyNumberFormat="1" applyFont="1" applyBorder="1" applyAlignment="1" applyProtection="1">
      <alignment horizontal="center" vertical="center"/>
      <protection hidden="1"/>
    </xf>
    <xf numFmtId="185" fontId="4" fillId="0" borderId="2" xfId="721" applyNumberFormat="1" applyFont="1" applyBorder="1" applyAlignment="1" applyProtection="1">
      <alignment horizontal="center"/>
      <protection hidden="1"/>
    </xf>
    <xf numFmtId="186" fontId="9" fillId="0" borderId="2" xfId="721" applyNumberFormat="1" applyFont="1" applyBorder="1" applyAlignment="1" applyProtection="1">
      <alignment horizontal="center" vertical="center"/>
      <protection hidden="1"/>
    </xf>
    <xf numFmtId="0" fontId="4" fillId="0" borderId="0" xfId="721" applyFont="1" applyAlignment="1" applyProtection="1">
      <protection hidden="1"/>
    </xf>
    <xf numFmtId="10" fontId="3" fillId="0" borderId="2" xfId="721" applyNumberFormat="1" applyFont="1" applyFill="1" applyBorder="1" applyAlignment="1" applyProtection="1">
      <alignment horizontal="center"/>
      <protection hidden="1"/>
    </xf>
    <xf numFmtId="0" fontId="4" fillId="0" borderId="2" xfId="1542" applyFont="1" applyBorder="1" applyAlignment="1"/>
    <xf numFmtId="182" fontId="4" fillId="0" borderId="2" xfId="1542" applyNumberFormat="1" applyFont="1" applyBorder="1" applyAlignment="1"/>
    <xf numFmtId="182" fontId="3" fillId="0" borderId="2" xfId="1542" applyNumberFormat="1" applyFont="1" applyBorder="1" applyAlignment="1">
      <alignment horizontal="center"/>
    </xf>
    <xf numFmtId="0" fontId="3" fillId="0" borderId="2" xfId="1542" applyFont="1" applyFill="1" applyBorder="1" applyAlignment="1"/>
    <xf numFmtId="187" fontId="4" fillId="0" borderId="2" xfId="1542" applyNumberFormat="1" applyFont="1" applyBorder="1" applyAlignment="1">
      <alignment horizontal="center"/>
    </xf>
    <xf numFmtId="182" fontId="4" fillId="0" borderId="2" xfId="1542" applyNumberFormat="1" applyFont="1" applyBorder="1" applyAlignment="1">
      <alignment horizontal="center"/>
    </xf>
    <xf numFmtId="184" fontId="4" fillId="0" borderId="2" xfId="1542" applyNumberFormat="1" applyFont="1" applyBorder="1" applyAlignment="1"/>
    <xf numFmtId="10" fontId="4" fillId="0" borderId="2" xfId="1542" applyNumberFormat="1" applyFont="1" applyBorder="1" applyAlignment="1">
      <alignment horizontal="center"/>
    </xf>
    <xf numFmtId="10" fontId="4" fillId="0" borderId="2" xfId="1542" applyNumberFormat="1" applyFont="1" applyBorder="1" applyAlignment="1"/>
    <xf numFmtId="0" fontId="4" fillId="0" borderId="2" xfId="1542" applyFont="1" applyBorder="1" applyAlignment="1">
      <alignment horizontal="left"/>
    </xf>
    <xf numFmtId="0" fontId="3" fillId="0" borderId="13" xfId="1542" applyFont="1" applyBorder="1" applyAlignment="1"/>
    <xf numFmtId="0" fontId="3" fillId="0" borderId="0" xfId="1542" applyFont="1" applyFill="1" applyBorder="1" applyAlignment="1">
      <alignment horizontal="center"/>
    </xf>
    <xf numFmtId="9" fontId="3" fillId="0" borderId="0" xfId="1542" applyNumberFormat="1" applyFont="1" applyFill="1" applyBorder="1" applyAlignment="1">
      <alignment horizontal="center"/>
    </xf>
    <xf numFmtId="0" fontId="9" fillId="0" borderId="0" xfId="1542" applyFont="1" applyFill="1" applyBorder="1" applyAlignment="1"/>
    <xf numFmtId="9" fontId="9" fillId="0" borderId="0" xfId="1542" applyNumberFormat="1" applyFont="1" applyFill="1" applyBorder="1" applyAlignment="1">
      <alignment horizontal="center"/>
    </xf>
    <xf numFmtId="0" fontId="3" fillId="0" borderId="0" xfId="1542" applyFont="1" applyFill="1" applyBorder="1" applyAlignment="1"/>
    <xf numFmtId="0" fontId="8" fillId="0" borderId="2" xfId="721" applyFont="1" applyBorder="1" applyAlignment="1" applyProtection="1">
      <alignment horizontal="left"/>
      <protection hidden="1"/>
    </xf>
    <xf numFmtId="180" fontId="8" fillId="0" borderId="2" xfId="721" applyNumberFormat="1" applyFont="1" applyBorder="1" applyAlignment="1" applyProtection="1">
      <alignment horizontal="center"/>
      <protection hidden="1"/>
    </xf>
    <xf numFmtId="0" fontId="8" fillId="0" borderId="2" xfId="721" applyFont="1" applyBorder="1" applyAlignment="1" applyProtection="1">
      <alignment horizontal="center"/>
      <protection hidden="1"/>
    </xf>
    <xf numFmtId="0" fontId="9" fillId="0" borderId="2" xfId="721" applyFont="1" applyBorder="1" applyAlignment="1" applyProtection="1">
      <alignment horizontal="center"/>
      <protection hidden="1"/>
    </xf>
    <xf numFmtId="180" fontId="9" fillId="0" borderId="2" xfId="721" applyNumberFormat="1" applyFont="1" applyBorder="1" applyAlignment="1" applyProtection="1">
      <alignment horizontal="center"/>
      <protection hidden="1"/>
    </xf>
    <xf numFmtId="185" fontId="8" fillId="0" borderId="2" xfId="721" applyNumberFormat="1" applyFont="1" applyBorder="1" applyAlignment="1" applyProtection="1">
      <alignment horizontal="center"/>
      <protection hidden="1"/>
    </xf>
    <xf numFmtId="184" fontId="0" fillId="0" borderId="0" xfId="0" applyNumberFormat="1" applyAlignment="1">
      <alignment horizontal="center" vertical="center"/>
    </xf>
    <xf numFmtId="0" fontId="0" fillId="0" borderId="0" xfId="0" applyFill="1" applyAlignment="1">
      <alignment horizontal="center" vertical="center"/>
    </xf>
    <xf numFmtId="0" fontId="0" fillId="0" borderId="0" xfId="0" applyAlignment="1">
      <alignment horizontal="center" vertical="center"/>
    </xf>
    <xf numFmtId="0" fontId="0" fillId="0" borderId="0" xfId="0" applyFont="1" applyAlignment="1">
      <alignment horizontal="center" vertical="center"/>
    </xf>
    <xf numFmtId="179" fontId="0" fillId="0" borderId="0" xfId="0" applyNumberFormat="1" applyAlignment="1">
      <alignment horizontal="center" vertical="center"/>
    </xf>
    <xf numFmtId="0" fontId="0" fillId="0" borderId="0" xfId="0" applyAlignment="1">
      <alignment horizontal="center" vertical="center" wrapText="1"/>
    </xf>
    <xf numFmtId="0" fontId="20" fillId="0" borderId="2" xfId="0" applyFont="1" applyBorder="1" applyAlignment="1">
      <alignment horizontal="center" vertical="center"/>
    </xf>
    <xf numFmtId="179" fontId="19" fillId="19" borderId="2" xfId="0" applyNumberFormat="1" applyFont="1" applyFill="1" applyBorder="1" applyAlignment="1">
      <alignment horizontal="center" vertical="center" wrapText="1"/>
    </xf>
    <xf numFmtId="179" fontId="19" fillId="9" borderId="2" xfId="0" applyNumberFormat="1" applyFont="1" applyFill="1" applyBorder="1" applyAlignment="1">
      <alignment horizontal="center" vertical="center" wrapText="1"/>
    </xf>
    <xf numFmtId="179" fontId="19" fillId="7" borderId="2" xfId="0" applyNumberFormat="1" applyFont="1" applyFill="1" applyBorder="1" applyAlignment="1">
      <alignment horizontal="center" vertical="center" wrapText="1"/>
    </xf>
    <xf numFmtId="179" fontId="19" fillId="6" borderId="2" xfId="0" applyNumberFormat="1" applyFont="1" applyFill="1" applyBorder="1" applyAlignment="1">
      <alignment horizontal="center" vertical="center" wrapText="1"/>
    </xf>
    <xf numFmtId="179" fontId="19" fillId="25" borderId="2" xfId="0" applyNumberFormat="1" applyFont="1" applyFill="1" applyBorder="1" applyAlignment="1">
      <alignment horizontal="center" vertical="center" wrapText="1"/>
    </xf>
    <xf numFmtId="0" fontId="19" fillId="25" borderId="2" xfId="0" applyFont="1" applyFill="1" applyBorder="1" applyAlignment="1">
      <alignment horizontal="center" vertical="center"/>
    </xf>
    <xf numFmtId="40" fontId="19" fillId="25" borderId="2" xfId="0" applyNumberFormat="1" applyFont="1" applyFill="1" applyBorder="1" applyAlignment="1">
      <alignment horizontal="center" vertical="center"/>
    </xf>
    <xf numFmtId="0" fontId="20" fillId="25" borderId="2" xfId="0" applyFont="1" applyFill="1" applyBorder="1" applyAlignment="1">
      <alignment horizontal="center" vertical="center"/>
    </xf>
    <xf numFmtId="179" fontId="20" fillId="25" borderId="2" xfId="0" applyNumberFormat="1" applyFont="1" applyFill="1" applyBorder="1" applyAlignment="1">
      <alignment horizontal="center" vertical="center" wrapText="1"/>
    </xf>
    <xf numFmtId="49" fontId="0" fillId="0" borderId="0" xfId="0" applyNumberFormat="1" applyAlignment="1">
      <alignment horizontal="center" vertical="center"/>
    </xf>
    <xf numFmtId="179" fontId="7" fillId="0" borderId="0" xfId="0" applyNumberFormat="1" applyFont="1" applyAlignment="1">
      <alignment horizontal="center" vertical="center"/>
    </xf>
    <xf numFmtId="49" fontId="7" fillId="0" borderId="0" xfId="0" applyNumberFormat="1" applyFont="1" applyAlignment="1">
      <alignment vertical="center"/>
    </xf>
    <xf numFmtId="49" fontId="9" fillId="0" borderId="26" xfId="0" applyNumberFormat="1" applyFont="1" applyBorder="1" applyAlignment="1">
      <alignment horizontal="center" vertical="center"/>
    </xf>
    <xf numFmtId="49" fontId="4" fillId="0" borderId="26" xfId="480" applyNumberFormat="1" applyFont="1" applyFill="1" applyBorder="1" applyAlignment="1">
      <alignment horizontal="center" vertical="center" wrapText="1"/>
    </xf>
    <xf numFmtId="179" fontId="20" fillId="0" borderId="2" xfId="0" applyNumberFormat="1" applyFont="1" applyBorder="1" applyAlignment="1">
      <alignment horizontal="center" vertical="center" wrapText="1"/>
    </xf>
    <xf numFmtId="179" fontId="8" fillId="25" borderId="2" xfId="480" applyNumberFormat="1" applyFont="1" applyFill="1" applyBorder="1" applyAlignment="1">
      <alignment horizontal="center" vertical="center" wrapText="1"/>
    </xf>
    <xf numFmtId="186" fontId="8" fillId="25" borderId="2" xfId="480" applyNumberFormat="1" applyFont="1" applyFill="1" applyBorder="1" applyAlignment="1">
      <alignment horizontal="center" vertical="center" wrapText="1"/>
    </xf>
    <xf numFmtId="182" fontId="8" fillId="25" borderId="2" xfId="480" applyNumberFormat="1" applyFont="1" applyFill="1" applyBorder="1" applyAlignment="1">
      <alignment horizontal="center" vertical="center" wrapText="1"/>
    </xf>
    <xf numFmtId="184" fontId="9" fillId="0" borderId="2" xfId="0" applyNumberFormat="1" applyFont="1" applyBorder="1" applyAlignment="1">
      <alignment horizontal="center" vertical="center"/>
    </xf>
    <xf numFmtId="184" fontId="8" fillId="25" borderId="2" xfId="480" applyNumberFormat="1" applyFont="1" applyFill="1" applyBorder="1" applyAlignment="1">
      <alignment horizontal="center" vertical="center" wrapText="1"/>
    </xf>
    <xf numFmtId="179" fontId="9" fillId="25" borderId="2" xfId="480" applyNumberFormat="1" applyFont="1" applyFill="1" applyBorder="1" applyAlignment="1">
      <alignment horizontal="center" vertical="center" wrapText="1"/>
    </xf>
    <xf numFmtId="0" fontId="3" fillId="16" borderId="2" xfId="1516" applyFont="1" applyFill="1" applyBorder="1" applyAlignment="1">
      <alignment horizontal="center" vertical="center"/>
    </xf>
    <xf numFmtId="178" fontId="9" fillId="25" borderId="2" xfId="480" applyNumberFormat="1" applyFont="1" applyFill="1" applyBorder="1" applyAlignment="1">
      <alignment horizontal="center" vertical="center" wrapText="1"/>
    </xf>
    <xf numFmtId="0" fontId="4" fillId="0" borderId="2" xfId="1516" applyFont="1" applyBorder="1" applyAlignment="1">
      <alignment horizontal="center" vertical="center"/>
    </xf>
    <xf numFmtId="1" fontId="8" fillId="25" borderId="2" xfId="480" applyNumberFormat="1" applyFont="1" applyFill="1" applyBorder="1" applyAlignment="1">
      <alignment horizontal="center" vertical="center" wrapText="1"/>
    </xf>
    <xf numFmtId="182" fontId="9" fillId="25" borderId="2" xfId="480" applyNumberFormat="1" applyFont="1" applyFill="1" applyBorder="1" applyAlignment="1">
      <alignment horizontal="center" vertical="center" wrapText="1"/>
    </xf>
    <xf numFmtId="0" fontId="9" fillId="25" borderId="2" xfId="480" applyFont="1" applyFill="1" applyBorder="1" applyAlignment="1">
      <alignment horizontal="center" vertical="center" wrapText="1"/>
    </xf>
    <xf numFmtId="1" fontId="9" fillId="25" borderId="2" xfId="480" applyNumberFormat="1" applyFont="1" applyFill="1" applyBorder="1" applyAlignment="1">
      <alignment horizontal="center" vertical="center" wrapText="1"/>
    </xf>
    <xf numFmtId="49" fontId="9" fillId="0" borderId="2" xfId="0" applyNumberFormat="1" applyFont="1" applyFill="1" applyBorder="1" applyAlignment="1">
      <alignment horizontal="center" vertical="center"/>
    </xf>
    <xf numFmtId="1" fontId="9" fillId="0" borderId="2" xfId="480" applyNumberFormat="1" applyFont="1" applyFill="1" applyBorder="1" applyAlignment="1">
      <alignment horizontal="center" vertical="center" wrapText="1"/>
    </xf>
    <xf numFmtId="0" fontId="9" fillId="0" borderId="2" xfId="480" applyNumberFormat="1" applyFont="1" applyFill="1" applyBorder="1" applyAlignment="1">
      <alignment horizontal="center" vertical="center" wrapText="1"/>
    </xf>
    <xf numFmtId="179" fontId="9" fillId="0" borderId="2" xfId="480" applyNumberFormat="1" applyFont="1" applyFill="1" applyBorder="1" applyAlignment="1">
      <alignment horizontal="center" vertical="center" wrapText="1"/>
    </xf>
    <xf numFmtId="0" fontId="11" fillId="0" borderId="2" xfId="480" applyNumberFormat="1" applyFont="1" applyFill="1" applyBorder="1" applyAlignment="1">
      <alignment horizontal="center" vertical="center" wrapText="1"/>
    </xf>
    <xf numFmtId="0" fontId="0" fillId="0" borderId="12" xfId="0" applyBorder="1" applyAlignment="1">
      <alignment horizontal="center" vertical="center"/>
    </xf>
    <xf numFmtId="0" fontId="27" fillId="0" borderId="0" xfId="0" applyFont="1" applyAlignment="1">
      <alignment horizontal="center" vertical="center"/>
    </xf>
    <xf numFmtId="0" fontId="6" fillId="0" borderId="0" xfId="0" applyFont="1" applyAlignment="1">
      <alignment horizontal="center" vertical="center"/>
    </xf>
    <xf numFmtId="0" fontId="27" fillId="0" borderId="2" xfId="0" applyFont="1" applyBorder="1" applyAlignment="1">
      <alignment horizontal="center" vertical="center"/>
    </xf>
    <xf numFmtId="182" fontId="27" fillId="0" borderId="2" xfId="0" applyNumberFormat="1" applyFont="1" applyBorder="1" applyAlignment="1">
      <alignment horizontal="center" vertical="center"/>
    </xf>
    <xf numFmtId="180" fontId="27" fillId="0" borderId="2" xfId="0" applyNumberFormat="1" applyFont="1" applyBorder="1" applyAlignment="1">
      <alignment horizontal="center" vertical="center"/>
    </xf>
    <xf numFmtId="179" fontId="19" fillId="5" borderId="2" xfId="0" applyNumberFormat="1" applyFont="1" applyFill="1" applyBorder="1" applyAlignment="1">
      <alignment horizontal="center" vertical="center" wrapText="1"/>
    </xf>
    <xf numFmtId="179" fontId="28" fillId="25" borderId="2" xfId="0" applyNumberFormat="1" applyFont="1" applyFill="1" applyBorder="1" applyAlignment="1">
      <alignment horizontal="center" vertical="center" wrapText="1"/>
    </xf>
    <xf numFmtId="179" fontId="19" fillId="0" borderId="2" xfId="0" applyNumberFormat="1" applyFont="1" applyFill="1" applyBorder="1" applyAlignment="1">
      <alignment horizontal="center" vertical="center" wrapText="1"/>
    </xf>
    <xf numFmtId="187" fontId="27" fillId="0" borderId="2" xfId="0" applyNumberFormat="1" applyFont="1" applyBorder="1" applyAlignment="1">
      <alignment horizontal="center" vertical="center"/>
    </xf>
    <xf numFmtId="0" fontId="0" fillId="0" borderId="2" xfId="480" applyFont="1" applyBorder="1" applyAlignment="1">
      <alignment horizontal="center"/>
    </xf>
    <xf numFmtId="179" fontId="11" fillId="24" borderId="2" xfId="480" applyNumberFormat="1" applyFont="1" applyFill="1" applyBorder="1" applyAlignment="1">
      <alignment horizontal="center" vertical="center" wrapText="1"/>
    </xf>
    <xf numFmtId="190" fontId="9" fillId="25" borderId="2" xfId="480" applyNumberFormat="1" applyFont="1" applyFill="1" applyBorder="1" applyAlignment="1">
      <alignment horizontal="center" vertical="center" wrapText="1"/>
    </xf>
    <xf numFmtId="0" fontId="18" fillId="0" borderId="2" xfId="0" applyFont="1" applyBorder="1" applyAlignment="1">
      <alignment horizontal="center" vertical="center"/>
    </xf>
    <xf numFmtId="10" fontId="4" fillId="5" borderId="2" xfId="0" applyNumberFormat="1" applyFont="1" applyFill="1" applyBorder="1" applyAlignment="1">
      <alignment horizontal="center" vertical="center" wrapText="1"/>
    </xf>
    <xf numFmtId="0" fontId="25" fillId="0" borderId="2" xfId="0" applyFont="1" applyBorder="1" applyAlignment="1">
      <alignment horizontal="center" vertical="center"/>
    </xf>
    <xf numFmtId="0" fontId="26" fillId="0" borderId="2" xfId="0" applyFont="1" applyBorder="1" applyAlignment="1">
      <alignment horizontal="center" vertical="center"/>
    </xf>
    <xf numFmtId="0" fontId="18" fillId="0" borderId="26" xfId="480" applyFont="1" applyBorder="1" applyAlignment="1">
      <alignment horizontal="center" vertical="center" wrapText="1"/>
    </xf>
    <xf numFmtId="1" fontId="3" fillId="24" borderId="2" xfId="480" applyNumberFormat="1" applyFont="1" applyFill="1" applyBorder="1" applyAlignment="1">
      <alignment horizontal="center" vertical="center" wrapText="1"/>
    </xf>
    <xf numFmtId="1" fontId="4" fillId="0" borderId="12" xfId="480" applyNumberFormat="1" applyFont="1" applyFill="1" applyBorder="1" applyAlignment="1">
      <alignment vertical="center" wrapText="1"/>
    </xf>
    <xf numFmtId="0" fontId="0" fillId="0" borderId="12" xfId="0" applyBorder="1" applyAlignment="1">
      <alignment vertical="center"/>
    </xf>
    <xf numFmtId="9" fontId="0" fillId="0" borderId="0" xfId="0" applyNumberFormat="1" applyAlignment="1">
      <alignment horizontal="center" vertical="center"/>
    </xf>
    <xf numFmtId="0" fontId="18" fillId="0" borderId="28" xfId="480" applyFont="1" applyBorder="1" applyAlignment="1">
      <alignment horizontal="center" vertical="center" wrapText="1"/>
    </xf>
    <xf numFmtId="0" fontId="0" fillId="0" borderId="2" xfId="0" applyBorder="1" applyAlignment="1">
      <alignment horizontal="center" vertical="center"/>
    </xf>
    <xf numFmtId="0" fontId="18" fillId="0" borderId="27" xfId="480" applyFont="1" applyBorder="1" applyAlignment="1">
      <alignment horizontal="center" vertical="center" wrapText="1"/>
    </xf>
    <xf numFmtId="0" fontId="0" fillId="0" borderId="2" xfId="0" applyFill="1" applyBorder="1" applyAlignment="1">
      <alignment horizontal="center" vertical="center"/>
    </xf>
    <xf numFmtId="0" fontId="18" fillId="0" borderId="27" xfId="480" applyFont="1" applyFill="1" applyBorder="1" applyAlignment="1">
      <alignment horizontal="center" vertical="center" wrapText="1"/>
    </xf>
    <xf numFmtId="0" fontId="0" fillId="0" borderId="0" xfId="0" applyBorder="1" applyAlignment="1">
      <alignment horizontal="center" vertical="center"/>
    </xf>
    <xf numFmtId="1" fontId="4" fillId="0" borderId="13" xfId="480" applyNumberFormat="1" applyFont="1" applyFill="1" applyBorder="1" applyAlignment="1">
      <alignment vertical="center" wrapText="1"/>
    </xf>
    <xf numFmtId="0" fontId="0" fillId="0" borderId="0" xfId="0" applyFill="1" applyBorder="1" applyAlignment="1">
      <alignment horizontal="center" vertical="center"/>
    </xf>
    <xf numFmtId="0" fontId="0" fillId="0" borderId="13" xfId="0" applyBorder="1" applyAlignment="1">
      <alignment vertical="center"/>
    </xf>
    <xf numFmtId="191" fontId="29" fillId="0" borderId="0" xfId="0" applyNumberFormat="1" applyFont="1" applyAlignment="1">
      <alignment horizontal="center"/>
    </xf>
    <xf numFmtId="38" fontId="29" fillId="0" borderId="0" xfId="0" applyNumberFormat="1" applyFont="1" applyAlignment="1">
      <alignment horizontal="center"/>
    </xf>
    <xf numFmtId="38" fontId="29" fillId="0" borderId="0" xfId="0" applyNumberFormat="1" applyFont="1" applyFill="1" applyAlignment="1">
      <alignment horizontal="center"/>
    </xf>
    <xf numFmtId="38" fontId="29" fillId="0" borderId="0" xfId="0" applyNumberFormat="1" applyFont="1" applyFill="1" applyBorder="1" applyAlignment="1">
      <alignment horizontal="center"/>
    </xf>
    <xf numFmtId="38" fontId="29" fillId="6" borderId="0" xfId="0" applyNumberFormat="1" applyFont="1" applyFill="1" applyAlignment="1">
      <alignment horizontal="center"/>
    </xf>
    <xf numFmtId="191" fontId="0" fillId="0" borderId="0" xfId="0" applyNumberFormat="1" applyAlignment="1">
      <alignment horizontal="center"/>
    </xf>
    <xf numFmtId="191" fontId="29" fillId="0" borderId="26" xfId="0" applyNumberFormat="1" applyFont="1" applyBorder="1" applyAlignment="1">
      <alignment horizontal="center"/>
    </xf>
    <xf numFmtId="40" fontId="29" fillId="0" borderId="26" xfId="0" applyNumberFormat="1" applyFont="1" applyBorder="1" applyAlignment="1">
      <alignment horizontal="center"/>
    </xf>
    <xf numFmtId="191" fontId="29" fillId="24" borderId="26" xfId="0" applyNumberFormat="1" applyFont="1" applyFill="1" applyBorder="1" applyAlignment="1">
      <alignment horizontal="center" vertical="top" wrapText="1"/>
    </xf>
    <xf numFmtId="38" fontId="29" fillId="0" borderId="28" xfId="0" applyNumberFormat="1" applyFont="1" applyBorder="1" applyAlignment="1">
      <alignment horizontal="center"/>
    </xf>
    <xf numFmtId="191" fontId="29" fillId="24" borderId="28" xfId="0" applyNumberFormat="1" applyFont="1" applyFill="1" applyBorder="1" applyAlignment="1">
      <alignment horizontal="center" vertical="top" wrapText="1"/>
    </xf>
    <xf numFmtId="38" fontId="30" fillId="0" borderId="27" xfId="0" applyNumberFormat="1" applyFont="1" applyBorder="1" applyAlignment="1">
      <alignment horizontal="center"/>
    </xf>
    <xf numFmtId="40" fontId="29" fillId="0" borderId="27" xfId="0" applyNumberFormat="1" applyFont="1" applyBorder="1" applyAlignment="1">
      <alignment horizontal="center"/>
    </xf>
    <xf numFmtId="40" fontId="30" fillId="0" borderId="27" xfId="0" applyNumberFormat="1" applyFont="1" applyBorder="1" applyAlignment="1">
      <alignment horizontal="center"/>
    </xf>
    <xf numFmtId="191" fontId="29" fillId="24" borderId="27" xfId="0" applyNumberFormat="1" applyFont="1" applyFill="1" applyBorder="1" applyAlignment="1">
      <alignment horizontal="center" vertical="top" wrapText="1"/>
    </xf>
    <xf numFmtId="38" fontId="30" fillId="0" borderId="2" xfId="0" applyNumberFormat="1" applyFont="1" applyBorder="1" applyAlignment="1">
      <alignment horizontal="center"/>
    </xf>
    <xf numFmtId="191" fontId="29" fillId="0" borderId="13" xfId="0" applyNumberFormat="1" applyFont="1" applyBorder="1" applyAlignment="1">
      <alignment horizontal="center" vertical="top" wrapText="1"/>
    </xf>
    <xf numFmtId="191" fontId="29" fillId="0" borderId="28" xfId="0" applyNumberFormat="1" applyFont="1" applyFill="1" applyBorder="1" applyAlignment="1">
      <alignment horizontal="center"/>
    </xf>
    <xf numFmtId="49" fontId="29" fillId="0" borderId="35" xfId="0" applyNumberFormat="1" applyFont="1" applyFill="1" applyBorder="1" applyAlignment="1">
      <alignment horizontal="center"/>
    </xf>
    <xf numFmtId="40" fontId="29" fillId="0" borderId="35" xfId="0" applyNumberFormat="1" applyFont="1" applyFill="1" applyBorder="1" applyAlignment="1">
      <alignment horizontal="center"/>
    </xf>
    <xf numFmtId="40" fontId="29" fillId="0" borderId="28" xfId="0" applyNumberFormat="1" applyFont="1" applyFill="1" applyBorder="1" applyAlignment="1">
      <alignment horizontal="center"/>
    </xf>
    <xf numFmtId="178" fontId="29" fillId="0" borderId="28" xfId="0" applyNumberFormat="1" applyFont="1" applyFill="1" applyBorder="1" applyAlignment="1">
      <alignment horizontal="center"/>
    </xf>
    <xf numFmtId="49" fontId="29" fillId="0" borderId="28" xfId="0" applyNumberFormat="1" applyFont="1" applyFill="1" applyBorder="1" applyAlignment="1">
      <alignment horizontal="center"/>
    </xf>
    <xf numFmtId="40" fontId="29" fillId="0" borderId="36" xfId="0" applyNumberFormat="1" applyFont="1" applyFill="1" applyBorder="1" applyAlignment="1">
      <alignment horizontal="center"/>
    </xf>
    <xf numFmtId="38" fontId="29" fillId="0" borderId="28" xfId="0" applyNumberFormat="1" applyFont="1" applyFill="1" applyBorder="1" applyAlignment="1">
      <alignment horizontal="center" wrapText="1"/>
    </xf>
    <xf numFmtId="40" fontId="29" fillId="0" borderId="0" xfId="0" applyNumberFormat="1" applyFont="1" applyFill="1" applyBorder="1" applyAlignment="1">
      <alignment horizontal="center"/>
    </xf>
    <xf numFmtId="38" fontId="29" fillId="0" borderId="28" xfId="0" applyNumberFormat="1" applyFont="1" applyFill="1" applyBorder="1" applyAlignment="1">
      <alignment horizontal="center"/>
    </xf>
    <xf numFmtId="191" fontId="4" fillId="0" borderId="28" xfId="0" applyNumberFormat="1" applyFont="1" applyFill="1" applyBorder="1" applyAlignment="1">
      <alignment horizontal="center"/>
    </xf>
    <xf numFmtId="49" fontId="29" fillId="6" borderId="28" xfId="0" applyNumberFormat="1" applyFont="1" applyFill="1" applyBorder="1" applyAlignment="1">
      <alignment horizontal="center"/>
    </xf>
    <xf numFmtId="40" fontId="29" fillId="6" borderId="35" xfId="0" applyNumberFormat="1" applyFont="1" applyFill="1" applyBorder="1" applyAlignment="1">
      <alignment horizontal="center"/>
    </xf>
    <xf numFmtId="40" fontId="29" fillId="6" borderId="28" xfId="0" applyNumberFormat="1" applyFont="1" applyFill="1" applyBorder="1" applyAlignment="1">
      <alignment horizontal="center"/>
    </xf>
    <xf numFmtId="40" fontId="29" fillId="6" borderId="0" xfId="0" applyNumberFormat="1" applyFont="1" applyFill="1" applyBorder="1" applyAlignment="1">
      <alignment horizontal="center"/>
    </xf>
    <xf numFmtId="40" fontId="29" fillId="6" borderId="36" xfId="0" applyNumberFormat="1" applyFont="1" applyFill="1" applyBorder="1" applyAlignment="1">
      <alignment horizontal="center"/>
    </xf>
    <xf numFmtId="38" fontId="29" fillId="6" borderId="28" xfId="0" applyNumberFormat="1" applyFont="1" applyFill="1" applyBorder="1" applyAlignment="1">
      <alignment horizontal="center"/>
    </xf>
    <xf numFmtId="49" fontId="29" fillId="6" borderId="35" xfId="0" applyNumberFormat="1" applyFont="1" applyFill="1" applyBorder="1" applyAlignment="1">
      <alignment horizontal="center"/>
    </xf>
    <xf numFmtId="38" fontId="4" fillId="0" borderId="28" xfId="0" applyNumberFormat="1" applyFont="1" applyFill="1" applyBorder="1" applyAlignment="1">
      <alignment horizontal="center"/>
    </xf>
    <xf numFmtId="38" fontId="29" fillId="6" borderId="37" xfId="0" applyNumberFormat="1" applyFont="1" applyFill="1" applyBorder="1" applyAlignment="1">
      <alignment horizontal="center"/>
    </xf>
    <xf numFmtId="40" fontId="29" fillId="6" borderId="37" xfId="0" applyNumberFormat="1" applyFont="1" applyFill="1" applyBorder="1" applyAlignment="1">
      <alignment horizontal="center"/>
    </xf>
    <xf numFmtId="191" fontId="29" fillId="18" borderId="26" xfId="0" applyNumberFormat="1" applyFont="1" applyFill="1" applyBorder="1" applyAlignment="1">
      <alignment horizontal="center" vertical="top" wrapText="1"/>
    </xf>
    <xf numFmtId="191" fontId="29" fillId="18" borderId="28" xfId="0" applyNumberFormat="1" applyFont="1" applyFill="1" applyBorder="1" applyAlignment="1">
      <alignment horizontal="center" vertical="top" wrapText="1"/>
    </xf>
    <xf numFmtId="191" fontId="4" fillId="18" borderId="27" xfId="0" applyNumberFormat="1" applyFont="1" applyFill="1" applyBorder="1" applyAlignment="1">
      <alignment horizontal="center" vertical="top" wrapText="1"/>
    </xf>
    <xf numFmtId="191" fontId="29" fillId="0" borderId="2" xfId="0" applyNumberFormat="1" applyFont="1" applyBorder="1" applyAlignment="1">
      <alignment horizontal="center" vertical="top" wrapText="1"/>
    </xf>
    <xf numFmtId="191" fontId="29" fillId="18" borderId="13" xfId="0" applyNumberFormat="1" applyFont="1" applyFill="1" applyBorder="1" applyAlignment="1">
      <alignment horizontal="center" vertical="top" wrapText="1"/>
    </xf>
    <xf numFmtId="40" fontId="29" fillId="18" borderId="35" xfId="0" applyNumberFormat="1" applyFont="1" applyFill="1" applyBorder="1" applyAlignment="1">
      <alignment horizontal="center"/>
    </xf>
    <xf numFmtId="40" fontId="29" fillId="18" borderId="28" xfId="0" applyNumberFormat="1" applyFont="1" applyFill="1" applyBorder="1" applyAlignment="1">
      <alignment horizontal="center"/>
    </xf>
    <xf numFmtId="40" fontId="29" fillId="6" borderId="38" xfId="0" applyNumberFormat="1" applyFont="1" applyFill="1" applyBorder="1" applyAlignment="1">
      <alignment horizontal="center"/>
    </xf>
    <xf numFmtId="191" fontId="29" fillId="0" borderId="32" xfId="0" applyNumberFormat="1" applyFont="1" applyBorder="1" applyAlignment="1">
      <alignment horizontal="center" vertical="top" wrapText="1"/>
    </xf>
    <xf numFmtId="191" fontId="29" fillId="0" borderId="35" xfId="0" applyNumberFormat="1" applyFont="1" applyBorder="1" applyAlignment="1">
      <alignment horizontal="center" vertical="top" wrapText="1"/>
    </xf>
    <xf numFmtId="191" fontId="29" fillId="0" borderId="2" xfId="0" applyNumberFormat="1" applyFont="1" applyBorder="1" applyAlignment="1">
      <alignment horizontal="center" vertical="top"/>
    </xf>
    <xf numFmtId="191" fontId="29" fillId="0" borderId="13" xfId="0" applyNumberFormat="1" applyFont="1" applyBorder="1" applyAlignment="1">
      <alignment horizontal="center" vertical="top"/>
    </xf>
    <xf numFmtId="191" fontId="29" fillId="0" borderId="34" xfId="0" applyNumberFormat="1" applyFont="1" applyBorder="1" applyAlignment="1">
      <alignment horizontal="center" vertical="top" wrapText="1"/>
    </xf>
    <xf numFmtId="15" fontId="29" fillId="0" borderId="28" xfId="0" applyNumberFormat="1" applyFont="1" applyFill="1" applyBorder="1" applyAlignment="1">
      <alignment horizontal="center"/>
    </xf>
    <xf numFmtId="15" fontId="29" fillId="0" borderId="35" xfId="0" applyNumberFormat="1" applyFont="1" applyFill="1" applyBorder="1" applyAlignment="1">
      <alignment horizontal="center"/>
    </xf>
    <xf numFmtId="15" fontId="29" fillId="0" borderId="0" xfId="0" applyNumberFormat="1" applyFont="1" applyFill="1" applyBorder="1" applyAlignment="1">
      <alignment horizontal="center"/>
    </xf>
    <xf numFmtId="15" fontId="29" fillId="6" borderId="28" xfId="0" applyNumberFormat="1" applyFont="1" applyFill="1" applyBorder="1" applyAlignment="1">
      <alignment horizontal="center"/>
    </xf>
    <xf numFmtId="15" fontId="29" fillId="6" borderId="35" xfId="0" applyNumberFormat="1" applyFont="1" applyFill="1" applyBorder="1" applyAlignment="1">
      <alignment horizontal="center"/>
    </xf>
    <xf numFmtId="179" fontId="29" fillId="0" borderId="35" xfId="0" applyNumberFormat="1" applyFont="1" applyFill="1" applyBorder="1" applyAlignment="1">
      <alignment horizontal="center"/>
    </xf>
    <xf numFmtId="15" fontId="29" fillId="6" borderId="37" xfId="0" applyNumberFormat="1" applyFont="1" applyFill="1" applyBorder="1" applyAlignment="1">
      <alignment horizontal="center"/>
    </xf>
    <xf numFmtId="15" fontId="29" fillId="6" borderId="38" xfId="0" applyNumberFormat="1" applyFont="1" applyFill="1" applyBorder="1" applyAlignment="1">
      <alignment horizontal="center"/>
    </xf>
    <xf numFmtId="0" fontId="19" fillId="0" borderId="2" xfId="0" applyFont="1" applyFill="1" applyBorder="1" applyAlignment="1">
      <alignment horizontal="center" vertical="center"/>
    </xf>
    <xf numFmtId="1" fontId="4" fillId="0" borderId="12" xfId="480" applyNumberFormat="1" applyFont="1" applyFill="1" applyBorder="1" applyAlignment="1">
      <alignment horizontal="center" vertical="center" wrapText="1"/>
    </xf>
    <xf numFmtId="179" fontId="19" fillId="26" borderId="2" xfId="0" applyNumberFormat="1" applyFont="1" applyFill="1" applyBorder="1" applyAlignment="1">
      <alignment horizontal="center" vertical="center" wrapText="1"/>
    </xf>
    <xf numFmtId="179" fontId="19" fillId="17" borderId="2" xfId="0" applyNumberFormat="1" applyFont="1" applyFill="1" applyBorder="1" applyAlignment="1">
      <alignment horizontal="center" vertical="center" wrapText="1"/>
    </xf>
    <xf numFmtId="38" fontId="29" fillId="0" borderId="0" xfId="0" applyNumberFormat="1" applyFont="1" applyFill="1" applyAlignment="1"/>
    <xf numFmtId="191" fontId="29" fillId="0" borderId="0" xfId="0" applyNumberFormat="1" applyFont="1" applyFill="1" applyAlignment="1"/>
    <xf numFmtId="38" fontId="31" fillId="0" borderId="0" xfId="0" applyNumberFormat="1" applyFont="1" applyFill="1" applyAlignment="1"/>
    <xf numFmtId="38" fontId="31" fillId="2" borderId="0" xfId="0" applyNumberFormat="1" applyFont="1" applyFill="1" applyBorder="1" applyAlignment="1"/>
    <xf numFmtId="191" fontId="31" fillId="6" borderId="0" xfId="0" applyNumberFormat="1" applyFont="1" applyFill="1" applyAlignment="1"/>
    <xf numFmtId="38" fontId="31" fillId="0" borderId="0" xfId="0" applyNumberFormat="1" applyFont="1" applyFill="1" applyBorder="1" applyAlignment="1"/>
    <xf numFmtId="38" fontId="31" fillId="6" borderId="0" xfId="0" applyNumberFormat="1" applyFont="1" applyFill="1" applyAlignment="1"/>
    <xf numFmtId="49" fontId="29" fillId="0" borderId="0" xfId="0" applyNumberFormat="1" applyFont="1" applyFill="1" applyAlignment="1"/>
    <xf numFmtId="191" fontId="31" fillId="0" borderId="0" xfId="0" applyNumberFormat="1" applyFont="1" applyFill="1" applyBorder="1" applyAlignment="1"/>
    <xf numFmtId="191" fontId="31" fillId="7" borderId="0" xfId="0" applyNumberFormat="1" applyFont="1" applyFill="1" applyAlignment="1"/>
    <xf numFmtId="38" fontId="31" fillId="7" borderId="0" xfId="0" applyNumberFormat="1" applyFont="1" applyFill="1" applyAlignment="1"/>
    <xf numFmtId="38" fontId="31" fillId="7" borderId="0" xfId="0" applyNumberFormat="1" applyFont="1" applyFill="1" applyBorder="1" applyAlignment="1"/>
    <xf numFmtId="38" fontId="31" fillId="0" borderId="0" xfId="0" applyNumberFormat="1" applyFont="1" applyFill="1" applyBorder="1" applyAlignment="1">
      <alignment vertical="center"/>
    </xf>
    <xf numFmtId="191" fontId="31" fillId="0" borderId="0" xfId="0" applyNumberFormat="1" applyFont="1" applyAlignment="1">
      <alignment horizontal="left"/>
    </xf>
    <xf numFmtId="191" fontId="31" fillId="0" borderId="0" xfId="0" applyNumberFormat="1" applyFont="1" applyAlignment="1"/>
    <xf numFmtId="191" fontId="31" fillId="0" borderId="0" xfId="0" applyNumberFormat="1" applyFont="1" applyFill="1" applyAlignment="1"/>
    <xf numFmtId="38" fontId="29" fillId="0" borderId="0" xfId="0" applyNumberFormat="1" applyFont="1" applyAlignment="1">
      <alignment horizontal="left"/>
    </xf>
    <xf numFmtId="38" fontId="29" fillId="0" borderId="0" xfId="0" applyNumberFormat="1" applyFont="1" applyAlignment="1"/>
    <xf numFmtId="40" fontId="29" fillId="0" borderId="0" xfId="0" applyNumberFormat="1" applyFont="1" applyAlignment="1"/>
    <xf numFmtId="38" fontId="29" fillId="0" borderId="31" xfId="0" applyNumberFormat="1" applyFont="1" applyBorder="1" applyAlignment="1">
      <alignment horizontal="left"/>
    </xf>
    <xf numFmtId="40" fontId="29" fillId="0" borderId="31" xfId="0" applyNumberFormat="1" applyFont="1" applyBorder="1" applyAlignment="1"/>
    <xf numFmtId="40" fontId="29" fillId="0" borderId="31" xfId="0" applyNumberFormat="1" applyFont="1" applyBorder="1" applyAlignment="1">
      <alignment horizontal="center"/>
    </xf>
    <xf numFmtId="191" fontId="29" fillId="0" borderId="26" xfId="0" applyNumberFormat="1" applyFont="1" applyBorder="1" applyAlignment="1">
      <alignment horizontal="left"/>
    </xf>
    <xf numFmtId="38" fontId="29" fillId="0" borderId="27" xfId="0" applyNumberFormat="1" applyFont="1" applyBorder="1" applyAlignment="1">
      <alignment horizontal="left"/>
    </xf>
    <xf numFmtId="10" fontId="29" fillId="0" borderId="27" xfId="0" applyNumberFormat="1" applyFont="1" applyBorder="1" applyAlignment="1"/>
    <xf numFmtId="38" fontId="31" fillId="0" borderId="2" xfId="0" applyNumberFormat="1" applyFont="1" applyBorder="1" applyAlignment="1">
      <alignment horizontal="left"/>
    </xf>
    <xf numFmtId="38" fontId="31" fillId="0" borderId="13" xfId="0" applyNumberFormat="1" applyFont="1" applyBorder="1" applyAlignment="1">
      <alignment horizontal="left"/>
    </xf>
    <xf numFmtId="38" fontId="31" fillId="0" borderId="28" xfId="0" applyNumberFormat="1" applyFont="1" applyFill="1" applyBorder="1" applyAlignment="1">
      <alignment horizontal="left"/>
    </xf>
    <xf numFmtId="40" fontId="31" fillId="0" borderId="28" xfId="0" applyNumberFormat="1" applyFont="1" applyFill="1" applyBorder="1" applyAlignment="1"/>
    <xf numFmtId="192" fontId="29" fillId="0" borderId="28" xfId="0" applyNumberFormat="1" applyFont="1" applyFill="1" applyBorder="1" applyAlignment="1">
      <alignment horizontal="right"/>
    </xf>
    <xf numFmtId="179" fontId="31" fillId="0" borderId="28" xfId="0" applyNumberFormat="1" applyFont="1" applyFill="1" applyBorder="1" applyAlignment="1"/>
    <xf numFmtId="38" fontId="3" fillId="2" borderId="28" xfId="0" applyNumberFormat="1" applyFont="1" applyFill="1" applyBorder="1" applyAlignment="1">
      <alignment horizontal="left"/>
    </xf>
    <xf numFmtId="38" fontId="31" fillId="2" borderId="28" xfId="0" applyNumberFormat="1" applyFont="1" applyFill="1" applyBorder="1" applyAlignment="1">
      <alignment horizontal="left"/>
    </xf>
    <xf numFmtId="40" fontId="31" fillId="2" borderId="28" xfId="0" applyNumberFormat="1" applyFont="1" applyFill="1" applyBorder="1" applyAlignment="1"/>
    <xf numFmtId="40" fontId="31" fillId="2" borderId="28" xfId="0" applyNumberFormat="1" applyFont="1" applyFill="1" applyBorder="1" applyAlignment="1">
      <alignment horizontal="right"/>
    </xf>
    <xf numFmtId="38" fontId="31" fillId="0" borderId="28" xfId="0" applyNumberFormat="1" applyFont="1" applyBorder="1" applyAlignment="1">
      <alignment horizontal="left"/>
    </xf>
    <xf numFmtId="40" fontId="31" fillId="0" borderId="28" xfId="0" applyNumberFormat="1" applyFont="1" applyBorder="1" applyAlignment="1"/>
    <xf numFmtId="40" fontId="31" fillId="0" borderId="28" xfId="0" applyNumberFormat="1" applyFont="1" applyBorder="1" applyAlignment="1">
      <alignment horizontal="right"/>
    </xf>
    <xf numFmtId="40" fontId="31" fillId="0" borderId="28" xfId="0" applyNumberFormat="1" applyFont="1" applyFill="1" applyBorder="1" applyAlignment="1">
      <alignment horizontal="right"/>
    </xf>
    <xf numFmtId="38" fontId="3" fillId="0" borderId="28" xfId="0" applyNumberFormat="1" applyFont="1" applyFill="1" applyBorder="1" applyAlignment="1">
      <alignment horizontal="left"/>
    </xf>
    <xf numFmtId="38" fontId="31" fillId="6" borderId="28" xfId="0" applyNumberFormat="1" applyFont="1" applyFill="1" applyBorder="1" applyAlignment="1">
      <alignment horizontal="left"/>
    </xf>
    <xf numFmtId="40" fontId="31" fillId="6" borderId="28" xfId="0" applyNumberFormat="1" applyFont="1" applyFill="1" applyBorder="1" applyAlignment="1"/>
    <xf numFmtId="192" fontId="29" fillId="6" borderId="28" xfId="0" applyNumberFormat="1" applyFont="1" applyFill="1" applyBorder="1" applyAlignment="1">
      <alignment horizontal="right"/>
    </xf>
    <xf numFmtId="179" fontId="31" fillId="6" borderId="28" xfId="0" applyNumberFormat="1" applyFont="1" applyFill="1" applyBorder="1" applyAlignment="1"/>
    <xf numFmtId="40" fontId="29" fillId="0" borderId="28" xfId="0" applyNumberFormat="1" applyFont="1" applyFill="1" applyBorder="1" applyAlignment="1"/>
    <xf numFmtId="40" fontId="29" fillId="0" borderId="28" xfId="0" applyNumberFormat="1" applyFont="1" applyFill="1" applyBorder="1" applyAlignment="1">
      <alignment horizontal="right"/>
    </xf>
    <xf numFmtId="40" fontId="31" fillId="6" borderId="28" xfId="0" applyNumberFormat="1" applyFont="1" applyFill="1" applyBorder="1" applyAlignment="1">
      <alignment horizontal="right"/>
    </xf>
    <xf numFmtId="2" fontId="31" fillId="0" borderId="28" xfId="0" applyNumberFormat="1" applyFont="1" applyFill="1" applyBorder="1" applyAlignment="1"/>
    <xf numFmtId="191" fontId="31" fillId="0" borderId="28" xfId="0" applyNumberFormat="1" applyFont="1" applyFill="1" applyBorder="1" applyAlignment="1"/>
    <xf numFmtId="38" fontId="31" fillId="0" borderId="0" xfId="0" applyNumberFormat="1" applyFont="1" applyFill="1" applyBorder="1" applyAlignment="1">
      <alignment horizontal="left"/>
    </xf>
    <xf numFmtId="40" fontId="31" fillId="0" borderId="35" xfId="0" applyNumberFormat="1" applyFont="1" applyFill="1" applyBorder="1" applyAlignment="1"/>
    <xf numFmtId="38" fontId="31" fillId="6" borderId="0" xfId="0" applyNumberFormat="1" applyFont="1" applyFill="1" applyBorder="1" applyAlignment="1">
      <alignment horizontal="left"/>
    </xf>
    <xf numFmtId="40" fontId="31" fillId="6" borderId="35" xfId="0" applyNumberFormat="1" applyFont="1" applyFill="1" applyBorder="1" applyAlignment="1"/>
    <xf numFmtId="40" fontId="29" fillId="0" borderId="0" xfId="0" applyNumberFormat="1" applyFont="1" applyAlignment="1">
      <alignment horizontal="center"/>
    </xf>
    <xf numFmtId="177" fontId="32" fillId="0" borderId="28" xfId="1549" applyNumberFormat="1" applyFont="1" applyFill="1" applyBorder="1" applyAlignment="1" applyProtection="1"/>
    <xf numFmtId="177" fontId="31" fillId="0" borderId="28" xfId="6" applyFont="1" applyFill="1" applyBorder="1" applyAlignment="1"/>
    <xf numFmtId="177" fontId="31" fillId="2" borderId="28" xfId="6" applyFont="1" applyFill="1" applyBorder="1" applyAlignment="1">
      <alignment horizontal="right"/>
    </xf>
    <xf numFmtId="177" fontId="31" fillId="0" borderId="28" xfId="6" applyFont="1" applyBorder="1" applyAlignment="1">
      <alignment horizontal="right"/>
    </xf>
    <xf numFmtId="177" fontId="31" fillId="0" borderId="28" xfId="6" applyFont="1" applyFill="1" applyBorder="1" applyAlignment="1">
      <alignment horizontal="right"/>
    </xf>
    <xf numFmtId="177" fontId="31" fillId="6" borderId="28" xfId="6" applyFont="1" applyFill="1" applyBorder="1" applyAlignment="1"/>
    <xf numFmtId="177" fontId="29" fillId="0" borderId="28" xfId="6" applyFont="1" applyFill="1" applyBorder="1" applyAlignment="1"/>
    <xf numFmtId="177" fontId="29" fillId="0" borderId="28" xfId="6" applyFont="1" applyFill="1" applyBorder="1" applyAlignment="1">
      <alignment horizontal="right"/>
    </xf>
    <xf numFmtId="177" fontId="31" fillId="6" borderId="28" xfId="6" applyFont="1" applyFill="1" applyBorder="1" applyAlignment="1">
      <alignment horizontal="right"/>
    </xf>
    <xf numFmtId="40" fontId="29" fillId="0" borderId="0" xfId="0" applyNumberFormat="1" applyFont="1" applyFill="1" applyAlignment="1">
      <alignment horizontal="center"/>
    </xf>
    <xf numFmtId="40" fontId="29" fillId="6" borderId="0" xfId="0" applyNumberFormat="1" applyFont="1" applyFill="1" applyAlignment="1">
      <alignment horizontal="center"/>
    </xf>
    <xf numFmtId="38" fontId="29" fillId="0" borderId="0" xfId="0" applyNumberFormat="1" applyFont="1" applyAlignment="1">
      <alignment horizontal="right"/>
    </xf>
    <xf numFmtId="40" fontId="29" fillId="0" borderId="31" xfId="0" applyNumberFormat="1" applyFont="1" applyFill="1" applyBorder="1" applyAlignment="1">
      <alignment horizontal="center"/>
    </xf>
    <xf numFmtId="40" fontId="29" fillId="6" borderId="31" xfId="0" applyNumberFormat="1" applyFont="1" applyFill="1" applyBorder="1" applyAlignment="1">
      <alignment horizontal="center"/>
    </xf>
    <xf numFmtId="38" fontId="29" fillId="0" borderId="31" xfId="0" applyNumberFormat="1" applyFont="1" applyBorder="1" applyAlignment="1"/>
    <xf numFmtId="191" fontId="4" fillId="6" borderId="26" xfId="0" applyNumberFormat="1" applyFont="1" applyFill="1" applyBorder="1" applyAlignment="1">
      <alignment horizontal="center" vertical="top" wrapText="1"/>
    </xf>
    <xf numFmtId="191" fontId="29" fillId="6" borderId="27" xfId="0" applyNumberFormat="1" applyFont="1" applyFill="1" applyBorder="1" applyAlignment="1">
      <alignment horizontal="center" vertical="top" wrapText="1"/>
    </xf>
    <xf numFmtId="191" fontId="29" fillId="0" borderId="11" xfId="0" applyNumberFormat="1" applyFont="1" applyBorder="1" applyAlignment="1">
      <alignment horizontal="center" vertical="center"/>
    </xf>
    <xf numFmtId="191" fontId="29" fillId="0" borderId="2" xfId="0" applyNumberFormat="1" applyFont="1" applyBorder="1" applyAlignment="1">
      <alignment horizontal="center" vertical="center"/>
    </xf>
    <xf numFmtId="191" fontId="29" fillId="6" borderId="13" xfId="0" applyNumberFormat="1" applyFont="1" applyFill="1" applyBorder="1" applyAlignment="1">
      <alignment horizontal="center" vertical="top" wrapText="1"/>
    </xf>
    <xf numFmtId="15" fontId="31" fillId="0" borderId="2" xfId="0" applyNumberFormat="1" applyFont="1" applyBorder="1" applyAlignment="1">
      <alignment horizontal="right"/>
    </xf>
    <xf numFmtId="49" fontId="31" fillId="0" borderId="13" xfId="0" applyNumberFormat="1" applyFont="1" applyBorder="1" applyAlignment="1">
      <alignment horizontal="center"/>
    </xf>
    <xf numFmtId="191" fontId="29" fillId="0" borderId="36" xfId="0" applyNumberFormat="1" applyFont="1" applyFill="1" applyBorder="1" applyAlignment="1">
      <alignment horizontal="right"/>
    </xf>
    <xf numFmtId="49" fontId="31" fillId="0" borderId="28" xfId="0" applyNumberFormat="1" applyFont="1" applyFill="1" applyBorder="1" applyAlignment="1">
      <alignment horizontal="center"/>
    </xf>
    <xf numFmtId="15" fontId="31" fillId="0" borderId="28" xfId="0" applyNumberFormat="1" applyFont="1" applyFill="1" applyBorder="1" applyAlignment="1">
      <alignment horizontal="right"/>
    </xf>
    <xf numFmtId="15" fontId="31" fillId="2" borderId="36" xfId="0" applyNumberFormat="1" applyFont="1" applyFill="1" applyBorder="1" applyAlignment="1">
      <alignment horizontal="center"/>
    </xf>
    <xf numFmtId="38" fontId="31" fillId="2" borderId="28" xfId="0" applyNumberFormat="1" applyFont="1" applyFill="1" applyBorder="1" applyAlignment="1">
      <alignment horizontal="center"/>
    </xf>
    <xf numFmtId="15" fontId="31" fillId="2" borderId="28" xfId="0" applyNumberFormat="1" applyFont="1" applyFill="1" applyBorder="1" applyAlignment="1">
      <alignment horizontal="right"/>
    </xf>
    <xf numFmtId="15" fontId="31" fillId="0" borderId="36" xfId="0" applyNumberFormat="1" applyFont="1" applyBorder="1" applyAlignment="1">
      <alignment horizontal="right"/>
    </xf>
    <xf numFmtId="49" fontId="31" fillId="0" borderId="28" xfId="0" applyNumberFormat="1" applyFont="1" applyBorder="1" applyAlignment="1">
      <alignment horizontal="center"/>
    </xf>
    <xf numFmtId="15" fontId="31" fillId="0" borderId="28" xfId="0" applyNumberFormat="1" applyFont="1" applyBorder="1" applyAlignment="1">
      <alignment horizontal="right"/>
    </xf>
    <xf numFmtId="191" fontId="29" fillId="0" borderId="0" xfId="0" applyNumberFormat="1" applyFont="1" applyFill="1" applyBorder="1" applyAlignment="1">
      <alignment horizontal="right"/>
    </xf>
    <xf numFmtId="191" fontId="31" fillId="0" borderId="28" xfId="0" applyNumberFormat="1" applyFont="1" applyFill="1" applyBorder="1" applyAlignment="1">
      <alignment horizontal="center"/>
    </xf>
    <xf numFmtId="191" fontId="31" fillId="0" borderId="28" xfId="0" applyNumberFormat="1" applyFont="1" applyFill="1" applyBorder="1" applyAlignment="1">
      <alignment horizontal="right"/>
    </xf>
    <xf numFmtId="15" fontId="31" fillId="0" borderId="36" xfId="0" applyNumberFormat="1" applyFont="1" applyFill="1" applyBorder="1" applyAlignment="1">
      <alignment horizontal="right"/>
    </xf>
    <xf numFmtId="191" fontId="29" fillId="6" borderId="36" xfId="0" applyNumberFormat="1" applyFont="1" applyFill="1" applyBorder="1" applyAlignment="1">
      <alignment horizontal="right"/>
    </xf>
    <xf numFmtId="49" fontId="31" fillId="6" borderId="28" xfId="0" applyNumberFormat="1" applyFont="1" applyFill="1" applyBorder="1" applyAlignment="1">
      <alignment horizontal="center"/>
    </xf>
    <xf numFmtId="15" fontId="31" fillId="6" borderId="28" xfId="0" applyNumberFormat="1" applyFont="1" applyFill="1" applyBorder="1" applyAlignment="1">
      <alignment horizontal="right"/>
    </xf>
    <xf numFmtId="14" fontId="31" fillId="0" borderId="36" xfId="0" applyNumberFormat="1" applyFont="1" applyFill="1" applyBorder="1" applyAlignment="1"/>
    <xf numFmtId="40" fontId="31" fillId="0" borderId="28" xfId="0" applyNumberFormat="1" applyFont="1" applyFill="1" applyBorder="1" applyAlignment="1">
      <alignment horizontal="center"/>
    </xf>
    <xf numFmtId="15" fontId="29" fillId="0" borderId="28" xfId="0" applyNumberFormat="1" applyFont="1" applyFill="1" applyBorder="1" applyAlignment="1">
      <alignment horizontal="right"/>
    </xf>
    <xf numFmtId="15" fontId="31" fillId="0" borderId="0" xfId="0" applyNumberFormat="1" applyFont="1" applyFill="1" applyBorder="1" applyAlignment="1">
      <alignment horizontal="right"/>
    </xf>
    <xf numFmtId="15" fontId="31" fillId="2" borderId="36" xfId="0" applyNumberFormat="1" applyFont="1" applyFill="1" applyBorder="1" applyAlignment="1">
      <alignment horizontal="right"/>
    </xf>
    <xf numFmtId="49" fontId="31" fillId="2" borderId="28" xfId="0" applyNumberFormat="1" applyFont="1" applyFill="1" applyBorder="1" applyAlignment="1">
      <alignment horizontal="center"/>
    </xf>
    <xf numFmtId="191" fontId="31" fillId="2" borderId="28" xfId="0" applyNumberFormat="1" applyFont="1" applyFill="1" applyBorder="1" applyAlignment="1"/>
    <xf numFmtId="15" fontId="31" fillId="6" borderId="36" xfId="0" applyNumberFormat="1" applyFont="1" applyFill="1" applyBorder="1" applyAlignment="1">
      <alignment horizontal="right"/>
    </xf>
    <xf numFmtId="191" fontId="31" fillId="6" borderId="28" xfId="0" applyNumberFormat="1" applyFont="1" applyFill="1" applyBorder="1" applyAlignment="1"/>
    <xf numFmtId="15" fontId="31" fillId="0" borderId="36" xfId="0" applyNumberFormat="1" applyFont="1" applyFill="1" applyBorder="1" applyAlignment="1">
      <alignment horizontal="center"/>
    </xf>
    <xf numFmtId="177" fontId="31" fillId="0" borderId="35" xfId="6" applyNumberFormat="1" applyFont="1" applyFill="1" applyBorder="1" applyAlignment="1">
      <alignment vertical="center"/>
    </xf>
    <xf numFmtId="40" fontId="31" fillId="0" borderId="35" xfId="0" applyNumberFormat="1" applyFont="1" applyFill="1" applyBorder="1" applyAlignment="1">
      <alignment horizontal="right"/>
    </xf>
    <xf numFmtId="15" fontId="31" fillId="0" borderId="35" xfId="0" applyNumberFormat="1" applyFont="1" applyFill="1" applyBorder="1" applyAlignment="1">
      <alignment horizontal="right"/>
    </xf>
    <xf numFmtId="49" fontId="31" fillId="0" borderId="35" xfId="0" applyNumberFormat="1" applyFont="1" applyFill="1" applyBorder="1" applyAlignment="1">
      <alignment horizontal="center"/>
    </xf>
    <xf numFmtId="177" fontId="31" fillId="6" borderId="35" xfId="6" applyNumberFormat="1" applyFont="1" applyFill="1" applyBorder="1" applyAlignment="1">
      <alignment vertical="center"/>
    </xf>
    <xf numFmtId="0" fontId="31" fillId="6" borderId="28" xfId="0" applyNumberFormat="1" applyFont="1" applyFill="1" applyBorder="1" applyAlignment="1">
      <alignment horizontal="right"/>
    </xf>
    <xf numFmtId="40" fontId="31" fillId="6" borderId="35" xfId="0" applyNumberFormat="1" applyFont="1" applyFill="1" applyBorder="1" applyAlignment="1">
      <alignment horizontal="right"/>
    </xf>
    <xf numFmtId="15" fontId="31" fillId="6" borderId="0" xfId="0" applyNumberFormat="1" applyFont="1" applyFill="1" applyBorder="1" applyAlignment="1">
      <alignment horizontal="right"/>
    </xf>
    <xf numFmtId="49" fontId="31" fillId="6" borderId="35" xfId="0" applyNumberFormat="1" applyFont="1" applyFill="1" applyBorder="1" applyAlignment="1">
      <alignment horizontal="center"/>
    </xf>
    <xf numFmtId="191" fontId="3" fillId="0" borderId="0" xfId="0" applyNumberFormat="1" applyFont="1" applyFill="1" applyAlignment="1"/>
    <xf numFmtId="184" fontId="31" fillId="0" borderId="28" xfId="0" applyNumberFormat="1" applyFont="1" applyFill="1" applyBorder="1" applyAlignment="1">
      <alignment horizontal="center"/>
    </xf>
    <xf numFmtId="38" fontId="3" fillId="0" borderId="0" xfId="0" applyNumberFormat="1" applyFont="1" applyFill="1" applyAlignment="1"/>
    <xf numFmtId="191" fontId="31" fillId="18" borderId="0" xfId="0" applyNumberFormat="1" applyFont="1" applyFill="1" applyAlignment="1"/>
    <xf numFmtId="38" fontId="31" fillId="18" borderId="0" xfId="0" applyNumberFormat="1" applyFont="1" applyFill="1" applyAlignment="1"/>
    <xf numFmtId="38" fontId="3" fillId="6" borderId="0" xfId="0" applyNumberFormat="1" applyFont="1" applyFill="1" applyAlignment="1"/>
    <xf numFmtId="191" fontId="3" fillId="0" borderId="0" xfId="0" applyNumberFormat="1" applyFont="1" applyFill="1" applyAlignment="1">
      <alignment wrapText="1"/>
    </xf>
    <xf numFmtId="38" fontId="4" fillId="0" borderId="0" xfId="0" applyNumberFormat="1" applyFont="1" applyFill="1" applyAlignment="1"/>
    <xf numFmtId="191" fontId="3" fillId="6" borderId="0" xfId="0" applyNumberFormat="1" applyFont="1" applyFill="1" applyAlignment="1"/>
    <xf numFmtId="193" fontId="31" fillId="0" borderId="28" xfId="0" applyNumberFormat="1" applyFont="1" applyFill="1" applyBorder="1" applyAlignment="1"/>
    <xf numFmtId="194" fontId="31" fillId="0" borderId="28" xfId="0" applyNumberFormat="1" applyFont="1" applyFill="1" applyBorder="1" applyAlignment="1"/>
    <xf numFmtId="38" fontId="3" fillId="6" borderId="28" xfId="0" applyNumberFormat="1" applyFont="1" applyFill="1" applyBorder="1" applyAlignment="1">
      <alignment horizontal="left"/>
    </xf>
    <xf numFmtId="38" fontId="29" fillId="0" borderId="37" xfId="0" applyNumberFormat="1" applyFont="1" applyBorder="1" applyAlignment="1">
      <alignment horizontal="left"/>
    </xf>
    <xf numFmtId="40" fontId="29" fillId="0" borderId="37" xfId="0" applyNumberFormat="1" applyFont="1" applyBorder="1" applyAlignment="1"/>
    <xf numFmtId="40" fontId="29" fillId="0" borderId="37" xfId="0" applyNumberFormat="1" applyFont="1" applyBorder="1" applyAlignment="1">
      <alignment horizontal="right"/>
    </xf>
    <xf numFmtId="38" fontId="29" fillId="0" borderId="0" xfId="0" applyNumberFormat="1" applyFont="1" applyFill="1" applyBorder="1" applyAlignment="1">
      <alignment horizontal="left"/>
    </xf>
    <xf numFmtId="40" fontId="29" fillId="0" borderId="0" xfId="0" applyNumberFormat="1" applyFont="1" applyFill="1" applyBorder="1" applyAlignment="1"/>
    <xf numFmtId="40" fontId="29" fillId="0" borderId="0" xfId="0" applyNumberFormat="1" applyFont="1" applyFill="1" applyBorder="1" applyAlignment="1">
      <alignment horizontal="right"/>
    </xf>
    <xf numFmtId="191" fontId="29" fillId="0" borderId="0" xfId="485" applyNumberFormat="1" applyFont="1" applyBorder="1" applyAlignment="1">
      <alignment horizontal="left"/>
    </xf>
    <xf numFmtId="191" fontId="31" fillId="11" borderId="0" xfId="485" applyNumberFormat="1" applyFont="1" applyFill="1" applyBorder="1"/>
    <xf numFmtId="195" fontId="31" fillId="0" borderId="0" xfId="485" applyNumberFormat="1" applyFont="1" applyBorder="1"/>
    <xf numFmtId="191" fontId="31" fillId="0" borderId="0" xfId="485" applyNumberFormat="1" applyFont="1" applyBorder="1"/>
    <xf numFmtId="179" fontId="29" fillId="0" borderId="0" xfId="0" applyNumberFormat="1" applyFont="1" applyAlignment="1"/>
    <xf numFmtId="49" fontId="29" fillId="0" borderId="0" xfId="0" applyNumberFormat="1" applyFont="1" applyAlignment="1"/>
    <xf numFmtId="38" fontId="31" fillId="0" borderId="0" xfId="0" applyNumberFormat="1" applyFont="1" applyBorder="1" applyAlignment="1">
      <alignment horizontal="left"/>
    </xf>
    <xf numFmtId="40" fontId="31" fillId="0" borderId="0" xfId="0" applyNumberFormat="1" applyFont="1" applyBorder="1" applyAlignment="1"/>
    <xf numFmtId="40" fontId="31" fillId="0" borderId="0" xfId="0" applyNumberFormat="1" applyFont="1" applyBorder="1" applyAlignment="1">
      <alignment horizontal="right"/>
    </xf>
    <xf numFmtId="38" fontId="31" fillId="0" borderId="0" xfId="0" applyNumberFormat="1" applyFont="1" applyBorder="1" applyAlignment="1"/>
    <xf numFmtId="40" fontId="31" fillId="0" borderId="0" xfId="0" applyNumberFormat="1" applyFont="1" applyFill="1" applyBorder="1" applyAlignment="1"/>
    <xf numFmtId="40" fontId="31" fillId="0" borderId="0" xfId="0" applyNumberFormat="1" applyFont="1" applyFill="1" applyBorder="1" applyAlignment="1">
      <alignment horizontal="right"/>
    </xf>
    <xf numFmtId="192" fontId="29" fillId="0" borderId="0" xfId="0" applyNumberFormat="1" applyFont="1" applyBorder="1" applyAlignment="1"/>
    <xf numFmtId="9" fontId="29" fillId="0" borderId="0" xfId="0" applyNumberFormat="1" applyFont="1" applyBorder="1" applyAlignment="1">
      <alignment horizontal="right"/>
    </xf>
    <xf numFmtId="191" fontId="31" fillId="0" borderId="0" xfId="0" applyNumberFormat="1" applyFont="1" applyFill="1" applyAlignment="1">
      <alignment horizontal="left"/>
    </xf>
    <xf numFmtId="192" fontId="29" fillId="0" borderId="0" xfId="0" applyNumberFormat="1" applyFont="1" applyFill="1" applyAlignment="1">
      <alignment horizontal="right"/>
    </xf>
    <xf numFmtId="192" fontId="29" fillId="0" borderId="0" xfId="0" applyNumberFormat="1" applyFont="1" applyFill="1" applyBorder="1" applyAlignment="1">
      <alignment horizontal="right"/>
    </xf>
    <xf numFmtId="38" fontId="31" fillId="7" borderId="0" xfId="0" applyNumberFormat="1" applyFont="1" applyFill="1" applyBorder="1" applyAlignment="1">
      <alignment horizontal="left"/>
    </xf>
    <xf numFmtId="40" fontId="31" fillId="7" borderId="28" xfId="0" applyNumberFormat="1" applyFont="1" applyFill="1" applyBorder="1" applyAlignment="1"/>
    <xf numFmtId="40" fontId="31" fillId="7" borderId="35" xfId="0" applyNumberFormat="1" applyFont="1" applyFill="1" applyBorder="1" applyAlignment="1"/>
    <xf numFmtId="192" fontId="29" fillId="7" borderId="28" xfId="0" applyNumberFormat="1" applyFont="1" applyFill="1" applyBorder="1" applyAlignment="1">
      <alignment horizontal="right"/>
    </xf>
    <xf numFmtId="179" fontId="31" fillId="7" borderId="28" xfId="0" applyNumberFormat="1" applyFont="1" applyFill="1" applyBorder="1" applyAlignment="1"/>
    <xf numFmtId="38" fontId="31" fillId="7" borderId="28" xfId="0" applyNumberFormat="1" applyFont="1" applyFill="1" applyBorder="1" applyAlignment="1">
      <alignment horizontal="left"/>
    </xf>
    <xf numFmtId="40" fontId="31" fillId="7" borderId="28" xfId="0" applyNumberFormat="1" applyFont="1" applyFill="1" applyBorder="1" applyAlignment="1">
      <alignment horizontal="right"/>
    </xf>
    <xf numFmtId="192" fontId="29" fillId="7" borderId="35" xfId="0" applyNumberFormat="1" applyFont="1" applyFill="1" applyBorder="1" applyAlignment="1">
      <alignment horizontal="right"/>
    </xf>
    <xf numFmtId="40" fontId="29" fillId="7" borderId="28" xfId="0" applyNumberFormat="1" applyFont="1" applyFill="1" applyBorder="1" applyAlignment="1">
      <alignment horizontal="right"/>
    </xf>
    <xf numFmtId="40" fontId="31" fillId="7" borderId="36" xfId="0" applyNumberFormat="1" applyFont="1" applyFill="1" applyBorder="1" applyAlignment="1"/>
    <xf numFmtId="40" fontId="31" fillId="7" borderId="0" xfId="0" applyNumberFormat="1" applyFont="1" applyFill="1" applyBorder="1" applyAlignment="1"/>
    <xf numFmtId="191" fontId="31" fillId="7" borderId="0" xfId="0" applyNumberFormat="1" applyFont="1" applyFill="1" applyAlignment="1">
      <alignment horizontal="left"/>
    </xf>
    <xf numFmtId="40" fontId="31" fillId="7" borderId="35" xfId="0" applyNumberFormat="1" applyFont="1" applyFill="1" applyBorder="1" applyAlignment="1">
      <alignment horizontal="right"/>
    </xf>
    <xf numFmtId="38" fontId="31" fillId="7" borderId="36" xfId="0" applyNumberFormat="1" applyFont="1" applyFill="1" applyBorder="1" applyAlignment="1">
      <alignment horizontal="left"/>
    </xf>
    <xf numFmtId="38" fontId="31" fillId="7" borderId="27" xfId="0" applyNumberFormat="1" applyFont="1" applyFill="1" applyBorder="1" applyAlignment="1">
      <alignment horizontal="left"/>
    </xf>
    <xf numFmtId="40" fontId="31" fillId="7" borderId="31" xfId="0" applyNumberFormat="1" applyFont="1" applyFill="1" applyBorder="1" applyAlignment="1"/>
    <xf numFmtId="40" fontId="31" fillId="7" borderId="27" xfId="0" applyNumberFormat="1" applyFont="1" applyFill="1" applyBorder="1" applyAlignment="1"/>
    <xf numFmtId="40" fontId="31" fillId="7" borderId="33" xfId="0" applyNumberFormat="1" applyFont="1" applyFill="1" applyBorder="1" applyAlignment="1"/>
    <xf numFmtId="40" fontId="31" fillId="7" borderId="31" xfId="0" applyNumberFormat="1" applyFont="1" applyFill="1" applyBorder="1" applyAlignment="1">
      <alignment horizontal="right"/>
    </xf>
    <xf numFmtId="191" fontId="31" fillId="0" borderId="0" xfId="0" applyNumberFormat="1" applyFont="1" applyBorder="1" applyAlignment="1">
      <alignment horizontal="left"/>
    </xf>
    <xf numFmtId="40" fontId="29" fillId="0" borderId="0" xfId="0" applyNumberFormat="1" applyFont="1" applyBorder="1" applyAlignment="1">
      <alignment horizontal="right"/>
    </xf>
    <xf numFmtId="192" fontId="29" fillId="0" borderId="0" xfId="0" applyNumberFormat="1" applyFont="1" applyAlignment="1"/>
    <xf numFmtId="191" fontId="31" fillId="0" borderId="0" xfId="0" applyNumberFormat="1" applyFont="1" applyBorder="1" applyAlignment="1"/>
    <xf numFmtId="49" fontId="29" fillId="2" borderId="0" xfId="0" applyNumberFormat="1" applyFont="1" applyFill="1" applyBorder="1" applyAlignment="1">
      <alignment horizontal="left"/>
    </xf>
    <xf numFmtId="191" fontId="31" fillId="2" borderId="0" xfId="0" applyNumberFormat="1" applyFont="1" applyFill="1" applyBorder="1" applyAlignment="1"/>
    <xf numFmtId="40" fontId="31" fillId="0" borderId="0" xfId="0" applyNumberFormat="1" applyFont="1" applyFill="1" applyBorder="1" applyAlignment="1">
      <alignment horizontal="center" vertical="center"/>
    </xf>
    <xf numFmtId="40" fontId="31" fillId="0" borderId="0" xfId="0" applyNumberFormat="1" applyFont="1" applyFill="1" applyBorder="1" applyAlignment="1">
      <alignment vertical="center"/>
    </xf>
    <xf numFmtId="49" fontId="29" fillId="0" borderId="0" xfId="0" applyNumberFormat="1" applyFont="1" applyFill="1" applyBorder="1" applyAlignment="1">
      <alignment horizontal="left"/>
    </xf>
    <xf numFmtId="40" fontId="29" fillId="24" borderId="37" xfId="0" applyNumberFormat="1" applyFont="1" applyFill="1" applyBorder="1" applyAlignment="1">
      <alignment horizontal="right"/>
    </xf>
    <xf numFmtId="177" fontId="29" fillId="0" borderId="38" xfId="6" applyFont="1" applyBorder="1" applyAlignment="1">
      <alignment horizontal="right"/>
    </xf>
    <xf numFmtId="40" fontId="29" fillId="0" borderId="38" xfId="0" applyNumberFormat="1" applyFont="1" applyBorder="1" applyAlignment="1">
      <alignment horizontal="right"/>
    </xf>
    <xf numFmtId="191" fontId="31" fillId="27" borderId="0" xfId="485" applyNumberFormat="1" applyFont="1" applyFill="1" applyBorder="1"/>
    <xf numFmtId="49" fontId="29" fillId="0" borderId="0" xfId="0" applyNumberFormat="1" applyFont="1" applyBorder="1" applyAlignment="1"/>
    <xf numFmtId="40" fontId="31" fillId="0" borderId="35" xfId="0" applyNumberFormat="1" applyFont="1" applyBorder="1" applyAlignment="1"/>
    <xf numFmtId="192" fontId="31" fillId="0" borderId="0" xfId="0" applyNumberFormat="1" applyFont="1" applyAlignment="1">
      <alignment horizontal="right" vertical="center"/>
    </xf>
    <xf numFmtId="9" fontId="31" fillId="0" borderId="0" xfId="0" applyNumberFormat="1" applyFont="1" applyAlignment="1">
      <alignment horizontal="right"/>
    </xf>
    <xf numFmtId="192" fontId="31" fillId="0" borderId="0" xfId="0" applyNumberFormat="1" applyFont="1" applyFill="1" applyAlignment="1"/>
    <xf numFmtId="9" fontId="31" fillId="0" borderId="35" xfId="0" applyNumberFormat="1" applyFont="1" applyFill="1" applyBorder="1" applyAlignment="1">
      <alignment horizontal="right"/>
    </xf>
    <xf numFmtId="191" fontId="31" fillId="0" borderId="35" xfId="0" applyNumberFormat="1" applyFont="1" applyFill="1" applyBorder="1" applyAlignment="1"/>
    <xf numFmtId="9" fontId="31" fillId="0" borderId="0" xfId="0" applyNumberFormat="1" applyFont="1" applyFill="1" applyBorder="1" applyAlignment="1">
      <alignment horizontal="right"/>
    </xf>
    <xf numFmtId="196" fontId="31" fillId="0" borderId="35" xfId="0" applyNumberFormat="1" applyFont="1" applyFill="1" applyBorder="1" applyAlignment="1"/>
    <xf numFmtId="191" fontId="31" fillId="7" borderId="0" xfId="0" applyNumberFormat="1" applyFont="1" applyFill="1" applyBorder="1" applyAlignment="1"/>
    <xf numFmtId="40" fontId="29" fillId="7" borderId="28" xfId="0" applyNumberFormat="1" applyFont="1" applyFill="1" applyBorder="1" applyAlignment="1"/>
    <xf numFmtId="9" fontId="31" fillId="7" borderId="35" xfId="0" applyNumberFormat="1" applyFont="1" applyFill="1" applyBorder="1" applyAlignment="1">
      <alignment horizontal="right"/>
    </xf>
    <xf numFmtId="40" fontId="29" fillId="7" borderId="35" xfId="0" applyNumberFormat="1" applyFont="1" applyFill="1" applyBorder="1" applyAlignment="1">
      <alignment horizontal="right"/>
    </xf>
    <xf numFmtId="40" fontId="29" fillId="7" borderId="35" xfId="0" applyNumberFormat="1" applyFont="1" applyFill="1" applyBorder="1" applyAlignment="1"/>
    <xf numFmtId="40" fontId="31" fillId="7" borderId="36" xfId="0" applyNumberFormat="1" applyFont="1" applyFill="1" applyBorder="1" applyAlignment="1">
      <alignment horizontal="right"/>
    </xf>
    <xf numFmtId="40" fontId="31" fillId="7" borderId="34" xfId="0" applyNumberFormat="1" applyFont="1" applyFill="1" applyBorder="1" applyAlignment="1">
      <alignment horizontal="right"/>
    </xf>
    <xf numFmtId="40" fontId="31" fillId="7" borderId="34" xfId="0" applyNumberFormat="1" applyFont="1" applyFill="1" applyBorder="1" applyAlignment="1"/>
    <xf numFmtId="9" fontId="31" fillId="0" borderId="35" xfId="0" applyNumberFormat="1" applyFont="1" applyBorder="1" applyAlignment="1">
      <alignment horizontal="right"/>
    </xf>
    <xf numFmtId="9" fontId="31" fillId="0" borderId="0" xfId="0" applyNumberFormat="1" applyFont="1" applyBorder="1" applyAlignment="1">
      <alignment horizontal="right"/>
    </xf>
    <xf numFmtId="40" fontId="31" fillId="0" borderId="0" xfId="0" applyNumberFormat="1" applyFont="1" applyFill="1" applyBorder="1" applyAlignment="1">
      <alignment horizontal="right" vertical="center"/>
    </xf>
    <xf numFmtId="40" fontId="31" fillId="0" borderId="35" xfId="0" applyNumberFormat="1" applyFont="1" applyFill="1" applyBorder="1" applyAlignment="1">
      <alignment horizontal="right" vertical="center"/>
    </xf>
    <xf numFmtId="49" fontId="31" fillId="0" borderId="0" xfId="0" applyNumberFormat="1" applyFont="1" applyFill="1" applyBorder="1" applyAlignment="1">
      <alignment horizontal="center" vertical="center"/>
    </xf>
    <xf numFmtId="191" fontId="29" fillId="0" borderId="0" xfId="0" applyNumberFormat="1" applyFont="1" applyFill="1" applyBorder="1" applyAlignment="1"/>
    <xf numFmtId="179" fontId="31" fillId="0" borderId="28" xfId="0" applyNumberFormat="1" applyFont="1" applyFill="1" applyBorder="1" applyAlignment="1">
      <alignment horizontal="center"/>
    </xf>
    <xf numFmtId="40" fontId="29" fillId="24" borderId="38" xfId="0" applyNumberFormat="1" applyFont="1" applyFill="1" applyBorder="1" applyAlignment="1">
      <alignment horizontal="right"/>
    </xf>
    <xf numFmtId="40" fontId="29" fillId="0" borderId="37" xfId="0" applyNumberFormat="1" applyFont="1" applyBorder="1" applyAlignment="1">
      <alignment horizontal="center"/>
    </xf>
    <xf numFmtId="40" fontId="29" fillId="0" borderId="38" xfId="0" applyNumberFormat="1" applyFont="1" applyBorder="1" applyAlignment="1">
      <alignment horizontal="center"/>
    </xf>
    <xf numFmtId="15" fontId="29" fillId="0" borderId="37" xfId="0" applyNumberFormat="1" applyFont="1" applyBorder="1" applyAlignment="1">
      <alignment horizontal="right"/>
    </xf>
    <xf numFmtId="40" fontId="29" fillId="6" borderId="0" xfId="0" applyNumberFormat="1" applyFont="1" applyFill="1" applyBorder="1" applyAlignment="1">
      <alignment horizontal="right"/>
    </xf>
    <xf numFmtId="15" fontId="29" fillId="0" borderId="0" xfId="0" applyNumberFormat="1" applyFont="1" applyFill="1" applyBorder="1" applyAlignment="1">
      <alignment horizontal="right"/>
    </xf>
    <xf numFmtId="191" fontId="31" fillId="7" borderId="0" xfId="485" applyNumberFormat="1" applyFont="1" applyFill="1" applyBorder="1"/>
    <xf numFmtId="191" fontId="31" fillId="6" borderId="0" xfId="485" applyNumberFormat="1" applyFont="1" applyFill="1" applyBorder="1"/>
    <xf numFmtId="49" fontId="29" fillId="0" borderId="0" xfId="0" applyNumberFormat="1" applyFont="1" applyAlignment="1">
      <alignment horizontal="right"/>
    </xf>
    <xf numFmtId="40" fontId="31" fillId="6" borderId="0" xfId="0" applyNumberFormat="1" applyFont="1" applyFill="1" applyBorder="1" applyAlignment="1"/>
    <xf numFmtId="15" fontId="31" fillId="0" borderId="0" xfId="0" applyNumberFormat="1" applyFont="1" applyBorder="1" applyAlignment="1">
      <alignment horizontal="right"/>
    </xf>
    <xf numFmtId="49" fontId="31" fillId="0" borderId="0" xfId="0" applyNumberFormat="1" applyFont="1" applyBorder="1" applyAlignment="1">
      <alignment horizontal="center"/>
    </xf>
    <xf numFmtId="49" fontId="31" fillId="0" borderId="0" xfId="0" applyNumberFormat="1" applyFont="1" applyFill="1" applyBorder="1" applyAlignment="1">
      <alignment horizontal="center"/>
    </xf>
    <xf numFmtId="9" fontId="31" fillId="0" borderId="0" xfId="0" applyNumberFormat="1" applyFont="1" applyFill="1" applyAlignment="1">
      <alignment horizontal="right"/>
    </xf>
    <xf numFmtId="9" fontId="31" fillId="6" borderId="0" xfId="0" applyNumberFormat="1" applyFont="1" applyFill="1" applyAlignment="1">
      <alignment horizontal="right"/>
    </xf>
    <xf numFmtId="184" fontId="31" fillId="0" borderId="0" xfId="0" applyNumberFormat="1" applyFont="1" applyAlignment="1">
      <alignment horizontal="center"/>
    </xf>
    <xf numFmtId="177" fontId="31" fillId="0" borderId="0" xfId="0" applyNumberFormat="1" applyFont="1" applyFill="1" applyBorder="1" applyAlignment="1">
      <alignment horizontal="right"/>
    </xf>
    <xf numFmtId="177" fontId="31" fillId="6" borderId="0" xfId="0" applyNumberFormat="1" applyFont="1" applyFill="1" applyBorder="1" applyAlignment="1">
      <alignment horizontal="right"/>
    </xf>
    <xf numFmtId="184" fontId="31" fillId="0" borderId="0" xfId="0" applyNumberFormat="1" applyFont="1" applyFill="1" applyAlignment="1">
      <alignment horizontal="center"/>
    </xf>
    <xf numFmtId="177" fontId="31" fillId="0" borderId="0" xfId="6" applyFont="1" applyFill="1" applyBorder="1" applyAlignment="1">
      <alignment horizontal="right"/>
    </xf>
    <xf numFmtId="177" fontId="31" fillId="6" borderId="0" xfId="6" applyFont="1" applyFill="1" applyBorder="1" applyAlignment="1">
      <alignment horizontal="right"/>
    </xf>
    <xf numFmtId="177" fontId="31" fillId="7" borderId="35" xfId="6" applyNumberFormat="1" applyFont="1" applyFill="1" applyBorder="1" applyAlignment="1">
      <alignment vertical="center"/>
    </xf>
    <xf numFmtId="191" fontId="29" fillId="7" borderId="28" xfId="0" applyNumberFormat="1" applyFont="1" applyFill="1" applyBorder="1" applyAlignment="1">
      <alignment horizontal="right"/>
    </xf>
    <xf numFmtId="49" fontId="29" fillId="7" borderId="28" xfId="0" applyNumberFormat="1" applyFont="1" applyFill="1" applyBorder="1" applyAlignment="1">
      <alignment horizontal="center"/>
    </xf>
    <xf numFmtId="15" fontId="31" fillId="7" borderId="28" xfId="0" applyNumberFormat="1" applyFont="1" applyFill="1" applyBorder="1" applyAlignment="1">
      <alignment horizontal="right"/>
    </xf>
    <xf numFmtId="15" fontId="31" fillId="7" borderId="35" xfId="0" applyNumberFormat="1" applyFont="1" applyFill="1" applyBorder="1" applyAlignment="1">
      <alignment horizontal="right"/>
    </xf>
    <xf numFmtId="49" fontId="29" fillId="7" borderId="35" xfId="0" applyNumberFormat="1" applyFont="1" applyFill="1" applyBorder="1" applyAlignment="1">
      <alignment horizontal="center"/>
    </xf>
    <xf numFmtId="49" fontId="31" fillId="7" borderId="35" xfId="0" applyNumberFormat="1" applyFont="1" applyFill="1" applyBorder="1" applyAlignment="1">
      <alignment horizontal="center"/>
    </xf>
    <xf numFmtId="9" fontId="31" fillId="7" borderId="28" xfId="0" applyNumberFormat="1" applyFont="1" applyFill="1" applyBorder="1" applyAlignment="1">
      <alignment horizontal="right"/>
    </xf>
    <xf numFmtId="9" fontId="31" fillId="6" borderId="35" xfId="0" applyNumberFormat="1" applyFont="1" applyFill="1" applyBorder="1" applyAlignment="1">
      <alignment horizontal="right"/>
    </xf>
    <xf numFmtId="191" fontId="29" fillId="7" borderId="35" xfId="0" applyNumberFormat="1" applyFont="1" applyFill="1" applyBorder="1" applyAlignment="1"/>
    <xf numFmtId="191" fontId="29" fillId="7" borderId="35" xfId="0" applyNumberFormat="1" applyFont="1" applyFill="1" applyBorder="1" applyAlignment="1">
      <alignment horizontal="right"/>
    </xf>
    <xf numFmtId="15" fontId="29" fillId="7" borderId="28" xfId="0" applyNumberFormat="1" applyFont="1" applyFill="1" applyBorder="1" applyAlignment="1">
      <alignment horizontal="right"/>
    </xf>
    <xf numFmtId="177" fontId="31" fillId="7" borderId="28" xfId="6" applyNumberFormat="1" applyFont="1" applyFill="1" applyBorder="1" applyAlignment="1">
      <alignment vertical="center"/>
    </xf>
    <xf numFmtId="49" fontId="31" fillId="7" borderId="0" xfId="0" applyNumberFormat="1" applyFont="1" applyFill="1" applyBorder="1" applyAlignment="1">
      <alignment horizontal="center"/>
    </xf>
    <xf numFmtId="14" fontId="31" fillId="7" borderId="28" xfId="0" applyNumberFormat="1" applyFont="1" applyFill="1" applyBorder="1" applyAlignment="1"/>
    <xf numFmtId="177" fontId="31" fillId="7" borderId="28" xfId="6" applyNumberFormat="1" applyFont="1" applyFill="1" applyBorder="1" applyAlignment="1"/>
    <xf numFmtId="177" fontId="31" fillId="7" borderId="35" xfId="6" applyNumberFormat="1" applyFont="1" applyFill="1" applyBorder="1" applyAlignment="1"/>
    <xf numFmtId="177" fontId="31" fillId="6" borderId="35" xfId="6" applyNumberFormat="1" applyFont="1" applyFill="1" applyBorder="1" applyAlignment="1"/>
    <xf numFmtId="15" fontId="31" fillId="7" borderId="28" xfId="0" applyNumberFormat="1" applyFont="1" applyFill="1" applyBorder="1" applyAlignment="1">
      <alignment horizontal="center"/>
    </xf>
    <xf numFmtId="40" fontId="31" fillId="7" borderId="35" xfId="0" applyNumberFormat="1" applyFont="1" applyFill="1" applyBorder="1" applyAlignment="1">
      <alignment horizontal="center"/>
    </xf>
    <xf numFmtId="177" fontId="31" fillId="7" borderId="27" xfId="6" applyNumberFormat="1" applyFont="1" applyFill="1" applyBorder="1" applyAlignment="1">
      <alignment vertical="center"/>
    </xf>
    <xf numFmtId="177" fontId="31" fillId="6" borderId="27" xfId="6" applyNumberFormat="1" applyFont="1" applyFill="1" applyBorder="1" applyAlignment="1">
      <alignment vertical="center"/>
    </xf>
    <xf numFmtId="40" fontId="31" fillId="7" borderId="27" xfId="0" applyNumberFormat="1" applyFont="1" applyFill="1" applyBorder="1" applyAlignment="1">
      <alignment horizontal="right"/>
    </xf>
    <xf numFmtId="15" fontId="31" fillId="7" borderId="27" xfId="0" applyNumberFormat="1" applyFont="1" applyFill="1" applyBorder="1" applyAlignment="1">
      <alignment horizontal="right"/>
    </xf>
    <xf numFmtId="49" fontId="31" fillId="7" borderId="31" xfId="0" applyNumberFormat="1" applyFont="1" applyFill="1" applyBorder="1" applyAlignment="1">
      <alignment horizontal="center"/>
    </xf>
    <xf numFmtId="192" fontId="29" fillId="6" borderId="0" xfId="0" applyNumberFormat="1" applyFont="1" applyFill="1" applyBorder="1" applyAlignment="1"/>
    <xf numFmtId="177" fontId="29" fillId="0" borderId="0" xfId="6" applyNumberFormat="1" applyFont="1" applyBorder="1" applyAlignment="1">
      <alignment vertical="center"/>
    </xf>
    <xf numFmtId="177" fontId="29" fillId="0" borderId="0" xfId="6" applyNumberFormat="1" applyFont="1" applyFill="1" applyBorder="1" applyAlignment="1">
      <alignment vertical="center"/>
    </xf>
    <xf numFmtId="177" fontId="29" fillId="6" borderId="0" xfId="6" applyNumberFormat="1" applyFont="1" applyFill="1" applyBorder="1" applyAlignment="1">
      <alignment vertical="center"/>
    </xf>
    <xf numFmtId="191" fontId="29" fillId="0" borderId="0" xfId="0" applyNumberFormat="1" applyFont="1" applyBorder="1" applyAlignment="1"/>
    <xf numFmtId="191" fontId="29" fillId="0" borderId="0" xfId="0" applyNumberFormat="1" applyFont="1" applyBorder="1" applyAlignment="1">
      <alignment horizontal="right"/>
    </xf>
    <xf numFmtId="191" fontId="31" fillId="0" borderId="0" xfId="0" applyNumberFormat="1" applyFont="1" applyFill="1" applyBorder="1" applyAlignment="1">
      <alignment horizontal="right" vertical="center"/>
    </xf>
    <xf numFmtId="191" fontId="31" fillId="6" borderId="0" xfId="0" applyNumberFormat="1" applyFont="1" applyFill="1" applyBorder="1" applyAlignment="1">
      <alignment horizontal="right" vertical="center"/>
    </xf>
    <xf numFmtId="15" fontId="31" fillId="0" borderId="0" xfId="0" applyNumberFormat="1" applyFont="1" applyFill="1" applyBorder="1" applyAlignment="1">
      <alignment horizontal="right" vertical="center"/>
    </xf>
    <xf numFmtId="15" fontId="33" fillId="0" borderId="0" xfId="0" applyNumberFormat="1" applyFont="1" applyFill="1" applyBorder="1" applyAlignment="1">
      <alignment horizontal="right" vertical="center"/>
    </xf>
    <xf numFmtId="38" fontId="31" fillId="0" borderId="0" xfId="0" applyNumberFormat="1" applyFont="1" applyFill="1" applyBorder="1" applyAlignment="1">
      <alignment horizontal="center" vertical="center"/>
    </xf>
    <xf numFmtId="38" fontId="31" fillId="0" borderId="0" xfId="0" applyNumberFormat="1" applyFont="1" applyFill="1" applyBorder="1" applyAlignment="1">
      <alignment horizontal="center" vertical="center" wrapText="1"/>
    </xf>
    <xf numFmtId="177" fontId="31" fillId="0" borderId="0" xfId="6" applyNumberFormat="1" applyFont="1" applyFill="1" applyBorder="1" applyAlignment="1">
      <alignment vertical="center"/>
    </xf>
    <xf numFmtId="177" fontId="31" fillId="6" borderId="0" xfId="6" applyNumberFormat="1" applyFont="1" applyFill="1" applyBorder="1" applyAlignment="1">
      <alignment vertical="center"/>
    </xf>
    <xf numFmtId="49" fontId="29" fillId="0" borderId="0" xfId="0" applyNumberFormat="1" applyFont="1" applyFill="1" applyBorder="1" applyAlignment="1">
      <alignment horizontal="center"/>
    </xf>
    <xf numFmtId="9" fontId="31" fillId="6" borderId="0" xfId="0" applyNumberFormat="1" applyFont="1" applyFill="1" applyBorder="1" applyAlignment="1">
      <alignment horizontal="right"/>
    </xf>
    <xf numFmtId="191" fontId="31" fillId="6" borderId="0" xfId="0" applyNumberFormat="1" applyFont="1" applyFill="1" applyBorder="1" applyAlignment="1"/>
    <xf numFmtId="40" fontId="31" fillId="0" borderId="0" xfId="0" applyNumberFormat="1" applyFont="1" applyFill="1" applyAlignment="1"/>
    <xf numFmtId="184" fontId="31" fillId="0" borderId="0" xfId="0" applyNumberFormat="1" applyFont="1" applyFill="1" applyBorder="1" applyAlignment="1">
      <alignment horizontal="center"/>
    </xf>
    <xf numFmtId="184" fontId="31" fillId="0" borderId="35" xfId="0" applyNumberFormat="1" applyFont="1" applyFill="1" applyBorder="1" applyAlignment="1">
      <alignment horizontal="center"/>
    </xf>
    <xf numFmtId="38" fontId="3" fillId="7" borderId="0" xfId="0" applyNumberFormat="1" applyFont="1" applyFill="1" applyAlignment="1"/>
    <xf numFmtId="191" fontId="3" fillId="7" borderId="0" xfId="0" applyNumberFormat="1" applyFont="1" applyFill="1" applyAlignment="1"/>
    <xf numFmtId="184" fontId="31" fillId="7" borderId="28" xfId="0" applyNumberFormat="1" applyFont="1" applyFill="1" applyBorder="1" applyAlignment="1">
      <alignment horizontal="center"/>
    </xf>
    <xf numFmtId="184" fontId="31" fillId="0" borderId="0" xfId="0" applyNumberFormat="1" applyFont="1" applyBorder="1" applyAlignment="1">
      <alignment horizontal="center"/>
    </xf>
    <xf numFmtId="191" fontId="3" fillId="7" borderId="0" xfId="0" applyNumberFormat="1" applyFont="1" applyFill="1" applyAlignment="1">
      <alignment wrapText="1"/>
    </xf>
    <xf numFmtId="179" fontId="31" fillId="0" borderId="0" xfId="0" applyNumberFormat="1" applyFont="1" applyFill="1" applyBorder="1" applyAlignment="1"/>
    <xf numFmtId="192" fontId="29" fillId="0" borderId="0" xfId="0" applyNumberFormat="1" applyFont="1" applyBorder="1" applyAlignment="1">
      <alignment horizontal="right"/>
    </xf>
    <xf numFmtId="40" fontId="31" fillId="17" borderId="0" xfId="0" applyNumberFormat="1" applyFont="1" applyFill="1" applyBorder="1" applyAlignment="1"/>
    <xf numFmtId="40" fontId="31" fillId="17" borderId="0" xfId="0" applyNumberFormat="1" applyFont="1" applyFill="1" applyBorder="1" applyAlignment="1">
      <alignment horizontal="right"/>
    </xf>
    <xf numFmtId="40" fontId="29" fillId="0" borderId="0" xfId="0" applyNumberFormat="1" applyFont="1" applyBorder="1" applyAlignment="1"/>
    <xf numFmtId="15" fontId="31" fillId="7" borderId="0" xfId="0" applyNumberFormat="1" applyFont="1" applyFill="1" applyBorder="1" applyAlignment="1">
      <alignment horizontal="right"/>
    </xf>
    <xf numFmtId="15" fontId="31" fillId="0" borderId="0" xfId="0" applyNumberFormat="1" applyFont="1" applyBorder="1" applyAlignment="1">
      <alignment horizontal="center"/>
    </xf>
    <xf numFmtId="38" fontId="31" fillId="0" borderId="0" xfId="0" applyNumberFormat="1" applyFont="1" applyBorder="1" applyAlignment="1">
      <alignment horizontal="center"/>
    </xf>
    <xf numFmtId="40" fontId="31" fillId="6" borderId="0" xfId="0" applyNumberFormat="1" applyFont="1" applyFill="1" applyBorder="1" applyAlignment="1">
      <alignment horizontal="right"/>
    </xf>
    <xf numFmtId="40" fontId="31" fillId="0" borderId="0" xfId="0" applyNumberFormat="1" applyFont="1" applyBorder="1" applyAlignment="1">
      <alignment horizontal="center"/>
    </xf>
    <xf numFmtId="10" fontId="9" fillId="25" borderId="2" xfId="480" applyNumberFormat="1" applyFont="1" applyFill="1" applyBorder="1" applyAlignment="1">
      <alignment horizontal="center" vertical="center" wrapText="1"/>
    </xf>
    <xf numFmtId="0" fontId="9" fillId="25" borderId="2" xfId="480" applyNumberFormat="1" applyFont="1" applyFill="1" applyBorder="1" applyAlignment="1">
      <alignment horizontal="center" vertical="center" wrapText="1"/>
    </xf>
    <xf numFmtId="1" fontId="9" fillId="24" borderId="2" xfId="480" applyNumberFormat="1" applyFont="1" applyFill="1" applyBorder="1" applyAlignment="1">
      <alignment horizontal="center" vertical="center" wrapText="1"/>
    </xf>
    <xf numFmtId="0" fontId="17" fillId="0" borderId="11" xfId="0" applyNumberFormat="1" applyFont="1" applyFill="1" applyBorder="1" applyAlignment="1" applyProtection="1">
      <alignment wrapText="1"/>
    </xf>
    <xf numFmtId="0" fontId="18" fillId="24" borderId="11" xfId="0" applyNumberFormat="1" applyFont="1" applyFill="1" applyBorder="1" applyAlignment="1" applyProtection="1">
      <alignment vertical="center"/>
    </xf>
    <xf numFmtId="0" fontId="18" fillId="0" borderId="11" xfId="0" applyNumberFormat="1" applyFont="1" applyFill="1" applyBorder="1" applyAlignment="1" applyProtection="1">
      <alignment vertical="center"/>
    </xf>
    <xf numFmtId="0" fontId="18" fillId="0" borderId="2" xfId="0" applyNumberFormat="1" applyFont="1" applyFill="1" applyBorder="1" applyAlignment="1" applyProtection="1">
      <alignment horizontal="center" vertical="center"/>
    </xf>
    <xf numFmtId="0" fontId="18" fillId="24" borderId="2" xfId="0" applyNumberFormat="1" applyFont="1" applyFill="1" applyBorder="1" applyAlignment="1" applyProtection="1">
      <alignment horizontal="center" vertical="center"/>
    </xf>
    <xf numFmtId="0" fontId="17" fillId="24" borderId="2" xfId="0" applyNumberFormat="1" applyFont="1" applyFill="1" applyBorder="1" applyAlignment="1" applyProtection="1">
      <alignment horizontal="center" vertical="center"/>
    </xf>
    <xf numFmtId="0" fontId="17" fillId="24" borderId="0" xfId="0" applyNumberFormat="1" applyFont="1" applyFill="1" applyBorder="1" applyAlignment="1" applyProtection="1">
      <alignment horizontal="center"/>
    </xf>
    <xf numFmtId="0" fontId="17" fillId="0" borderId="2" xfId="0" applyNumberFormat="1" applyFont="1" applyFill="1" applyBorder="1" applyAlignment="1" applyProtection="1">
      <alignment horizontal="center" vertical="center"/>
    </xf>
    <xf numFmtId="0" fontId="9" fillId="0" borderId="0" xfId="0" applyFont="1" applyAlignment="1">
      <alignment horizontal="center" vertical="center"/>
    </xf>
    <xf numFmtId="0" fontId="3" fillId="0" borderId="0" xfId="0" applyNumberFormat="1" applyFont="1" applyFill="1" applyBorder="1" applyAlignment="1" applyProtection="1">
      <alignment horizontal="center"/>
    </xf>
    <xf numFmtId="0" fontId="9" fillId="0" borderId="0" xfId="0" applyNumberFormat="1" applyFont="1" applyFill="1" applyBorder="1" applyAlignment="1" applyProtection="1">
      <alignment horizontal="center" vertical="center"/>
    </xf>
    <xf numFmtId="10" fontId="3" fillId="0" borderId="0" xfId="0" applyNumberFormat="1" applyFont="1" applyFill="1" applyBorder="1" applyAlignment="1" applyProtection="1">
      <alignment horizontal="center"/>
    </xf>
    <xf numFmtId="0" fontId="17" fillId="0" borderId="11" xfId="0" applyNumberFormat="1" applyFont="1" applyFill="1" applyBorder="1" applyAlignment="1" applyProtection="1"/>
    <xf numFmtId="0" fontId="17" fillId="24" borderId="11" xfId="0" applyNumberFormat="1" applyFont="1" applyFill="1" applyBorder="1" applyAlignment="1" applyProtection="1"/>
    <xf numFmtId="9" fontId="17" fillId="0" borderId="0" xfId="0" applyNumberFormat="1" applyFont="1" applyFill="1" applyBorder="1" applyAlignment="1" applyProtection="1"/>
    <xf numFmtId="191" fontId="29" fillId="0" borderId="0" xfId="0" applyNumberFormat="1" applyFont="1" applyAlignment="1"/>
    <xf numFmtId="38" fontId="31" fillId="0" borderId="0" xfId="0" applyNumberFormat="1" applyFont="1" applyAlignment="1"/>
    <xf numFmtId="38" fontId="31" fillId="0" borderId="0" xfId="0" applyNumberFormat="1" applyFont="1" applyFill="1" applyAlignment="1">
      <alignment vertical="center"/>
    </xf>
    <xf numFmtId="38" fontId="31" fillId="4" borderId="0" xfId="0" applyNumberFormat="1" applyFont="1" applyFill="1" applyBorder="1" applyAlignment="1">
      <alignment vertical="center"/>
    </xf>
    <xf numFmtId="38" fontId="31" fillId="20" borderId="0" xfId="0" applyNumberFormat="1" applyFont="1" applyFill="1" applyBorder="1" applyAlignment="1">
      <alignment vertical="center"/>
    </xf>
    <xf numFmtId="38" fontId="31" fillId="4" borderId="0" xfId="0" applyNumberFormat="1" applyFont="1" applyFill="1" applyAlignment="1">
      <alignment vertical="center"/>
    </xf>
    <xf numFmtId="38" fontId="31" fillId="20" borderId="0" xfId="0" applyNumberFormat="1" applyFont="1" applyFill="1" applyAlignment="1">
      <alignment vertical="center"/>
    </xf>
    <xf numFmtId="191" fontId="0" fillId="4" borderId="0" xfId="0" applyNumberFormat="1" applyFill="1" applyAlignment="1"/>
    <xf numFmtId="38" fontId="31" fillId="6" borderId="0" xfId="0" applyNumberFormat="1" applyFont="1" applyFill="1" applyAlignment="1">
      <alignment vertical="center"/>
    </xf>
    <xf numFmtId="38" fontId="29" fillId="6" borderId="0" xfId="0" applyNumberFormat="1" applyFont="1" applyFill="1" applyAlignment="1">
      <alignment vertical="center"/>
    </xf>
    <xf numFmtId="0" fontId="31" fillId="0" borderId="0" xfId="0" applyNumberFormat="1" applyFont="1" applyAlignment="1"/>
    <xf numFmtId="195" fontId="31" fillId="0" borderId="0" xfId="0" applyNumberFormat="1" applyFont="1" applyAlignment="1"/>
    <xf numFmtId="0" fontId="29" fillId="0" borderId="32" xfId="0" applyNumberFormat="1" applyFont="1" applyBorder="1" applyAlignment="1">
      <alignment horizontal="center"/>
    </xf>
    <xf numFmtId="38" fontId="4" fillId="0" borderId="27" xfId="0" applyNumberFormat="1" applyFont="1" applyBorder="1" applyAlignment="1">
      <alignment horizontal="left"/>
    </xf>
    <xf numFmtId="0" fontId="4" fillId="0" borderId="34" xfId="0" applyNumberFormat="1" applyFont="1" applyBorder="1" applyAlignment="1"/>
    <xf numFmtId="0" fontId="31" fillId="0" borderId="13" xfId="0" applyNumberFormat="1" applyFont="1" applyBorder="1" applyAlignment="1"/>
    <xf numFmtId="191" fontId="31" fillId="0" borderId="28" xfId="0" applyNumberFormat="1" applyFont="1" applyFill="1" applyBorder="1" applyAlignment="1">
      <alignment horizontal="left" vertical="center"/>
    </xf>
    <xf numFmtId="0" fontId="31" fillId="0" borderId="0" xfId="0" applyNumberFormat="1" applyFont="1" applyFill="1" applyBorder="1" applyAlignment="1">
      <alignment horizontal="right" vertical="center"/>
    </xf>
    <xf numFmtId="40" fontId="31" fillId="0" borderId="28" xfId="0" applyNumberFormat="1" applyFont="1" applyFill="1" applyBorder="1" applyAlignment="1">
      <alignment vertical="center"/>
    </xf>
    <xf numFmtId="40" fontId="31" fillId="0" borderId="28" xfId="0" applyNumberFormat="1" applyFont="1" applyFill="1" applyBorder="1" applyAlignment="1">
      <alignment horizontal="center" vertical="center"/>
    </xf>
    <xf numFmtId="191" fontId="3" fillId="0" borderId="28" xfId="0" applyNumberFormat="1" applyFont="1" applyFill="1" applyBorder="1" applyAlignment="1">
      <alignment horizontal="left" vertical="center"/>
    </xf>
    <xf numFmtId="0" fontId="31" fillId="0" borderId="28" xfId="0" applyNumberFormat="1" applyFont="1" applyFill="1" applyBorder="1" applyAlignment="1">
      <alignment horizontal="right" vertical="center"/>
    </xf>
    <xf numFmtId="191" fontId="34" fillId="0" borderId="0" xfId="0" applyNumberFormat="1" applyFont="1" applyAlignment="1"/>
    <xf numFmtId="191" fontId="3" fillId="0" borderId="28" xfId="0" applyNumberFormat="1" applyFont="1" applyFill="1" applyBorder="1" applyAlignment="1">
      <alignment horizontal="left"/>
    </xf>
    <xf numFmtId="0" fontId="31" fillId="0" borderId="0" xfId="0" applyNumberFormat="1" applyFont="1" applyFill="1" applyAlignment="1"/>
    <xf numFmtId="191" fontId="31" fillId="0" borderId="28" xfId="0" applyNumberFormat="1" applyFont="1" applyFill="1" applyBorder="1" applyAlignment="1">
      <alignment horizontal="left"/>
    </xf>
    <xf numFmtId="0" fontId="31" fillId="0" borderId="35" xfId="0" applyNumberFormat="1" applyFont="1" applyFill="1" applyBorder="1" applyAlignment="1"/>
    <xf numFmtId="0" fontId="31" fillId="0" borderId="35" xfId="0" applyNumberFormat="1" applyFont="1" applyFill="1" applyBorder="1" applyAlignment="1">
      <alignment horizontal="right" vertical="center"/>
    </xf>
    <xf numFmtId="40" fontId="31" fillId="0" borderId="35" xfId="0" applyNumberFormat="1" applyFont="1" applyFill="1" applyBorder="1" applyAlignment="1">
      <alignment vertical="center"/>
    </xf>
    <xf numFmtId="191" fontId="29" fillId="18" borderId="32" xfId="0" applyNumberFormat="1" applyFont="1" applyFill="1" applyBorder="1" applyAlignment="1">
      <alignment vertical="top" wrapText="1"/>
    </xf>
    <xf numFmtId="191" fontId="4" fillId="18" borderId="34" xfId="0" applyNumberFormat="1" applyFont="1" applyFill="1" applyBorder="1" applyAlignment="1">
      <alignment vertical="top" wrapText="1"/>
    </xf>
    <xf numFmtId="40" fontId="31" fillId="18" borderId="35" xfId="0" applyNumberFormat="1" applyFont="1" applyFill="1" applyBorder="1" applyAlignment="1">
      <alignment vertical="center"/>
    </xf>
    <xf numFmtId="40" fontId="31" fillId="18" borderId="36" xfId="0" applyNumberFormat="1" applyFont="1" applyFill="1" applyBorder="1" applyAlignment="1">
      <alignment vertical="center"/>
    </xf>
    <xf numFmtId="40" fontId="31" fillId="0" borderId="36" xfId="0" applyNumberFormat="1" applyFont="1" applyFill="1" applyBorder="1" applyAlignment="1">
      <alignment vertical="center"/>
    </xf>
    <xf numFmtId="40" fontId="31" fillId="4" borderId="28" xfId="0" applyNumberFormat="1" applyFont="1" applyFill="1" applyBorder="1" applyAlignment="1">
      <alignment horizontal="right" vertical="center"/>
    </xf>
    <xf numFmtId="40" fontId="31" fillId="0" borderId="36" xfId="0" applyNumberFormat="1" applyFont="1" applyFill="1" applyBorder="1" applyAlignment="1">
      <alignment horizontal="right" vertical="center"/>
    </xf>
    <xf numFmtId="40" fontId="31" fillId="0" borderId="28" xfId="0" applyNumberFormat="1" applyFont="1" applyFill="1" applyBorder="1" applyAlignment="1">
      <alignment horizontal="right" vertical="center"/>
    </xf>
    <xf numFmtId="191" fontId="29" fillId="0" borderId="34" xfId="0" applyNumberFormat="1" applyFont="1" applyBorder="1" applyAlignment="1">
      <alignment horizontal="center" vertical="center"/>
    </xf>
    <xf numFmtId="40" fontId="31" fillId="0" borderId="13" xfId="0" applyNumberFormat="1" applyFont="1" applyBorder="1" applyAlignment="1"/>
    <xf numFmtId="191" fontId="31" fillId="0" borderId="28" xfId="0" applyNumberFormat="1" applyFont="1" applyFill="1" applyBorder="1" applyAlignment="1">
      <alignment horizontal="right" vertical="center"/>
    </xf>
    <xf numFmtId="184" fontId="31" fillId="0" borderId="35" xfId="0" applyNumberFormat="1" applyFont="1" applyFill="1" applyBorder="1" applyAlignment="1">
      <alignment horizontal="center" vertical="center"/>
    </xf>
    <xf numFmtId="197" fontId="31" fillId="0" borderId="28" xfId="0" applyNumberFormat="1" applyFont="1" applyFill="1" applyBorder="1" applyAlignment="1">
      <alignment horizontal="right" vertical="center"/>
    </xf>
    <xf numFmtId="15" fontId="31" fillId="0" borderId="35" xfId="0" applyNumberFormat="1" applyFont="1" applyFill="1" applyBorder="1" applyAlignment="1">
      <alignment horizontal="right" vertical="center"/>
    </xf>
    <xf numFmtId="40" fontId="31" fillId="0" borderId="35" xfId="0" applyNumberFormat="1" applyFont="1" applyFill="1" applyBorder="1" applyAlignment="1">
      <alignment horizontal="center" vertical="center"/>
    </xf>
    <xf numFmtId="15" fontId="31" fillId="0" borderId="28" xfId="0" applyNumberFormat="1" applyFont="1" applyFill="1" applyBorder="1" applyAlignment="1">
      <alignment horizontal="right" vertical="center"/>
    </xf>
    <xf numFmtId="15" fontId="33" fillId="0" borderId="28" xfId="0" applyNumberFormat="1" applyFont="1" applyFill="1" applyBorder="1" applyAlignment="1">
      <alignment horizontal="right" vertical="center"/>
    </xf>
    <xf numFmtId="15" fontId="33" fillId="0" borderId="35" xfId="0" applyNumberFormat="1" applyFont="1" applyFill="1" applyBorder="1" applyAlignment="1">
      <alignment horizontal="right" vertical="center"/>
    </xf>
    <xf numFmtId="38" fontId="31" fillId="0" borderId="28" xfId="0" applyNumberFormat="1" applyFont="1" applyFill="1" applyBorder="1" applyAlignment="1">
      <alignment horizontal="center" vertical="center"/>
    </xf>
    <xf numFmtId="15" fontId="35" fillId="0" borderId="0" xfId="0" applyNumberFormat="1" applyFont="1" applyFill="1" applyBorder="1" applyAlignment="1">
      <alignment horizontal="right" vertical="center"/>
    </xf>
    <xf numFmtId="49" fontId="31" fillId="0" borderId="35" xfId="0" applyNumberFormat="1" applyFont="1" applyFill="1" applyBorder="1" applyAlignment="1">
      <alignment horizontal="center" vertical="center"/>
    </xf>
    <xf numFmtId="15" fontId="29" fillId="0" borderId="35" xfId="0" applyNumberFormat="1" applyFont="1" applyFill="1" applyBorder="1" applyAlignment="1">
      <alignment horizontal="right" vertical="center"/>
    </xf>
    <xf numFmtId="191" fontId="31" fillId="4" borderId="28" xfId="0" applyNumberFormat="1" applyFont="1" applyFill="1" applyBorder="1" applyAlignment="1">
      <alignment horizontal="left" vertical="center"/>
    </xf>
    <xf numFmtId="0" fontId="31" fillId="4" borderId="35" xfId="0" applyNumberFormat="1" applyFont="1" applyFill="1" applyBorder="1" applyAlignment="1">
      <alignment horizontal="right" vertical="center"/>
    </xf>
    <xf numFmtId="40" fontId="31" fillId="4" borderId="28" xfId="0" applyNumberFormat="1" applyFont="1" applyFill="1" applyBorder="1" applyAlignment="1">
      <alignment vertical="center"/>
    </xf>
    <xf numFmtId="40" fontId="31" fillId="4" borderId="28" xfId="0" applyNumberFormat="1" applyFont="1" applyFill="1" applyBorder="1" applyAlignment="1">
      <alignment horizontal="center" vertical="center"/>
    </xf>
    <xf numFmtId="191" fontId="31" fillId="20" borderId="28" xfId="0" applyNumberFormat="1" applyFont="1" applyFill="1" applyBorder="1" applyAlignment="1">
      <alignment horizontal="left" vertical="center"/>
    </xf>
    <xf numFmtId="0" fontId="31" fillId="20" borderId="28" xfId="0" applyNumberFormat="1" applyFont="1" applyFill="1" applyBorder="1" applyAlignment="1">
      <alignment horizontal="right" vertical="center"/>
    </xf>
    <xf numFmtId="40" fontId="31" fillId="20" borderId="28" xfId="0" applyNumberFormat="1" applyFont="1" applyFill="1" applyBorder="1" applyAlignment="1">
      <alignment vertical="center"/>
    </xf>
    <xf numFmtId="40" fontId="31" fillId="20" borderId="28" xfId="0" applyNumberFormat="1" applyFont="1" applyFill="1" applyBorder="1" applyAlignment="1">
      <alignment horizontal="center" vertical="center"/>
    </xf>
    <xf numFmtId="0" fontId="31" fillId="4" borderId="28" xfId="0" applyNumberFormat="1" applyFont="1" applyFill="1" applyBorder="1" applyAlignment="1">
      <alignment horizontal="right" vertical="center"/>
    </xf>
    <xf numFmtId="0" fontId="31" fillId="20" borderId="0" xfId="0" applyNumberFormat="1" applyFont="1" applyFill="1" applyBorder="1" applyAlignment="1">
      <alignment horizontal="right" vertical="center"/>
    </xf>
    <xf numFmtId="191" fontId="3" fillId="4" borderId="28" xfId="0" applyNumberFormat="1" applyFont="1" applyFill="1" applyBorder="1" applyAlignment="1">
      <alignment horizontal="left" vertical="center"/>
    </xf>
    <xf numFmtId="191" fontId="3" fillId="6" borderId="28" xfId="0" applyNumberFormat="1" applyFont="1" applyFill="1" applyBorder="1" applyAlignment="1">
      <alignment horizontal="left"/>
    </xf>
    <xf numFmtId="0" fontId="31" fillId="6" borderId="0" xfId="0" applyNumberFormat="1" applyFont="1" applyFill="1" applyAlignment="1"/>
    <xf numFmtId="40" fontId="31" fillId="6" borderId="28" xfId="0" applyNumberFormat="1" applyFont="1" applyFill="1" applyBorder="1" applyAlignment="1">
      <alignment vertical="center"/>
    </xf>
    <xf numFmtId="40" fontId="31" fillId="6" borderId="28" xfId="0" applyNumberFormat="1" applyFont="1" applyFill="1" applyBorder="1" applyAlignment="1">
      <alignment horizontal="center" vertical="center"/>
    </xf>
    <xf numFmtId="38" fontId="29" fillId="6" borderId="37" xfId="0" applyNumberFormat="1" applyFont="1" applyFill="1" applyBorder="1" applyAlignment="1">
      <alignment horizontal="left" vertical="center"/>
    </xf>
    <xf numFmtId="0" fontId="29" fillId="6" borderId="37" xfId="0" applyNumberFormat="1" applyFont="1" applyFill="1" applyBorder="1" applyAlignment="1">
      <alignment vertical="center"/>
    </xf>
    <xf numFmtId="40" fontId="29" fillId="6" borderId="37" xfId="0" applyNumberFormat="1" applyFont="1" applyFill="1" applyBorder="1" applyAlignment="1">
      <alignment vertical="center"/>
    </xf>
    <xf numFmtId="40" fontId="29" fillId="6" borderId="37" xfId="0" applyNumberFormat="1" applyFont="1" applyFill="1" applyBorder="1" applyAlignment="1">
      <alignment horizontal="center" vertical="center"/>
    </xf>
    <xf numFmtId="195" fontId="31" fillId="0" borderId="0" xfId="0" applyNumberFormat="1" applyFont="1" applyFill="1" applyAlignment="1"/>
    <xf numFmtId="40" fontId="31" fillId="20" borderId="35" xfId="0" applyNumberFormat="1" applyFont="1" applyFill="1" applyBorder="1" applyAlignment="1">
      <alignment vertical="center"/>
    </xf>
    <xf numFmtId="40" fontId="31" fillId="6" borderId="35" xfId="0" applyNumberFormat="1" applyFont="1" applyFill="1" applyBorder="1" applyAlignment="1">
      <alignment vertical="center"/>
    </xf>
    <xf numFmtId="40" fontId="31" fillId="4" borderId="35" xfId="0" applyNumberFormat="1" applyFont="1" applyFill="1" applyBorder="1" applyAlignment="1">
      <alignment horizontal="center" vertical="center"/>
    </xf>
    <xf numFmtId="15" fontId="31" fillId="4" borderId="28" xfId="0" applyNumberFormat="1" applyFont="1" applyFill="1" applyBorder="1" applyAlignment="1">
      <alignment horizontal="right" vertical="center"/>
    </xf>
    <xf numFmtId="15" fontId="33" fillId="4" borderId="28" xfId="0" applyNumberFormat="1" applyFont="1" applyFill="1" applyBorder="1" applyAlignment="1">
      <alignment horizontal="right" vertical="center"/>
    </xf>
    <xf numFmtId="40" fontId="31" fillId="20" borderId="28" xfId="0" applyNumberFormat="1" applyFont="1" applyFill="1" applyBorder="1" applyAlignment="1">
      <alignment horizontal="right" vertical="center"/>
    </xf>
    <xf numFmtId="38" fontId="31" fillId="20" borderId="28" xfId="0" applyNumberFormat="1" applyFont="1" applyFill="1" applyBorder="1" applyAlignment="1">
      <alignment horizontal="center" vertical="center"/>
    </xf>
    <xf numFmtId="15" fontId="31" fillId="20" borderId="28" xfId="0" applyNumberFormat="1" applyFont="1" applyFill="1" applyBorder="1" applyAlignment="1">
      <alignment horizontal="right" vertical="center"/>
    </xf>
    <xf numFmtId="15" fontId="33" fillId="20" borderId="28" xfId="0" applyNumberFormat="1" applyFont="1" applyFill="1" applyBorder="1" applyAlignment="1">
      <alignment horizontal="right" vertical="center"/>
    </xf>
    <xf numFmtId="197" fontId="31" fillId="4" borderId="28" xfId="0" applyNumberFormat="1" applyFont="1" applyFill="1" applyBorder="1" applyAlignment="1">
      <alignment horizontal="right" vertical="center"/>
    </xf>
    <xf numFmtId="15" fontId="31" fillId="4" borderId="35" xfId="0" applyNumberFormat="1" applyFont="1" applyFill="1" applyBorder="1" applyAlignment="1">
      <alignment horizontal="right" vertical="center"/>
    </xf>
    <xf numFmtId="191" fontId="31" fillId="20" borderId="28" xfId="0" applyNumberFormat="1" applyFont="1" applyFill="1" applyBorder="1" applyAlignment="1">
      <alignment horizontal="right" vertical="center"/>
    </xf>
    <xf numFmtId="184" fontId="31" fillId="20" borderId="35" xfId="0" applyNumberFormat="1" applyFont="1" applyFill="1" applyBorder="1" applyAlignment="1">
      <alignment horizontal="center" vertical="center"/>
    </xf>
    <xf numFmtId="197" fontId="31" fillId="20" borderId="28" xfId="0" applyNumberFormat="1" applyFont="1" applyFill="1" applyBorder="1" applyAlignment="1">
      <alignment horizontal="right" vertical="center"/>
    </xf>
    <xf numFmtId="15" fontId="31" fillId="20" borderId="35" xfId="0" applyNumberFormat="1" applyFont="1" applyFill="1" applyBorder="1" applyAlignment="1">
      <alignment horizontal="right" vertical="center"/>
    </xf>
    <xf numFmtId="191" fontId="31" fillId="4" borderId="28" xfId="0" applyNumberFormat="1" applyFont="1" applyFill="1" applyBorder="1" applyAlignment="1">
      <alignment horizontal="right" vertical="center"/>
    </xf>
    <xf numFmtId="40" fontId="31" fillId="20" borderId="35" xfId="0" applyNumberFormat="1" applyFont="1" applyFill="1" applyBorder="1" applyAlignment="1">
      <alignment horizontal="center" vertical="center"/>
    </xf>
    <xf numFmtId="191" fontId="31" fillId="6" borderId="28" xfId="0" applyNumberFormat="1" applyFont="1" applyFill="1" applyBorder="1" applyAlignment="1">
      <alignment horizontal="right" vertical="center"/>
    </xf>
    <xf numFmtId="184" fontId="31" fillId="6" borderId="35" xfId="0" applyNumberFormat="1" applyFont="1" applyFill="1" applyBorder="1" applyAlignment="1">
      <alignment horizontal="center" vertical="center"/>
    </xf>
    <xf numFmtId="197" fontId="31" fillId="6" borderId="28" xfId="0" applyNumberFormat="1" applyFont="1" applyFill="1" applyBorder="1" applyAlignment="1">
      <alignment horizontal="right" vertical="center"/>
    </xf>
    <xf numFmtId="15" fontId="31" fillId="6" borderId="35" xfId="0" applyNumberFormat="1" applyFont="1" applyFill="1" applyBorder="1" applyAlignment="1">
      <alignment horizontal="right" vertical="center"/>
    </xf>
    <xf numFmtId="191" fontId="29" fillId="6" borderId="37" xfId="0" applyNumberFormat="1" applyFont="1" applyFill="1" applyBorder="1" applyAlignment="1">
      <alignment horizontal="center" vertical="center"/>
    </xf>
    <xf numFmtId="40" fontId="29" fillId="6" borderId="38" xfId="0" applyNumberFormat="1" applyFont="1" applyFill="1" applyBorder="1" applyAlignment="1">
      <alignment horizontal="center" vertical="center"/>
    </xf>
    <xf numFmtId="15" fontId="29" fillId="6" borderId="37" xfId="0" applyNumberFormat="1" applyFont="1" applyFill="1" applyBorder="1" applyAlignment="1">
      <alignment horizontal="right" vertical="center"/>
    </xf>
    <xf numFmtId="15" fontId="29" fillId="6" borderId="38" xfId="0" applyNumberFormat="1" applyFont="1" applyFill="1" applyBorder="1" applyAlignment="1">
      <alignment horizontal="right" vertical="center"/>
    </xf>
    <xf numFmtId="0" fontId="36" fillId="24" borderId="0" xfId="0" applyFont="1" applyFill="1" applyAlignment="1">
      <alignment horizontal="left" vertical="center"/>
    </xf>
    <xf numFmtId="0" fontId="27" fillId="24" borderId="0" xfId="0" applyFont="1" applyFill="1" applyAlignment="1">
      <alignment horizontal="center" vertical="center"/>
    </xf>
    <xf numFmtId="0" fontId="1" fillId="0" borderId="2" xfId="0" applyFont="1" applyBorder="1" applyAlignment="1">
      <alignment horizontal="center" vertical="center"/>
    </xf>
    <xf numFmtId="0" fontId="27" fillId="0" borderId="2" xfId="0" applyFont="1" applyBorder="1" applyAlignment="1">
      <alignment vertical="center"/>
    </xf>
    <xf numFmtId="0" fontId="27" fillId="0" borderId="2" xfId="0" applyFont="1" applyBorder="1" applyAlignment="1">
      <alignment horizontal="left" vertical="center"/>
    </xf>
    <xf numFmtId="0" fontId="27" fillId="0" borderId="11" xfId="0" applyFont="1" applyBorder="1" applyAlignment="1">
      <alignment vertical="center"/>
    </xf>
    <xf numFmtId="0" fontId="27" fillId="0" borderId="13" xfId="0" applyFont="1" applyBorder="1" applyAlignment="1">
      <alignment vertical="center"/>
    </xf>
    <xf numFmtId="0" fontId="27" fillId="0" borderId="2" xfId="0" applyFont="1" applyBorder="1" applyAlignment="1">
      <alignment horizontal="right" vertical="center"/>
    </xf>
    <xf numFmtId="191" fontId="31" fillId="0" borderId="28" xfId="0" quotePrefix="1" applyNumberFormat="1" applyFont="1" applyFill="1" applyBorder="1" applyAlignment="1">
      <alignment horizontal="left" vertical="center"/>
    </xf>
    <xf numFmtId="191" fontId="3" fillId="0" borderId="28" xfId="0" quotePrefix="1" applyNumberFormat="1" applyFont="1" applyFill="1" applyBorder="1" applyAlignment="1">
      <alignment horizontal="left" vertical="center"/>
    </xf>
    <xf numFmtId="191" fontId="31" fillId="4" borderId="28" xfId="0" quotePrefix="1" applyNumberFormat="1" applyFont="1" applyFill="1" applyBorder="1" applyAlignment="1">
      <alignment horizontal="left" vertical="center"/>
    </xf>
    <xf numFmtId="38" fontId="29" fillId="0" borderId="28" xfId="0" quotePrefix="1" applyNumberFormat="1" applyFont="1" applyFill="1" applyBorder="1" applyAlignment="1">
      <alignment horizontal="center"/>
    </xf>
    <xf numFmtId="0" fontId="92" fillId="0" borderId="2" xfId="0" applyFont="1" applyBorder="1" applyAlignment="1">
      <alignment horizontal="justify" vertical="center"/>
    </xf>
    <xf numFmtId="49" fontId="91" fillId="0" borderId="2" xfId="0" applyNumberFormat="1" applyFont="1" applyFill="1" applyBorder="1" applyAlignment="1">
      <alignment horizontal="center" vertical="center"/>
    </xf>
    <xf numFmtId="198" fontId="91" fillId="0" borderId="2" xfId="0" applyNumberFormat="1" applyFont="1" applyFill="1" applyBorder="1" applyAlignment="1">
      <alignment horizontal="center" vertical="center"/>
    </xf>
    <xf numFmtId="0" fontId="91" fillId="0" borderId="0" xfId="0" applyFont="1" applyAlignment="1">
      <alignment horizontal="center" vertical="center"/>
    </xf>
    <xf numFmtId="0" fontId="95" fillId="0" borderId="2" xfId="1542" applyFont="1" applyBorder="1" applyAlignment="1">
      <alignment horizontal="center"/>
    </xf>
    <xf numFmtId="0" fontId="94" fillId="0" borderId="2" xfId="0" applyFont="1" applyBorder="1" applyAlignment="1">
      <alignment horizontal="center" vertical="center"/>
    </xf>
    <xf numFmtId="184" fontId="1" fillId="0" borderId="2" xfId="0" applyNumberFormat="1" applyFont="1" applyBorder="1" applyAlignment="1">
      <alignment horizontal="center" vertical="center"/>
    </xf>
    <xf numFmtId="0" fontId="96" fillId="0" borderId="2" xfId="0" applyFont="1" applyBorder="1" applyAlignment="1">
      <alignment horizontal="center" vertical="center"/>
    </xf>
    <xf numFmtId="184" fontId="0" fillId="0" borderId="2" xfId="0" applyNumberFormat="1" applyBorder="1" applyAlignment="1">
      <alignment horizontal="center" vertical="center"/>
    </xf>
    <xf numFmtId="0" fontId="96" fillId="0" borderId="0" xfId="1542" applyFont="1" applyAlignment="1"/>
    <xf numFmtId="178" fontId="23" fillId="0" borderId="2" xfId="0" applyNumberFormat="1" applyFont="1" applyFill="1" applyBorder="1" applyAlignment="1">
      <alignment horizontal="center" vertical="center" wrapText="1"/>
    </xf>
    <xf numFmtId="0" fontId="91" fillId="0" borderId="2" xfId="0" applyNumberFormat="1" applyFont="1" applyFill="1" applyBorder="1" applyAlignment="1">
      <alignment horizontal="center" vertical="center"/>
    </xf>
    <xf numFmtId="0" fontId="97" fillId="29" borderId="39" xfId="0" applyFont="1" applyFill="1" applyBorder="1" applyAlignment="1">
      <alignment vertical="center" wrapText="1"/>
    </xf>
    <xf numFmtId="0" fontId="97" fillId="29" borderId="40" xfId="0" applyFont="1" applyFill="1" applyBorder="1" applyAlignment="1">
      <alignment vertical="center" wrapText="1"/>
    </xf>
    <xf numFmtId="0" fontId="97" fillId="29" borderId="41" xfId="0" applyFont="1" applyFill="1" applyBorder="1" applyAlignment="1">
      <alignment vertical="center" wrapText="1"/>
    </xf>
    <xf numFmtId="0" fontId="98" fillId="30" borderId="39" xfId="0" applyFont="1" applyFill="1" applyBorder="1" applyAlignment="1">
      <alignment horizontal="center" vertical="center" wrapText="1"/>
    </xf>
    <xf numFmtId="0" fontId="98" fillId="30" borderId="40" xfId="0" applyFont="1" applyFill="1" applyBorder="1" applyAlignment="1">
      <alignment horizontal="center" vertical="center" wrapText="1"/>
    </xf>
    <xf numFmtId="0" fontId="98" fillId="30" borderId="41" xfId="0" applyFont="1" applyFill="1" applyBorder="1" applyAlignment="1">
      <alignment horizontal="center" vertical="center" wrapText="1"/>
    </xf>
    <xf numFmtId="180" fontId="90" fillId="0" borderId="0" xfId="1542" applyNumberFormat="1" applyAlignment="1"/>
    <xf numFmtId="184" fontId="90" fillId="0" borderId="0" xfId="1542" applyNumberFormat="1" applyAlignment="1"/>
    <xf numFmtId="0" fontId="97" fillId="28" borderId="39" xfId="0" applyFont="1" applyFill="1" applyBorder="1" applyAlignment="1">
      <alignment vertical="center" wrapText="1"/>
    </xf>
    <xf numFmtId="0" fontId="97" fillId="28" borderId="40" xfId="0" applyFont="1" applyFill="1" applyBorder="1" applyAlignment="1">
      <alignment vertical="center" wrapText="1"/>
    </xf>
    <xf numFmtId="0" fontId="97" fillId="28" borderId="41" xfId="0" applyFont="1" applyFill="1" applyBorder="1" applyAlignment="1">
      <alignment vertical="center" wrapText="1"/>
    </xf>
    <xf numFmtId="0" fontId="0" fillId="28" borderId="0" xfId="0" applyFill="1">
      <alignment vertical="center"/>
    </xf>
    <xf numFmtId="49" fontId="95" fillId="0" borderId="0" xfId="0" applyNumberFormat="1" applyFont="1" applyFill="1" applyBorder="1" applyAlignment="1">
      <alignment horizontal="center" vertical="center" wrapText="1"/>
    </xf>
    <xf numFmtId="179" fontId="23" fillId="0" borderId="0" xfId="0" applyNumberFormat="1" applyFont="1" applyAlignment="1"/>
    <xf numFmtId="10" fontId="95" fillId="0" borderId="0" xfId="0" applyNumberFormat="1" applyFont="1" applyFill="1" applyBorder="1" applyAlignment="1">
      <alignment horizontal="center" vertical="center" wrapText="1"/>
    </xf>
    <xf numFmtId="0" fontId="95" fillId="0" borderId="2" xfId="0" applyFont="1" applyFill="1" applyBorder="1" applyAlignment="1"/>
    <xf numFmtId="0" fontId="95" fillId="0" borderId="2" xfId="0" applyFont="1" applyBorder="1" applyAlignment="1"/>
    <xf numFmtId="0" fontId="23" fillId="0" borderId="2" xfId="0" applyFont="1" applyFill="1" applyBorder="1" applyAlignment="1">
      <alignment horizontal="center" vertical="center"/>
    </xf>
    <xf numFmtId="49" fontId="23" fillId="31" borderId="2" xfId="0" applyNumberFormat="1" applyFont="1" applyFill="1" applyBorder="1" applyAlignment="1">
      <alignment horizontal="center" vertical="center"/>
    </xf>
    <xf numFmtId="0" fontId="23" fillId="31" borderId="2" xfId="0" applyFont="1" applyFill="1" applyBorder="1" applyAlignment="1">
      <alignment horizontal="center" vertical="center"/>
    </xf>
    <xf numFmtId="0" fontId="97" fillId="29" borderId="0" xfId="0" applyFont="1" applyFill="1" applyBorder="1" applyAlignment="1">
      <alignment vertical="center" wrapText="1"/>
    </xf>
    <xf numFmtId="0" fontId="97" fillId="29" borderId="45" xfId="0" applyFont="1" applyFill="1" applyBorder="1" applyAlignment="1">
      <alignment vertical="center" wrapText="1"/>
    </xf>
    <xf numFmtId="0" fontId="97" fillId="29" borderId="46" xfId="0" applyFont="1" applyFill="1" applyBorder="1" applyAlignment="1">
      <alignment vertical="center" wrapText="1"/>
    </xf>
    <xf numFmtId="0" fontId="97" fillId="29" borderId="47" xfId="0" applyFont="1" applyFill="1" applyBorder="1" applyAlignment="1">
      <alignment vertical="center" wrapText="1"/>
    </xf>
    <xf numFmtId="0" fontId="97" fillId="28" borderId="42" xfId="0" applyFont="1" applyFill="1" applyBorder="1" applyAlignment="1">
      <alignment vertical="center" wrapText="1"/>
    </xf>
    <xf numFmtId="0" fontId="97" fillId="28" borderId="43" xfId="0" applyFont="1" applyFill="1" applyBorder="1" applyAlignment="1">
      <alignment vertical="center" wrapText="1"/>
    </xf>
    <xf numFmtId="0" fontId="97" fillId="28" borderId="44" xfId="0" applyFont="1" applyFill="1" applyBorder="1" applyAlignment="1">
      <alignment vertical="center" wrapText="1"/>
    </xf>
    <xf numFmtId="0" fontId="8" fillId="0" borderId="2" xfId="0" applyFont="1" applyBorder="1" applyAlignment="1">
      <alignment horizontal="center" vertical="center" wrapText="1"/>
    </xf>
    <xf numFmtId="0" fontId="9" fillId="0" borderId="2" xfId="0" applyFont="1" applyBorder="1" applyAlignment="1">
      <alignment vertical="center" wrapText="1"/>
    </xf>
    <xf numFmtId="57" fontId="8" fillId="12" borderId="2" xfId="0" applyNumberFormat="1" applyFont="1" applyFill="1" applyBorder="1" applyAlignment="1">
      <alignment horizontal="left" vertical="center" wrapText="1"/>
    </xf>
    <xf numFmtId="0" fontId="100" fillId="12" borderId="2" xfId="0" applyFont="1" applyFill="1" applyBorder="1" applyAlignment="1">
      <alignment horizontal="right" vertical="center" wrapText="1"/>
    </xf>
    <xf numFmtId="57" fontId="9" fillId="0" borderId="2" xfId="0" applyNumberFormat="1" applyFont="1" applyBorder="1" applyAlignment="1">
      <alignment horizontal="left" vertical="center" wrapText="1"/>
    </xf>
    <xf numFmtId="0" fontId="99" fillId="25" borderId="2" xfId="0" applyFont="1" applyFill="1" applyBorder="1" applyAlignment="1">
      <alignment horizontal="right" vertical="center" wrapText="1"/>
    </xf>
    <xf numFmtId="57" fontId="9" fillId="0" borderId="2" xfId="0" applyNumberFormat="1" applyFont="1" applyFill="1" applyBorder="1" applyAlignment="1">
      <alignment horizontal="left" vertical="center" wrapText="1"/>
    </xf>
    <xf numFmtId="0" fontId="9" fillId="0" borderId="2" xfId="0" applyFont="1" applyFill="1" applyBorder="1" applyAlignment="1">
      <alignment vertical="center" wrapText="1"/>
    </xf>
    <xf numFmtId="0" fontId="103" fillId="31" borderId="2" xfId="0" applyFont="1" applyFill="1" applyBorder="1" applyAlignment="1">
      <alignment horizontal="center" vertical="center"/>
    </xf>
    <xf numFmtId="0" fontId="90" fillId="0" borderId="0" xfId="0" applyFont="1">
      <alignment vertical="center"/>
    </xf>
    <xf numFmtId="0" fontId="0" fillId="0" borderId="2" xfId="0" applyBorder="1">
      <alignment vertical="center"/>
    </xf>
    <xf numFmtId="0" fontId="0" fillId="0" borderId="2" xfId="0" applyBorder="1" applyAlignment="1">
      <alignment vertical="center"/>
    </xf>
    <xf numFmtId="0" fontId="0" fillId="0" borderId="0" xfId="0" applyAlignment="1">
      <alignment vertical="center"/>
    </xf>
    <xf numFmtId="0" fontId="0" fillId="0" borderId="0" xfId="0" applyAlignment="1">
      <alignment vertical="center" wrapText="1"/>
    </xf>
    <xf numFmtId="0" fontId="106" fillId="0" borderId="2" xfId="0" applyFont="1" applyBorder="1" applyAlignment="1">
      <alignment vertical="center"/>
    </xf>
    <xf numFmtId="179" fontId="107" fillId="0" borderId="2" xfId="0" applyNumberFormat="1" applyFont="1" applyBorder="1" applyAlignment="1">
      <alignment vertical="center"/>
    </xf>
    <xf numFmtId="0" fontId="106" fillId="0" borderId="0" xfId="0" applyFont="1" applyAlignment="1">
      <alignment vertical="center"/>
    </xf>
    <xf numFmtId="49" fontId="0" fillId="0" borderId="0" xfId="0" applyNumberFormat="1" applyAlignment="1">
      <alignment vertical="center"/>
    </xf>
    <xf numFmtId="0" fontId="106" fillId="0" borderId="2" xfId="480" applyFont="1" applyBorder="1" applyAlignment="1">
      <alignment horizontal="center"/>
    </xf>
    <xf numFmtId="0" fontId="3" fillId="0" borderId="2" xfId="480" applyNumberFormat="1" applyFont="1" applyFill="1" applyBorder="1" applyAlignment="1">
      <alignment horizontal="center" vertical="center" wrapText="1"/>
    </xf>
    <xf numFmtId="0" fontId="102" fillId="0" borderId="2" xfId="480" applyFont="1" applyBorder="1"/>
    <xf numFmtId="49" fontId="106" fillId="0" borderId="2" xfId="0" applyNumberFormat="1" applyFont="1" applyBorder="1" applyAlignment="1">
      <alignment horizontal="center" vertical="center"/>
    </xf>
    <xf numFmtId="186" fontId="4" fillId="0" borderId="2" xfId="480" applyNumberFormat="1" applyFont="1" applyFill="1" applyBorder="1" applyAlignment="1">
      <alignment horizontal="center" vertical="center" wrapText="1"/>
    </xf>
    <xf numFmtId="186" fontId="4" fillId="28" borderId="2" xfId="480" applyNumberFormat="1" applyFont="1" applyFill="1" applyBorder="1" applyAlignment="1">
      <alignment horizontal="center" vertical="center" wrapText="1"/>
    </xf>
    <xf numFmtId="9" fontId="4" fillId="33" borderId="2" xfId="480" applyNumberFormat="1" applyFont="1" applyFill="1" applyBorder="1" applyAlignment="1">
      <alignment horizontal="center" vertical="center" wrapText="1"/>
    </xf>
    <xf numFmtId="0" fontId="3" fillId="32" borderId="2" xfId="1516" applyFont="1" applyFill="1" applyBorder="1" applyAlignment="1">
      <alignment horizontal="center"/>
    </xf>
    <xf numFmtId="1" fontId="3" fillId="32" borderId="2" xfId="480" applyNumberFormat="1" applyFont="1" applyFill="1" applyBorder="1" applyAlignment="1">
      <alignment horizontal="center" vertical="center" wrapText="1"/>
    </xf>
    <xf numFmtId="10" fontId="3" fillId="32" borderId="2" xfId="0" applyNumberFormat="1" applyFont="1" applyFill="1" applyBorder="1" applyAlignment="1">
      <alignment horizontal="center" vertical="center" wrapText="1"/>
    </xf>
    <xf numFmtId="0" fontId="9" fillId="0" borderId="0" xfId="480" applyFont="1" applyAlignment="1">
      <alignment horizontal="center"/>
    </xf>
    <xf numFmtId="184" fontId="3" fillId="32" borderId="2" xfId="480" applyNumberFormat="1" applyFont="1" applyFill="1" applyBorder="1" applyAlignment="1">
      <alignment horizontal="center" vertical="center" wrapText="1"/>
    </xf>
    <xf numFmtId="0" fontId="9" fillId="0" borderId="2" xfId="480" applyFont="1" applyBorder="1" applyAlignment="1">
      <alignment horizontal="left"/>
    </xf>
    <xf numFmtId="0" fontId="0" fillId="0" borderId="2" xfId="0" applyBorder="1" applyAlignment="1">
      <alignment horizontal="left" vertical="center"/>
    </xf>
    <xf numFmtId="179" fontId="3" fillId="32" borderId="2" xfId="0" applyNumberFormat="1" applyFont="1" applyFill="1" applyBorder="1" applyAlignment="1">
      <alignment horizontal="center" vertical="center" wrapText="1"/>
    </xf>
    <xf numFmtId="0" fontId="108" fillId="0" borderId="2" xfId="0" applyFont="1" applyBorder="1" applyAlignment="1">
      <alignment vertical="center"/>
    </xf>
    <xf numFmtId="49" fontId="109" fillId="0" borderId="2" xfId="0" applyNumberFormat="1" applyFont="1" applyBorder="1" applyAlignment="1">
      <alignment horizontal="center" vertical="center"/>
    </xf>
    <xf numFmtId="0" fontId="4" fillId="0" borderId="2" xfId="1516" applyFont="1" applyBorder="1" applyAlignment="1">
      <alignment horizontal="center"/>
    </xf>
    <xf numFmtId="10" fontId="4" fillId="28" borderId="2" xfId="0" applyNumberFormat="1" applyFont="1" applyFill="1" applyBorder="1" applyAlignment="1">
      <alignment horizontal="center" vertical="center" wrapText="1"/>
    </xf>
    <xf numFmtId="0" fontId="110" fillId="0" borderId="2" xfId="0" applyFont="1" applyBorder="1" applyAlignment="1">
      <alignment vertical="center"/>
    </xf>
    <xf numFmtId="0" fontId="8" fillId="0" borderId="0" xfId="480" applyFont="1" applyAlignment="1">
      <alignment horizontal="left"/>
    </xf>
    <xf numFmtId="0" fontId="109" fillId="0" borderId="0" xfId="0" applyFont="1" applyAlignment="1">
      <alignment horizontal="left" vertical="center"/>
    </xf>
    <xf numFmtId="0" fontId="105" fillId="0" borderId="0" xfId="0" applyFont="1" applyAlignment="1">
      <alignment vertical="center"/>
    </xf>
    <xf numFmtId="180" fontId="3" fillId="0" borderId="2" xfId="480" applyNumberFormat="1" applyFont="1" applyFill="1" applyBorder="1" applyAlignment="1">
      <alignment horizontal="center" vertical="center" wrapText="1"/>
    </xf>
    <xf numFmtId="182" fontId="3" fillId="33" borderId="2" xfId="10" applyNumberFormat="1" applyFont="1" applyFill="1" applyBorder="1" applyAlignment="1">
      <alignment horizontal="center" vertical="center" wrapText="1"/>
    </xf>
    <xf numFmtId="187" fontId="3" fillId="33" borderId="2" xfId="0" applyNumberFormat="1" applyFont="1" applyFill="1" applyBorder="1" applyAlignment="1">
      <alignment horizontal="center" vertical="center" wrapText="1"/>
    </xf>
    <xf numFmtId="182" fontId="3" fillId="33" borderId="2" xfId="0" applyNumberFormat="1" applyFont="1" applyFill="1" applyBorder="1" applyAlignment="1">
      <alignment horizontal="center" vertical="center" wrapText="1"/>
    </xf>
    <xf numFmtId="1" fontId="4" fillId="0" borderId="2" xfId="480" applyNumberFormat="1" applyFont="1" applyFill="1" applyBorder="1" applyAlignment="1">
      <alignment horizontal="center" vertical="center" wrapText="1"/>
    </xf>
    <xf numFmtId="0" fontId="112" fillId="0" borderId="2" xfId="0" applyFont="1" applyBorder="1" applyAlignment="1">
      <alignment vertical="center"/>
    </xf>
    <xf numFmtId="49" fontId="108" fillId="0" borderId="2" xfId="0" applyNumberFormat="1" applyFont="1" applyBorder="1" applyAlignment="1">
      <alignment horizontal="center" vertical="center"/>
    </xf>
    <xf numFmtId="0" fontId="3" fillId="33" borderId="2" xfId="480" applyFont="1" applyFill="1" applyBorder="1" applyAlignment="1">
      <alignment horizontal="center" vertical="center" wrapText="1"/>
    </xf>
    <xf numFmtId="182" fontId="3" fillId="33" borderId="2" xfId="480" applyNumberFormat="1" applyFont="1" applyFill="1" applyBorder="1" applyAlignment="1">
      <alignment horizontal="center" vertical="center" wrapText="1"/>
    </xf>
    <xf numFmtId="182" fontId="4" fillId="33" borderId="2" xfId="480" applyNumberFormat="1" applyFont="1" applyFill="1" applyBorder="1" applyAlignment="1">
      <alignment horizontal="center" vertical="center" wrapText="1"/>
    </xf>
    <xf numFmtId="2" fontId="3" fillId="33" borderId="2" xfId="480" applyNumberFormat="1" applyFont="1" applyFill="1" applyBorder="1" applyAlignment="1">
      <alignment horizontal="center"/>
    </xf>
    <xf numFmtId="0" fontId="0" fillId="0" borderId="0" xfId="0" applyBorder="1" applyAlignment="1">
      <alignment vertical="center"/>
    </xf>
    <xf numFmtId="1" fontId="4" fillId="0" borderId="0" xfId="480" applyNumberFormat="1" applyFont="1" applyFill="1" applyBorder="1" applyAlignment="1">
      <alignment horizontal="center" vertical="center" wrapText="1"/>
    </xf>
    <xf numFmtId="49" fontId="16" fillId="0" borderId="2" xfId="0" applyNumberFormat="1" applyFont="1" applyFill="1" applyBorder="1" applyAlignment="1">
      <alignment horizontal="left" vertical="center"/>
    </xf>
    <xf numFmtId="0" fontId="16" fillId="0" borderId="2" xfId="0" applyFont="1" applyFill="1" applyBorder="1" applyAlignment="1">
      <alignment horizontal="left" vertical="center"/>
    </xf>
    <xf numFmtId="0" fontId="16" fillId="0" borderId="2" xfId="0" applyFont="1" applyFill="1" applyBorder="1" applyAlignment="1">
      <alignment horizontal="center" vertical="center"/>
    </xf>
    <xf numFmtId="0" fontId="17" fillId="0" borderId="2" xfId="0" applyFont="1" applyFill="1" applyBorder="1" applyAlignment="1">
      <alignment horizontal="left" vertical="center"/>
    </xf>
    <xf numFmtId="182" fontId="17" fillId="0" borderId="2" xfId="0" applyNumberFormat="1" applyFont="1" applyFill="1" applyBorder="1" applyAlignment="1">
      <alignment horizontal="center" vertical="center"/>
    </xf>
    <xf numFmtId="0" fontId="108" fillId="0" borderId="0" xfId="0" applyFont="1" applyAlignment="1">
      <alignment vertical="center"/>
    </xf>
    <xf numFmtId="0" fontId="106" fillId="0" borderId="0" xfId="0" applyFont="1" applyAlignment="1">
      <alignment horizontal="left" vertical="center"/>
    </xf>
    <xf numFmtId="49" fontId="17" fillId="0" borderId="2" xfId="0" applyNumberFormat="1" applyFont="1" applyFill="1" applyBorder="1" applyAlignment="1">
      <alignment horizontal="left" vertical="center"/>
    </xf>
    <xf numFmtId="0" fontId="17" fillId="0" borderId="2" xfId="0" applyFont="1" applyFill="1" applyBorder="1" applyAlignment="1">
      <alignment horizontal="center" vertical="center"/>
    </xf>
    <xf numFmtId="0" fontId="18" fillId="0" borderId="2" xfId="0" applyFont="1" applyFill="1" applyBorder="1" applyAlignment="1">
      <alignment horizontal="left" vertical="center" wrapText="1"/>
    </xf>
    <xf numFmtId="49" fontId="17" fillId="0" borderId="2" xfId="0" applyNumberFormat="1" applyFont="1" applyFill="1" applyBorder="1" applyAlignment="1">
      <alignment horizontal="center" vertical="center"/>
    </xf>
    <xf numFmtId="49" fontId="17" fillId="34" borderId="2" xfId="0" applyNumberFormat="1" applyFont="1" applyFill="1" applyBorder="1" applyAlignment="1">
      <alignment horizontal="center" vertical="center"/>
    </xf>
    <xf numFmtId="182" fontId="106" fillId="0" borderId="2" xfId="0" applyNumberFormat="1" applyFont="1" applyBorder="1" applyAlignment="1">
      <alignment horizontal="center" vertical="center"/>
    </xf>
    <xf numFmtId="0" fontId="106" fillId="34" borderId="2" xfId="0" applyFont="1" applyFill="1" applyBorder="1" applyAlignment="1">
      <alignment horizontal="center" vertical="center"/>
    </xf>
    <xf numFmtId="0" fontId="18" fillId="0" borderId="13" xfId="0" applyFont="1" applyFill="1" applyBorder="1" applyAlignment="1">
      <alignment horizontal="center" vertical="center"/>
    </xf>
    <xf numFmtId="10" fontId="17" fillId="0" borderId="2" xfId="0" applyNumberFormat="1" applyFont="1" applyFill="1" applyBorder="1" applyAlignment="1">
      <alignment horizontal="center" vertical="center"/>
    </xf>
    <xf numFmtId="0" fontId="113" fillId="0" borderId="0" xfId="0" applyFont="1" applyAlignment="1">
      <alignment horizontal="left" vertical="center"/>
    </xf>
    <xf numFmtId="0" fontId="17" fillId="0" borderId="27" xfId="0" applyFont="1" applyFill="1" applyBorder="1" applyAlignment="1">
      <alignment horizontal="left" vertical="center"/>
    </xf>
    <xf numFmtId="0" fontId="14" fillId="31" borderId="2" xfId="0" applyFont="1" applyFill="1" applyBorder="1" applyAlignment="1">
      <alignment horizontal="center" vertical="center"/>
    </xf>
    <xf numFmtId="49" fontId="103" fillId="31" borderId="2" xfId="0" applyNumberFormat="1" applyFont="1" applyFill="1" applyBorder="1" applyAlignment="1">
      <alignment horizontal="center" vertical="center"/>
    </xf>
    <xf numFmtId="179" fontId="103" fillId="31" borderId="2" xfId="0" applyNumberFormat="1" applyFont="1" applyFill="1" applyBorder="1" applyAlignment="1">
      <alignment horizontal="center" vertical="center"/>
    </xf>
    <xf numFmtId="179" fontId="107" fillId="0" borderId="2" xfId="0" applyNumberFormat="1" applyFont="1" applyBorder="1" applyAlignment="1">
      <alignment vertical="center" wrapText="1"/>
    </xf>
    <xf numFmtId="176" fontId="0" fillId="0" borderId="2" xfId="0" applyNumberFormat="1" applyBorder="1" applyAlignment="1">
      <alignment vertical="center"/>
    </xf>
    <xf numFmtId="49" fontId="17" fillId="32" borderId="2" xfId="0" applyNumberFormat="1" applyFont="1" applyFill="1" applyBorder="1" applyAlignment="1">
      <alignment horizontal="center" vertical="center"/>
    </xf>
    <xf numFmtId="182" fontId="106" fillId="32" borderId="2" xfId="0" applyNumberFormat="1" applyFont="1" applyFill="1" applyBorder="1" applyAlignment="1">
      <alignment horizontal="center" vertical="center"/>
    </xf>
    <xf numFmtId="0" fontId="1" fillId="0" borderId="2" xfId="0" applyFont="1" applyBorder="1" applyAlignment="1">
      <alignment horizontal="center" vertical="center"/>
    </xf>
    <xf numFmtId="0" fontId="0" fillId="0" borderId="2" xfId="0" applyBorder="1" applyAlignment="1">
      <alignment horizontal="center" vertical="center"/>
    </xf>
    <xf numFmtId="49" fontId="3" fillId="0" borderId="0" xfId="0" applyNumberFormat="1" applyFont="1" applyFill="1" applyBorder="1" applyAlignment="1">
      <alignment horizontal="center" vertical="center" wrapText="1"/>
    </xf>
    <xf numFmtId="0" fontId="0" fillId="31" borderId="2" xfId="0" applyFill="1" applyBorder="1">
      <alignment vertical="center"/>
    </xf>
    <xf numFmtId="0" fontId="6" fillId="28" borderId="2" xfId="0" applyFont="1" applyFill="1" applyBorder="1" applyAlignment="1">
      <alignment horizontal="justify" vertical="center"/>
    </xf>
    <xf numFmtId="0" fontId="6" fillId="28" borderId="13" xfId="0" applyFont="1" applyFill="1" applyBorder="1" applyAlignment="1">
      <alignment horizontal="center" vertical="center"/>
    </xf>
    <xf numFmtId="49" fontId="23" fillId="28" borderId="2" xfId="0" applyNumberFormat="1" applyFont="1" applyFill="1" applyBorder="1" applyAlignment="1">
      <alignment horizontal="center" vertical="center"/>
    </xf>
    <xf numFmtId="0" fontId="23" fillId="28" borderId="2" xfId="0" applyFont="1" applyFill="1" applyBorder="1" applyAlignment="1">
      <alignment horizontal="center" vertical="center"/>
    </xf>
    <xf numFmtId="179" fontId="23" fillId="28" borderId="2" xfId="0" applyNumberFormat="1" applyFont="1" applyFill="1" applyBorder="1" applyAlignment="1">
      <alignment horizontal="center" vertical="center"/>
    </xf>
    <xf numFmtId="178" fontId="4" fillId="31" borderId="2" xfId="1542" applyNumberFormat="1" applyFont="1" applyFill="1" applyBorder="1" applyAlignment="1">
      <alignment horizontal="center"/>
    </xf>
    <xf numFmtId="184" fontId="4" fillId="31" borderId="2" xfId="1542" applyNumberFormat="1" applyFont="1" applyFill="1" applyBorder="1" applyAlignment="1">
      <alignment horizontal="center"/>
    </xf>
    <xf numFmtId="0" fontId="3" fillId="31" borderId="2" xfId="0" applyFont="1" applyFill="1" applyBorder="1" applyAlignment="1">
      <alignment horizontal="center"/>
    </xf>
    <xf numFmtId="0" fontId="90" fillId="0" borderId="2" xfId="0" applyFont="1" applyBorder="1" applyAlignment="1"/>
    <xf numFmtId="0" fontId="109" fillId="0" borderId="17" xfId="0" applyFont="1" applyBorder="1" applyAlignment="1">
      <alignment horizontal="center" vertical="center" wrapText="1"/>
    </xf>
    <xf numFmtId="0" fontId="109" fillId="0" borderId="22" xfId="0" applyFont="1" applyBorder="1" applyAlignment="1">
      <alignment horizontal="center" vertical="center" wrapText="1"/>
    </xf>
    <xf numFmtId="0" fontId="115" fillId="0" borderId="2" xfId="0" applyFont="1" applyBorder="1" applyAlignment="1">
      <alignment horizontal="center" vertical="center" wrapText="1"/>
    </xf>
    <xf numFmtId="0" fontId="0" fillId="0" borderId="20" xfId="0" applyBorder="1">
      <alignment vertical="center"/>
    </xf>
    <xf numFmtId="2" fontId="106" fillId="0" borderId="0" xfId="0" applyNumberFormat="1" applyFont="1" applyAlignment="1">
      <alignment vertical="center" wrapText="1"/>
    </xf>
    <xf numFmtId="0" fontId="106" fillId="0" borderId="0" xfId="0" applyFont="1" applyAlignment="1">
      <alignment vertical="center" wrapText="1"/>
    </xf>
    <xf numFmtId="0" fontId="121" fillId="0" borderId="0" xfId="0" applyFont="1" applyFill="1" applyAlignment="1">
      <alignment vertical="center" wrapText="1"/>
    </xf>
    <xf numFmtId="184" fontId="122" fillId="0" borderId="2" xfId="0" applyNumberFormat="1" applyFont="1" applyBorder="1" applyAlignment="1">
      <alignment horizontal="center" vertical="center" wrapText="1"/>
    </xf>
    <xf numFmtId="0" fontId="123" fillId="0" borderId="2" xfId="0" applyFont="1" applyBorder="1" applyAlignment="1">
      <alignment horizontal="center" vertical="center" wrapText="1"/>
    </xf>
    <xf numFmtId="0" fontId="0" fillId="0" borderId="0" xfId="0" applyFont="1" applyFill="1" applyAlignment="1">
      <alignment wrapText="1"/>
    </xf>
    <xf numFmtId="180" fontId="89" fillId="0" borderId="27" xfId="0" applyNumberFormat="1" applyFont="1" applyFill="1" applyBorder="1" applyAlignment="1">
      <alignment horizontal="center" vertical="center" wrapText="1"/>
    </xf>
    <xf numFmtId="179" fontId="89" fillId="0" borderId="27" xfId="0" applyNumberFormat="1" applyFont="1" applyFill="1" applyBorder="1" applyAlignment="1">
      <alignment horizontal="center" vertical="center" wrapText="1"/>
    </xf>
    <xf numFmtId="178" fontId="89" fillId="0" borderId="27" xfId="0" applyNumberFormat="1" applyFont="1" applyFill="1" applyBorder="1" applyAlignment="1">
      <alignment horizontal="center" vertical="center" wrapText="1"/>
    </xf>
    <xf numFmtId="0" fontId="89" fillId="0" borderId="27" xfId="0" applyFont="1" applyFill="1" applyBorder="1" applyAlignment="1">
      <alignment horizontal="left" vertical="center" wrapText="1"/>
    </xf>
    <xf numFmtId="180" fontId="89" fillId="0" borderId="2" xfId="0" applyNumberFormat="1" applyFont="1" applyFill="1" applyBorder="1" applyAlignment="1">
      <alignment horizontal="center" vertical="center" wrapText="1"/>
    </xf>
    <xf numFmtId="179" fontId="89" fillId="0" borderId="2" xfId="0" applyNumberFormat="1" applyFont="1" applyFill="1" applyBorder="1" applyAlignment="1">
      <alignment horizontal="center" vertical="center" wrapText="1"/>
    </xf>
    <xf numFmtId="178" fontId="89" fillId="0" borderId="2" xfId="0" applyNumberFormat="1" applyFont="1" applyFill="1" applyBorder="1" applyAlignment="1">
      <alignment horizontal="center" vertical="center" wrapText="1"/>
    </xf>
    <xf numFmtId="0" fontId="89" fillId="0" borderId="2" xfId="0" applyFont="1" applyFill="1" applyBorder="1" applyAlignment="1">
      <alignment horizontal="left" vertical="center" wrapText="1"/>
    </xf>
    <xf numFmtId="0" fontId="0" fillId="0" borderId="2" xfId="0" applyFont="1" applyFill="1" applyBorder="1" applyAlignment="1">
      <alignment wrapText="1"/>
    </xf>
    <xf numFmtId="178" fontId="123" fillId="0" borderId="2" xfId="0" applyNumberFormat="1" applyFont="1" applyFill="1" applyBorder="1" applyAlignment="1">
      <alignment horizontal="center" vertical="center" wrapText="1"/>
    </xf>
    <xf numFmtId="0" fontId="2" fillId="0" borderId="2" xfId="0" applyFont="1" applyFill="1" applyBorder="1" applyAlignment="1">
      <alignment wrapText="1"/>
    </xf>
    <xf numFmtId="0" fontId="2" fillId="0" borderId="0" xfId="0" applyFont="1" applyFill="1" applyAlignment="1">
      <alignment wrapText="1"/>
    </xf>
    <xf numFmtId="0" fontId="90" fillId="0" borderId="0" xfId="0" applyFont="1" applyFill="1" applyAlignment="1">
      <alignment wrapText="1"/>
    </xf>
    <xf numFmtId="0" fontId="1" fillId="0" borderId="2" xfId="0" applyFont="1" applyBorder="1" applyAlignment="1">
      <alignment vertical="center"/>
    </xf>
    <xf numFmtId="0" fontId="1" fillId="0" borderId="2" xfId="0" applyFont="1" applyFill="1" applyBorder="1" applyAlignment="1">
      <alignment horizontal="center" vertical="center"/>
    </xf>
    <xf numFmtId="0" fontId="3" fillId="31" borderId="0" xfId="0" applyFont="1" applyFill="1" applyAlignment="1">
      <alignment horizontal="center"/>
    </xf>
    <xf numFmtId="0" fontId="3" fillId="31" borderId="0" xfId="0" applyFont="1" applyFill="1" applyAlignment="1">
      <alignment shrinkToFit="1"/>
    </xf>
    <xf numFmtId="0" fontId="3" fillId="31" borderId="2" xfId="0" applyFont="1" applyFill="1" applyBorder="1" applyAlignment="1">
      <alignment shrinkToFit="1"/>
    </xf>
    <xf numFmtId="0" fontId="3" fillId="31" borderId="2" xfId="0" applyFont="1" applyFill="1" applyBorder="1" applyAlignment="1">
      <alignment horizontal="center" shrinkToFit="1"/>
    </xf>
    <xf numFmtId="180" fontId="3" fillId="0" borderId="2" xfId="1542" applyNumberFormat="1" applyFont="1" applyBorder="1" applyAlignment="1">
      <alignment horizontal="center"/>
    </xf>
    <xf numFmtId="0" fontId="3" fillId="31" borderId="0" xfId="0" applyFont="1" applyFill="1">
      <alignment vertical="center"/>
    </xf>
    <xf numFmtId="0" fontId="0" fillId="31" borderId="0" xfId="0" applyFont="1" applyFill="1">
      <alignment vertical="center"/>
    </xf>
    <xf numFmtId="0" fontId="3" fillId="31" borderId="0" xfId="0" applyFont="1" applyFill="1" applyAlignment="1">
      <alignment horizontal="center" vertical="center" wrapText="1"/>
    </xf>
    <xf numFmtId="0" fontId="3" fillId="31" borderId="2" xfId="0" applyFont="1" applyFill="1" applyBorder="1" applyAlignment="1">
      <alignment horizontal="center" vertical="center" wrapText="1"/>
    </xf>
    <xf numFmtId="200" fontId="3" fillId="31" borderId="2" xfId="0" applyNumberFormat="1" applyFont="1" applyFill="1" applyBorder="1" applyAlignment="1">
      <alignment horizontal="center" vertical="center" wrapText="1"/>
    </xf>
    <xf numFmtId="179" fontId="3" fillId="31" borderId="2" xfId="0" applyNumberFormat="1" applyFont="1" applyFill="1" applyBorder="1" applyAlignment="1">
      <alignment horizontal="right" vertical="center" wrapText="1" shrinkToFit="1"/>
    </xf>
    <xf numFmtId="0" fontId="3" fillId="31" borderId="2" xfId="0" applyFont="1" applyFill="1" applyBorder="1" applyAlignment="1">
      <alignment vertical="center" wrapText="1"/>
    </xf>
    <xf numFmtId="0" fontId="126" fillId="31" borderId="2" xfId="0" applyFont="1" applyFill="1" applyBorder="1" applyAlignment="1">
      <alignment horizontal="center" vertical="center"/>
    </xf>
    <xf numFmtId="0" fontId="127" fillId="31" borderId="2" xfId="0" applyFont="1" applyFill="1" applyBorder="1" applyAlignment="1">
      <alignment horizontal="center" vertical="center" wrapText="1"/>
    </xf>
    <xf numFmtId="180" fontId="0" fillId="31" borderId="2" xfId="0" applyNumberFormat="1" applyFill="1" applyBorder="1">
      <alignment vertical="center"/>
    </xf>
    <xf numFmtId="177" fontId="127" fillId="31" borderId="2" xfId="6" applyFont="1" applyFill="1" applyBorder="1" applyAlignment="1">
      <alignment horizontal="center" vertical="center" wrapText="1"/>
    </xf>
    <xf numFmtId="0" fontId="128" fillId="31" borderId="2" xfId="0" applyFont="1" applyFill="1" applyBorder="1" applyAlignment="1">
      <alignment horizontal="left" vertical="center" wrapText="1"/>
    </xf>
    <xf numFmtId="177" fontId="3" fillId="31" borderId="2" xfId="1749" applyFont="1" applyFill="1" applyBorder="1" applyAlignment="1">
      <alignment horizontal="center" vertical="center" wrapText="1"/>
    </xf>
    <xf numFmtId="9" fontId="127" fillId="31" borderId="2" xfId="0" applyNumberFormat="1" applyFont="1" applyFill="1" applyBorder="1" applyAlignment="1">
      <alignment horizontal="center" vertical="center" wrapText="1"/>
    </xf>
    <xf numFmtId="0" fontId="127" fillId="31" borderId="0" xfId="0" applyFont="1" applyFill="1">
      <alignment vertical="center"/>
    </xf>
    <xf numFmtId="0" fontId="129" fillId="31" borderId="2" xfId="0" applyFont="1" applyFill="1" applyBorder="1">
      <alignment vertical="center"/>
    </xf>
    <xf numFmtId="180" fontId="129" fillId="31" borderId="2" xfId="0" applyNumberFormat="1" applyFont="1" applyFill="1" applyBorder="1">
      <alignment vertical="center"/>
    </xf>
    <xf numFmtId="177" fontId="3" fillId="31" borderId="2" xfId="6" applyFont="1" applyFill="1" applyBorder="1" applyAlignment="1">
      <alignment horizontal="center" vertical="center" wrapText="1"/>
    </xf>
    <xf numFmtId="0" fontId="130" fillId="31" borderId="2" xfId="0" applyFont="1" applyFill="1" applyBorder="1" applyAlignment="1">
      <alignment horizontal="left" vertical="center" wrapText="1"/>
    </xf>
    <xf numFmtId="9" fontId="3" fillId="31" borderId="2" xfId="0" applyNumberFormat="1" applyFont="1" applyFill="1" applyBorder="1" applyAlignment="1">
      <alignment horizontal="center" vertical="center" wrapText="1"/>
    </xf>
    <xf numFmtId="0" fontId="126" fillId="28" borderId="2" xfId="0" applyFont="1" applyFill="1" applyBorder="1" applyAlignment="1">
      <alignment horizontal="center" vertical="center"/>
    </xf>
    <xf numFmtId="0" fontId="0" fillId="28" borderId="2" xfId="0" applyFill="1" applyBorder="1">
      <alignment vertical="center"/>
    </xf>
    <xf numFmtId="0" fontId="127" fillId="28" borderId="2" xfId="0" applyFont="1" applyFill="1" applyBorder="1" applyAlignment="1">
      <alignment horizontal="center" vertical="center" wrapText="1"/>
    </xf>
    <xf numFmtId="180" fontId="0" fillId="28" borderId="2" xfId="0" applyNumberFormat="1" applyFill="1" applyBorder="1">
      <alignment vertical="center"/>
    </xf>
    <xf numFmtId="177" fontId="127" fillId="28" borderId="2" xfId="6" applyFont="1" applyFill="1" applyBorder="1" applyAlignment="1">
      <alignment horizontal="center" vertical="center" wrapText="1"/>
    </xf>
    <xf numFmtId="0" fontId="128" fillId="28" borderId="2" xfId="0" applyFont="1" applyFill="1" applyBorder="1" applyAlignment="1">
      <alignment horizontal="left" vertical="center" wrapText="1"/>
    </xf>
    <xf numFmtId="177" fontId="3" fillId="28" borderId="2" xfId="1749" applyFont="1" applyFill="1" applyBorder="1" applyAlignment="1">
      <alignment horizontal="center" vertical="center" wrapText="1"/>
    </xf>
    <xf numFmtId="9" fontId="127" fillId="28" borderId="2" xfId="0" applyNumberFormat="1" applyFont="1" applyFill="1" applyBorder="1" applyAlignment="1">
      <alignment horizontal="center" vertical="center" wrapText="1"/>
    </xf>
    <xf numFmtId="0" fontId="3" fillId="28" borderId="0" xfId="0" applyFont="1" applyFill="1">
      <alignment vertical="center"/>
    </xf>
    <xf numFmtId="0" fontId="127" fillId="31" borderId="0" xfId="0" applyFont="1" applyFill="1" applyAlignment="1">
      <alignment horizontal="center" vertical="center" wrapText="1"/>
    </xf>
    <xf numFmtId="0" fontId="131" fillId="31" borderId="2" xfId="0" applyFont="1" applyFill="1" applyBorder="1" applyAlignment="1">
      <alignment horizontal="center" vertical="center" wrapText="1"/>
    </xf>
    <xf numFmtId="177" fontId="131" fillId="31" borderId="2" xfId="6" applyFont="1" applyFill="1" applyBorder="1" applyAlignment="1">
      <alignment horizontal="center" vertical="center" wrapText="1"/>
    </xf>
    <xf numFmtId="177" fontId="127" fillId="31" borderId="2" xfId="6" applyFont="1" applyFill="1" applyBorder="1" applyAlignment="1">
      <alignment horizontal="center" vertical="center"/>
    </xf>
    <xf numFmtId="200" fontId="3" fillId="28" borderId="2" xfId="0" applyNumberFormat="1" applyFont="1" applyFill="1" applyBorder="1" applyAlignment="1">
      <alignment horizontal="center" vertical="center" wrapText="1"/>
    </xf>
    <xf numFmtId="9" fontId="3" fillId="28" borderId="2" xfId="0" applyNumberFormat="1" applyFont="1" applyFill="1" applyBorder="1" applyAlignment="1">
      <alignment horizontal="center" vertical="center" wrapText="1"/>
    </xf>
    <xf numFmtId="9" fontId="127" fillId="31" borderId="2" xfId="0" applyNumberFormat="1" applyFont="1" applyFill="1" applyBorder="1" applyAlignment="1">
      <alignment horizontal="center" vertical="center"/>
    </xf>
    <xf numFmtId="0" fontId="127" fillId="31" borderId="0" xfId="0" applyFont="1" applyFill="1" applyAlignment="1">
      <alignment horizontal="center" vertical="center"/>
    </xf>
    <xf numFmtId="0" fontId="3" fillId="28" borderId="0" xfId="0" applyFont="1" applyFill="1" applyAlignment="1">
      <alignment horizontal="center" vertical="center" wrapText="1"/>
    </xf>
    <xf numFmtId="0" fontId="3" fillId="28" borderId="2" xfId="0" applyFont="1" applyFill="1" applyBorder="1" applyAlignment="1">
      <alignment horizontal="center" vertical="center"/>
    </xf>
    <xf numFmtId="0" fontId="1" fillId="28" borderId="2" xfId="0" applyFont="1" applyFill="1" applyBorder="1" applyAlignment="1">
      <alignment horizontal="center" vertical="center"/>
    </xf>
    <xf numFmtId="9" fontId="3" fillId="31" borderId="2" xfId="0" applyNumberFormat="1" applyFont="1" applyFill="1" applyBorder="1" applyAlignment="1">
      <alignment horizontal="center" vertical="center"/>
    </xf>
    <xf numFmtId="0" fontId="3" fillId="31" borderId="0" xfId="0" applyFont="1" applyFill="1" applyAlignment="1">
      <alignment horizontal="center" vertical="center"/>
    </xf>
    <xf numFmtId="0" fontId="127" fillId="31" borderId="2" xfId="0" applyFont="1" applyFill="1" applyBorder="1" applyAlignment="1">
      <alignment horizontal="center" vertical="center" wrapText="1" shrinkToFit="1"/>
    </xf>
    <xf numFmtId="0" fontId="3" fillId="28" borderId="2" xfId="0" applyFont="1" applyFill="1" applyBorder="1" applyAlignment="1">
      <alignment horizontal="center" vertical="center" wrapText="1"/>
    </xf>
    <xf numFmtId="9" fontId="127" fillId="31" borderId="2" xfId="6" applyNumberFormat="1" applyFont="1" applyFill="1" applyBorder="1" applyAlignment="1">
      <alignment horizontal="center" vertical="center" wrapText="1"/>
    </xf>
    <xf numFmtId="0" fontId="3" fillId="31" borderId="2" xfId="0" applyFont="1" applyFill="1" applyBorder="1" applyAlignment="1">
      <alignment horizontal="center" vertical="center" wrapText="1" shrinkToFit="1"/>
    </xf>
    <xf numFmtId="9" fontId="3" fillId="31" borderId="2" xfId="1749" applyNumberFormat="1" applyFont="1" applyFill="1" applyBorder="1" applyAlignment="1">
      <alignment horizontal="center" vertical="center" wrapText="1"/>
    </xf>
    <xf numFmtId="0" fontId="4" fillId="31" borderId="2" xfId="0" applyFont="1" applyFill="1" applyBorder="1" applyAlignment="1">
      <alignment vertical="center" wrapText="1" shrinkToFit="1"/>
    </xf>
    <xf numFmtId="177" fontId="3" fillId="31" borderId="2" xfId="6" applyFont="1" applyFill="1" applyBorder="1" applyAlignment="1">
      <alignment horizontal="center" vertical="center"/>
    </xf>
    <xf numFmtId="0" fontId="11" fillId="31" borderId="2" xfId="0" applyFont="1" applyFill="1" applyBorder="1" applyAlignment="1">
      <alignment shrinkToFit="1"/>
    </xf>
    <xf numFmtId="0" fontId="11" fillId="31" borderId="2" xfId="0" applyFont="1" applyFill="1" applyBorder="1">
      <alignment vertical="center"/>
    </xf>
    <xf numFmtId="177" fontId="11" fillId="31" borderId="2" xfId="6" applyFont="1" applyFill="1" applyBorder="1">
      <alignment vertical="center"/>
    </xf>
    <xf numFmtId="0" fontId="3" fillId="31" borderId="2" xfId="0" applyFont="1" applyFill="1" applyBorder="1">
      <alignment vertical="center"/>
    </xf>
    <xf numFmtId="177" fontId="3" fillId="31" borderId="2" xfId="6" applyFont="1" applyFill="1" applyBorder="1">
      <alignment vertical="center"/>
    </xf>
    <xf numFmtId="0" fontId="0" fillId="31" borderId="2" xfId="0" applyFont="1" applyFill="1" applyBorder="1">
      <alignment vertical="center"/>
    </xf>
    <xf numFmtId="0" fontId="132" fillId="31" borderId="2" xfId="0" applyFont="1" applyFill="1" applyBorder="1" applyAlignment="1">
      <alignment shrinkToFit="1"/>
    </xf>
    <xf numFmtId="180" fontId="0" fillId="31" borderId="2" xfId="0" applyNumberFormat="1" applyFont="1" applyFill="1" applyBorder="1">
      <alignment vertical="center"/>
    </xf>
    <xf numFmtId="0" fontId="132" fillId="31" borderId="2" xfId="0" applyFont="1" applyFill="1" applyBorder="1">
      <alignment vertical="center"/>
    </xf>
    <xf numFmtId="177" fontId="132" fillId="31" borderId="2" xfId="6" applyFont="1" applyFill="1" applyBorder="1">
      <alignment vertical="center"/>
    </xf>
    <xf numFmtId="0" fontId="133" fillId="31" borderId="2" xfId="0" applyFont="1" applyFill="1" applyBorder="1" applyAlignment="1">
      <alignment horizontal="left" vertical="center" wrapText="1"/>
    </xf>
    <xf numFmtId="177" fontId="132" fillId="31" borderId="2" xfId="1749" applyFont="1" applyFill="1" applyBorder="1" applyAlignment="1">
      <alignment horizontal="center" vertical="center" wrapText="1"/>
    </xf>
    <xf numFmtId="0" fontId="132" fillId="31" borderId="0" xfId="0" applyFont="1" applyFill="1">
      <alignment vertical="center"/>
    </xf>
    <xf numFmtId="0" fontId="0" fillId="31" borderId="0" xfId="0" applyFill="1" applyBorder="1">
      <alignment vertical="center"/>
    </xf>
    <xf numFmtId="180" fontId="0" fillId="31" borderId="0" xfId="0" applyNumberFormat="1" applyFill="1" applyBorder="1">
      <alignment vertical="center"/>
    </xf>
    <xf numFmtId="0" fontId="3" fillId="31" borderId="0" xfId="0" applyFont="1" applyFill="1" applyAlignment="1">
      <alignment horizontal="center" vertical="center" wrapText="1" shrinkToFit="1"/>
    </xf>
    <xf numFmtId="177" fontId="3" fillId="31" borderId="0" xfId="6" applyFont="1" applyFill="1">
      <alignment vertical="center"/>
    </xf>
    <xf numFmtId="0" fontId="134" fillId="31" borderId="0" xfId="0" applyFont="1" applyFill="1">
      <alignment vertical="center"/>
    </xf>
    <xf numFmtId="177" fontId="3" fillId="31" borderId="0" xfId="0" applyNumberFormat="1" applyFont="1" applyFill="1">
      <alignment vertical="center"/>
    </xf>
    <xf numFmtId="0" fontId="3" fillId="31" borderId="0" xfId="0" applyFont="1" applyFill="1" applyAlignment="1">
      <alignment wrapText="1"/>
    </xf>
    <xf numFmtId="200" fontId="3" fillId="31" borderId="0" xfId="0" applyNumberFormat="1" applyFont="1" applyFill="1">
      <alignment vertical="center"/>
    </xf>
    <xf numFmtId="179" fontId="3" fillId="31" borderId="0" xfId="0" applyNumberFormat="1" applyFont="1" applyFill="1" applyAlignment="1">
      <alignment horizontal="right"/>
    </xf>
    <xf numFmtId="180" fontId="3" fillId="31" borderId="0" xfId="0" applyNumberFormat="1" applyFont="1" applyFill="1" applyAlignment="1">
      <alignment shrinkToFit="1"/>
    </xf>
    <xf numFmtId="0" fontId="1" fillId="0" borderId="2" xfId="0" applyFont="1" applyBorder="1" applyAlignment="1">
      <alignment horizontal="center" vertical="center"/>
    </xf>
    <xf numFmtId="0" fontId="0" fillId="0" borderId="2" xfId="0" applyFont="1" applyBorder="1" applyAlignment="1">
      <alignment horizontal="center" vertical="center"/>
    </xf>
    <xf numFmtId="0" fontId="0" fillId="0" borderId="2" xfId="0" applyBorder="1" applyAlignment="1">
      <alignment horizontal="center" vertical="center"/>
    </xf>
    <xf numFmtId="0" fontId="116" fillId="0" borderId="2" xfId="0" applyFont="1" applyBorder="1" applyAlignment="1">
      <alignment horizontal="center" vertical="center" wrapText="1"/>
    </xf>
    <xf numFmtId="0" fontId="106" fillId="0" borderId="2" xfId="0" applyFont="1" applyBorder="1" applyAlignment="1">
      <alignment horizontal="center" vertical="center" wrapText="1"/>
    </xf>
    <xf numFmtId="0" fontId="106" fillId="0" borderId="20" xfId="0" applyFont="1" applyBorder="1" applyAlignment="1">
      <alignment horizontal="center" vertical="center" wrapText="1"/>
    </xf>
    <xf numFmtId="0" fontId="118" fillId="0" borderId="2" xfId="0" applyFont="1" applyBorder="1" applyAlignment="1">
      <alignment horizontal="center" vertical="center" wrapText="1"/>
    </xf>
    <xf numFmtId="0" fontId="17" fillId="0" borderId="0" xfId="0" applyFont="1" applyFill="1" applyAlignment="1"/>
    <xf numFmtId="0" fontId="17" fillId="0" borderId="35" xfId="0" applyFont="1" applyFill="1" applyBorder="1" applyAlignment="1">
      <alignment horizontal="center"/>
    </xf>
    <xf numFmtId="0" fontId="17" fillId="0" borderId="28" xfId="0" applyFont="1" applyFill="1" applyBorder="1" applyAlignment="1">
      <alignment horizontal="center"/>
    </xf>
    <xf numFmtId="49" fontId="135" fillId="0" borderId="2" xfId="0" applyNumberFormat="1" applyFont="1" applyFill="1" applyBorder="1" applyAlignment="1">
      <alignment horizontal="center" vertical="center" wrapText="1"/>
    </xf>
    <xf numFmtId="0" fontId="135" fillId="0" borderId="2" xfId="0" applyFont="1" applyFill="1" applyBorder="1" applyAlignment="1">
      <alignment horizontal="center" vertical="center" wrapText="1"/>
    </xf>
    <xf numFmtId="0" fontId="137" fillId="0" borderId="13" xfId="0" applyFont="1" applyFill="1" applyBorder="1" applyAlignment="1">
      <alignment vertical="center" wrapText="1"/>
    </xf>
    <xf numFmtId="9" fontId="137" fillId="0" borderId="2" xfId="0" applyNumberFormat="1" applyFont="1" applyFill="1" applyBorder="1" applyAlignment="1">
      <alignment horizontal="center" vertical="center" wrapText="1"/>
    </xf>
    <xf numFmtId="188" fontId="17" fillId="0" borderId="11" xfId="0" applyNumberFormat="1" applyFont="1" applyFill="1" applyBorder="1" applyAlignment="1">
      <alignment horizontal="right"/>
    </xf>
    <xf numFmtId="49" fontId="17" fillId="0" borderId="13" xfId="0" applyNumberFormat="1" applyFont="1" applyFill="1" applyBorder="1" applyAlignment="1">
      <alignment horizontal="left"/>
    </xf>
    <xf numFmtId="0" fontId="17" fillId="0" borderId="2" xfId="0" applyNumberFormat="1" applyFont="1" applyFill="1" applyBorder="1" applyAlignment="1">
      <alignment horizontal="center"/>
    </xf>
    <xf numFmtId="0" fontId="137" fillId="0" borderId="2" xfId="0" applyFont="1" applyFill="1" applyBorder="1" applyAlignment="1">
      <alignment horizontal="center" vertical="center" wrapText="1"/>
    </xf>
    <xf numFmtId="0" fontId="136" fillId="0" borderId="2" xfId="0" applyFont="1" applyFill="1" applyBorder="1" applyAlignment="1">
      <alignment horizontal="center" vertical="center" wrapText="1"/>
    </xf>
    <xf numFmtId="0" fontId="137" fillId="0" borderId="2" xfId="0" applyFont="1" applyFill="1" applyBorder="1" applyAlignment="1">
      <alignment vertical="center" wrapText="1"/>
    </xf>
    <xf numFmtId="0" fontId="17" fillId="0" borderId="2" xfId="0" applyFont="1" applyFill="1" applyBorder="1" applyAlignment="1">
      <alignment horizontal="center"/>
    </xf>
    <xf numFmtId="0" fontId="17" fillId="0" borderId="2" xfId="0" applyFont="1" applyFill="1" applyBorder="1" applyAlignment="1">
      <alignment horizontal="left"/>
    </xf>
    <xf numFmtId="0" fontId="138" fillId="0" borderId="2" xfId="0" applyFont="1" applyFill="1" applyBorder="1" applyAlignment="1">
      <alignment horizontal="center" vertical="center" wrapText="1"/>
    </xf>
    <xf numFmtId="49" fontId="135" fillId="0" borderId="13" xfId="0" applyNumberFormat="1" applyFont="1" applyFill="1" applyBorder="1" applyAlignment="1">
      <alignment horizontal="center" vertical="center" wrapText="1"/>
    </xf>
    <xf numFmtId="0" fontId="138" fillId="0" borderId="2" xfId="0" applyFont="1" applyBorder="1" applyAlignment="1">
      <alignment horizontal="center" vertical="center" wrapText="1"/>
    </xf>
    <xf numFmtId="0" fontId="17" fillId="0" borderId="13" xfId="0" applyFont="1" applyFill="1" applyBorder="1" applyAlignment="1"/>
    <xf numFmtId="0" fontId="17" fillId="0" borderId="27" xfId="0" applyFont="1" applyFill="1" applyBorder="1" applyAlignment="1">
      <alignment horizontal="center" vertical="center" wrapText="1" readingOrder="1"/>
    </xf>
    <xf numFmtId="0" fontId="135" fillId="0" borderId="13" xfId="0" applyFont="1" applyFill="1" applyBorder="1" applyAlignment="1">
      <alignment horizontal="center" vertical="center" wrapText="1"/>
    </xf>
    <xf numFmtId="0" fontId="135" fillId="0" borderId="13" xfId="0" applyNumberFormat="1" applyFont="1" applyFill="1" applyBorder="1" applyAlignment="1">
      <alignment horizontal="center" vertical="center" wrapText="1"/>
    </xf>
    <xf numFmtId="0" fontId="138" fillId="0" borderId="2" xfId="0" applyFont="1" applyBorder="1" applyAlignment="1">
      <alignment horizontal="center" vertical="center"/>
    </xf>
    <xf numFmtId="0" fontId="17" fillId="0" borderId="0" xfId="0" applyFont="1" applyFill="1" applyAlignment="1">
      <alignment horizontal="center" vertical="center"/>
    </xf>
    <xf numFmtId="9" fontId="17" fillId="0" borderId="0" xfId="0" applyNumberFormat="1" applyFont="1" applyFill="1" applyAlignment="1">
      <alignment horizontal="center" vertical="center"/>
    </xf>
    <xf numFmtId="0" fontId="16" fillId="0" borderId="12" xfId="0" applyFont="1" applyFill="1" applyBorder="1" applyAlignment="1">
      <alignment horizontal="center" wrapText="1"/>
    </xf>
    <xf numFmtId="0" fontId="142" fillId="0" borderId="0" xfId="0" applyFont="1" applyFill="1" applyAlignment="1"/>
    <xf numFmtId="0" fontId="17" fillId="0" borderId="0" xfId="0" applyFont="1" applyFill="1" applyAlignment="1">
      <alignment vertical="center"/>
    </xf>
    <xf numFmtId="0" fontId="142" fillId="0" borderId="0" xfId="0" applyFont="1" applyFill="1" applyAlignment="1">
      <alignment horizontal="left" vertical="center"/>
    </xf>
    <xf numFmtId="0" fontId="142" fillId="0" borderId="0" xfId="0" applyFont="1" applyFill="1" applyAlignment="1">
      <alignment horizontal="center"/>
    </xf>
    <xf numFmtId="0" fontId="17" fillId="0" borderId="0" xfId="0" applyFont="1" applyFill="1" applyAlignment="1">
      <alignment horizontal="center"/>
    </xf>
    <xf numFmtId="0" fontId="17" fillId="0" borderId="0" xfId="0" applyFont="1" applyFill="1" applyAlignment="1">
      <alignment horizontal="left" vertical="center"/>
    </xf>
    <xf numFmtId="0" fontId="136" fillId="0" borderId="13" xfId="0" applyFont="1" applyFill="1" applyBorder="1" applyAlignment="1">
      <alignment vertical="center" wrapText="1"/>
    </xf>
    <xf numFmtId="0" fontId="135" fillId="0" borderId="2" xfId="0" applyNumberFormat="1" applyFont="1" applyFill="1" applyBorder="1" applyAlignment="1">
      <alignment horizontal="center" vertical="center" wrapText="1"/>
    </xf>
    <xf numFmtId="0" fontId="143" fillId="35" borderId="56" xfId="0" applyFont="1" applyFill="1" applyBorder="1" applyAlignment="1"/>
    <xf numFmtId="201" fontId="144" fillId="0" borderId="57" xfId="0" applyNumberFormat="1" applyFont="1" applyFill="1" applyBorder="1" applyAlignment="1" applyProtection="1">
      <alignment horizontal="center" vertical="center"/>
      <protection locked="0"/>
    </xf>
    <xf numFmtId="0" fontId="143" fillId="0" borderId="0" xfId="0" applyFont="1" applyAlignment="1"/>
    <xf numFmtId="189" fontId="145" fillId="35" borderId="16" xfId="707" applyNumberFormat="1" applyFont="1" applyFill="1" applyBorder="1" applyAlignment="1" applyProtection="1">
      <alignment horizontal="center" vertical="center" wrapText="1"/>
    </xf>
    <xf numFmtId="0" fontId="144" fillId="35" borderId="17" xfId="0" applyFont="1" applyFill="1" applyBorder="1" applyAlignment="1" applyProtection="1">
      <alignment horizontal="center" vertical="center" wrapText="1"/>
    </xf>
    <xf numFmtId="179" fontId="144" fillId="35" borderId="17" xfId="0" applyNumberFormat="1" applyFont="1" applyFill="1" applyBorder="1" applyAlignment="1" applyProtection="1">
      <alignment horizontal="center" vertical="center" wrapText="1"/>
    </xf>
    <xf numFmtId="0" fontId="144" fillId="35" borderId="22" xfId="0" applyFont="1" applyFill="1" applyBorder="1" applyAlignment="1" applyProtection="1">
      <alignment horizontal="center" vertical="center" wrapText="1"/>
    </xf>
    <xf numFmtId="180" fontId="144" fillId="28" borderId="19" xfId="707" applyNumberFormat="1" applyFont="1" applyFill="1" applyBorder="1" applyAlignment="1" applyProtection="1">
      <alignment horizontal="center" vertical="center"/>
      <protection locked="0"/>
    </xf>
    <xf numFmtId="201" fontId="144" fillId="0" borderId="20" xfId="0" applyNumberFormat="1" applyFont="1" applyFill="1" applyBorder="1" applyAlignment="1" applyProtection="1">
      <alignment horizontal="center" vertical="center"/>
      <protection locked="0"/>
    </xf>
    <xf numFmtId="179" fontId="145" fillId="35" borderId="20" xfId="707" applyNumberFormat="1" applyFont="1" applyFill="1" applyBorder="1" applyAlignment="1" applyProtection="1">
      <alignment horizontal="center" vertical="center"/>
    </xf>
    <xf numFmtId="189" fontId="145" fillId="35" borderId="20" xfId="707" applyNumberFormat="1" applyFont="1" applyFill="1" applyBorder="1" applyAlignment="1" applyProtection="1">
      <alignment horizontal="center" vertical="center"/>
    </xf>
    <xf numFmtId="182" fontId="143" fillId="0" borderId="25" xfId="0" applyNumberFormat="1" applyFont="1" applyFill="1" applyBorder="1" applyAlignment="1" applyProtection="1">
      <alignment horizontal="center" vertical="center"/>
      <protection locked="0"/>
    </xf>
    <xf numFmtId="0" fontId="145" fillId="35" borderId="14" xfId="0" applyFont="1" applyFill="1" applyBorder="1" applyAlignment="1"/>
    <xf numFmtId="0" fontId="143" fillId="35" borderId="21" xfId="0" applyFont="1" applyFill="1" applyBorder="1" applyAlignment="1"/>
    <xf numFmtId="0" fontId="145" fillId="35" borderId="16" xfId="0" applyFont="1" applyFill="1" applyBorder="1" applyAlignment="1">
      <alignment horizontal="center"/>
    </xf>
    <xf numFmtId="0" fontId="143" fillId="0" borderId="17" xfId="0" applyFont="1" applyBorder="1" applyAlignment="1">
      <alignment horizontal="center"/>
    </xf>
    <xf numFmtId="0" fontId="145" fillId="35" borderId="17" xfId="0" applyFont="1" applyFill="1" applyBorder="1" applyAlignment="1">
      <alignment horizontal="center"/>
    </xf>
    <xf numFmtId="9" fontId="143" fillId="0" borderId="17" xfId="0" applyNumberFormat="1" applyFont="1" applyBorder="1" applyAlignment="1">
      <alignment horizontal="center"/>
    </xf>
    <xf numFmtId="0" fontId="145" fillId="35" borderId="22" xfId="0" applyFont="1" applyFill="1" applyBorder="1" applyAlignment="1"/>
    <xf numFmtId="0" fontId="145" fillId="35" borderId="19" xfId="0" applyFont="1" applyFill="1" applyBorder="1" applyAlignment="1">
      <alignment horizontal="center"/>
    </xf>
    <xf numFmtId="0" fontId="143" fillId="0" borderId="20" xfId="0" applyFont="1" applyBorder="1" applyAlignment="1">
      <alignment horizontal="center"/>
    </xf>
    <xf numFmtId="0" fontId="145" fillId="35" borderId="20" xfId="0" applyFont="1" applyFill="1" applyBorder="1" applyAlignment="1">
      <alignment horizontal="center"/>
    </xf>
    <xf numFmtId="9" fontId="143" fillId="0" borderId="20" xfId="0" applyNumberFormat="1" applyFont="1" applyBorder="1" applyAlignment="1">
      <alignment horizontal="center"/>
    </xf>
    <xf numFmtId="0" fontId="145" fillId="35" borderId="25" xfId="0" applyFont="1" applyFill="1" applyBorder="1" applyAlignment="1"/>
    <xf numFmtId="0" fontId="143" fillId="0" borderId="17" xfId="0" applyFont="1" applyFill="1" applyBorder="1" applyAlignment="1">
      <alignment horizontal="center"/>
    </xf>
    <xf numFmtId="0" fontId="143" fillId="0" borderId="22" xfId="0" applyFont="1" applyFill="1" applyBorder="1" applyAlignment="1">
      <alignment horizontal="center"/>
    </xf>
    <xf numFmtId="0" fontId="143" fillId="35" borderId="20" xfId="0" applyFont="1" applyFill="1" applyBorder="1" applyAlignment="1">
      <alignment horizontal="center"/>
    </xf>
    <xf numFmtId="0" fontId="143" fillId="35" borderId="25" xfId="0" applyFont="1" applyFill="1" applyBorder="1" applyAlignment="1">
      <alignment horizontal="center"/>
    </xf>
    <xf numFmtId="0" fontId="138" fillId="36" borderId="2" xfId="0" applyFont="1" applyFill="1" applyBorder="1" applyAlignment="1">
      <alignment horizontal="center" vertical="center" wrapText="1"/>
    </xf>
    <xf numFmtId="49" fontId="135" fillId="36" borderId="13" xfId="0" applyNumberFormat="1" applyFont="1" applyFill="1" applyBorder="1" applyAlignment="1">
      <alignment horizontal="center" vertical="center" wrapText="1"/>
    </xf>
    <xf numFmtId="0" fontId="135" fillId="36" borderId="2" xfId="0" applyFont="1" applyFill="1" applyBorder="1" applyAlignment="1">
      <alignment horizontal="center" vertical="center" wrapText="1"/>
    </xf>
    <xf numFmtId="0" fontId="135" fillId="36" borderId="2" xfId="0" applyNumberFormat="1" applyFont="1" applyFill="1" applyBorder="1" applyAlignment="1">
      <alignment horizontal="center" vertical="center" wrapText="1"/>
    </xf>
    <xf numFmtId="49" fontId="135" fillId="36" borderId="2" xfId="0" applyNumberFormat="1" applyFont="1" applyFill="1" applyBorder="1" applyAlignment="1">
      <alignment horizontal="center" vertical="center" wrapText="1"/>
    </xf>
    <xf numFmtId="0" fontId="137" fillId="36" borderId="13" xfId="0" applyFont="1" applyFill="1" applyBorder="1" applyAlignment="1">
      <alignment vertical="center" wrapText="1"/>
    </xf>
    <xf numFmtId="9" fontId="137" fillId="36" borderId="2" xfId="0" applyNumberFormat="1" applyFont="1" applyFill="1" applyBorder="1" applyAlignment="1">
      <alignment horizontal="center" vertical="center" wrapText="1"/>
    </xf>
    <xf numFmtId="0" fontId="17" fillId="36" borderId="35" xfId="0" applyFont="1" applyFill="1" applyBorder="1" applyAlignment="1">
      <alignment horizontal="center"/>
    </xf>
    <xf numFmtId="0" fontId="17" fillId="36" borderId="2" xfId="0" applyFont="1" applyFill="1" applyBorder="1" applyAlignment="1">
      <alignment horizontal="center"/>
    </xf>
    <xf numFmtId="188" fontId="17" fillId="36" borderId="11" xfId="0" applyNumberFormat="1" applyFont="1" applyFill="1" applyBorder="1" applyAlignment="1">
      <alignment horizontal="right"/>
    </xf>
    <xf numFmtId="49" fontId="17" fillId="36" borderId="13" xfId="0" applyNumberFormat="1" applyFont="1" applyFill="1" applyBorder="1" applyAlignment="1">
      <alignment horizontal="left"/>
    </xf>
    <xf numFmtId="0" fontId="17" fillId="36" borderId="28" xfId="0" applyFont="1" applyFill="1" applyBorder="1" applyAlignment="1">
      <alignment horizontal="center"/>
    </xf>
    <xf numFmtId="0" fontId="17" fillId="36" borderId="27" xfId="0" applyFont="1" applyFill="1" applyBorder="1" applyAlignment="1">
      <alignment horizontal="center" vertical="center" wrapText="1" readingOrder="1"/>
    </xf>
    <xf numFmtId="0" fontId="17" fillId="36" borderId="13" xfId="0" applyFont="1" applyFill="1" applyBorder="1" applyAlignment="1"/>
    <xf numFmtId="0" fontId="17" fillId="36" borderId="2" xfId="0" applyNumberFormat="1" applyFont="1" applyFill="1" applyBorder="1" applyAlignment="1">
      <alignment horizontal="center"/>
    </xf>
    <xf numFmtId="0" fontId="17" fillId="36" borderId="0" xfId="0" applyFont="1" applyFill="1" applyAlignment="1"/>
    <xf numFmtId="179" fontId="135" fillId="36" borderId="13" xfId="0" applyNumberFormat="1" applyFont="1" applyFill="1" applyBorder="1" applyAlignment="1">
      <alignment horizontal="center" vertical="center" wrapText="1"/>
    </xf>
    <xf numFmtId="0" fontId="17" fillId="36" borderId="2" xfId="0" applyFont="1" applyFill="1" applyBorder="1" applyAlignment="1">
      <alignment horizontal="left"/>
    </xf>
    <xf numFmtId="182" fontId="137" fillId="36" borderId="2" xfId="0" applyNumberFormat="1" applyFont="1" applyFill="1" applyBorder="1" applyAlignment="1">
      <alignment horizontal="center" vertical="center" wrapText="1"/>
    </xf>
    <xf numFmtId="0" fontId="135" fillId="36" borderId="13" xfId="0" applyNumberFormat="1" applyFont="1" applyFill="1" applyBorder="1" applyAlignment="1">
      <alignment horizontal="center" vertical="center" wrapText="1"/>
    </xf>
    <xf numFmtId="199" fontId="3" fillId="0" borderId="2" xfId="1542" applyNumberFormat="1" applyFont="1" applyFill="1" applyBorder="1" applyAlignment="1">
      <alignment horizontal="center"/>
    </xf>
    <xf numFmtId="0" fontId="146" fillId="0" borderId="22" xfId="0" applyFont="1" applyBorder="1">
      <alignment vertical="center"/>
    </xf>
    <xf numFmtId="0" fontId="146" fillId="0" borderId="23" xfId="0" applyFont="1" applyBorder="1">
      <alignment vertical="center"/>
    </xf>
    <xf numFmtId="0" fontId="146" fillId="0" borderId="25" xfId="0" applyFont="1" applyBorder="1">
      <alignment vertical="center"/>
    </xf>
    <xf numFmtId="0" fontId="117" fillId="0" borderId="2" xfId="0" applyFont="1" applyBorder="1" applyAlignment="1">
      <alignment horizontal="center" vertical="center" wrapText="1"/>
    </xf>
    <xf numFmtId="9" fontId="0" fillId="0" borderId="2" xfId="0" applyNumberFormat="1" applyBorder="1">
      <alignment vertical="center"/>
    </xf>
    <xf numFmtId="180" fontId="89" fillId="0" borderId="28" xfId="0" applyNumberFormat="1" applyFont="1" applyFill="1" applyBorder="1" applyAlignment="1">
      <alignment horizontal="center" vertical="center" wrapText="1"/>
    </xf>
    <xf numFmtId="0" fontId="1" fillId="0" borderId="2" xfId="0" applyFont="1" applyBorder="1" applyAlignment="1">
      <alignment horizontal="center" vertical="center"/>
    </xf>
    <xf numFmtId="1" fontId="0" fillId="0" borderId="0" xfId="0" applyNumberFormat="1">
      <alignment vertical="center"/>
    </xf>
    <xf numFmtId="179" fontId="135" fillId="0" borderId="13" xfId="0" applyNumberFormat="1" applyFont="1" applyFill="1" applyBorder="1" applyAlignment="1">
      <alignment horizontal="center" vertical="center" wrapText="1"/>
    </xf>
    <xf numFmtId="0" fontId="116" fillId="0" borderId="2" xfId="0" applyFont="1" applyBorder="1" applyAlignment="1">
      <alignment horizontal="center" vertical="center" wrapText="1"/>
    </xf>
    <xf numFmtId="0" fontId="147" fillId="36" borderId="2" xfId="0" applyNumberFormat="1" applyFont="1" applyFill="1" applyBorder="1" applyAlignment="1">
      <alignment horizontal="center" vertical="center" wrapText="1"/>
    </xf>
    <xf numFmtId="49" fontId="147" fillId="36" borderId="2" xfId="0" applyNumberFormat="1" applyFont="1" applyFill="1" applyBorder="1" applyAlignment="1">
      <alignment horizontal="center" vertical="center" wrapText="1"/>
    </xf>
    <xf numFmtId="0" fontId="1" fillId="0" borderId="2" xfId="0" applyFont="1" applyBorder="1" applyAlignment="1">
      <alignment horizontal="center" vertical="center"/>
    </xf>
    <xf numFmtId="31" fontId="1" fillId="0" borderId="2" xfId="0" applyNumberFormat="1" applyFont="1" applyBorder="1" applyAlignment="1">
      <alignment horizontal="center" vertical="center"/>
    </xf>
    <xf numFmtId="0" fontId="1" fillId="25" borderId="2" xfId="0" applyFont="1" applyFill="1" applyBorder="1" applyAlignment="1">
      <alignment horizontal="center" vertical="center"/>
    </xf>
    <xf numFmtId="0" fontId="27" fillId="0" borderId="2" xfId="0" applyFont="1" applyBorder="1" applyAlignment="1">
      <alignment horizontal="center" vertical="center"/>
    </xf>
    <xf numFmtId="31" fontId="27" fillId="0" borderId="2" xfId="0" applyNumberFormat="1" applyFont="1" applyBorder="1" applyAlignment="1">
      <alignment horizontal="center" vertical="center"/>
    </xf>
    <xf numFmtId="0" fontId="27" fillId="0" borderId="2" xfId="0" applyFont="1" applyBorder="1" applyAlignment="1">
      <alignment horizontal="left" vertical="center"/>
    </xf>
    <xf numFmtId="191" fontId="29" fillId="0" borderId="26" xfId="0" applyNumberFormat="1" applyFont="1" applyBorder="1" applyAlignment="1">
      <alignment horizontal="right" vertical="top" wrapText="1"/>
    </xf>
    <xf numFmtId="191" fontId="29" fillId="0" borderId="27" xfId="0" applyNumberFormat="1" applyFont="1" applyBorder="1" applyAlignment="1">
      <alignment horizontal="right" vertical="top" wrapText="1"/>
    </xf>
    <xf numFmtId="38" fontId="29" fillId="0" borderId="11" xfId="0" applyNumberFormat="1" applyFont="1" applyBorder="1" applyAlignment="1">
      <alignment horizontal="center" vertical="center"/>
    </xf>
    <xf numFmtId="38" fontId="29" fillId="0" borderId="13" xfId="0" applyNumberFormat="1" applyFont="1" applyBorder="1" applyAlignment="1">
      <alignment horizontal="center" vertical="center"/>
    </xf>
    <xf numFmtId="191" fontId="29" fillId="0" borderId="26" xfId="0" applyNumberFormat="1" applyFont="1" applyFill="1" applyBorder="1" applyAlignment="1">
      <alignment horizontal="center" vertical="top" wrapText="1"/>
    </xf>
    <xf numFmtId="191" fontId="29" fillId="0" borderId="27" xfId="0" applyNumberFormat="1" applyFont="1" applyFill="1" applyBorder="1" applyAlignment="1">
      <alignment horizontal="center" vertical="top" wrapText="1"/>
    </xf>
    <xf numFmtId="191" fontId="29" fillId="0" borderId="26" xfId="0" applyNumberFormat="1" applyFont="1" applyBorder="1" applyAlignment="1">
      <alignment horizontal="center" vertical="center" wrapText="1"/>
    </xf>
    <xf numFmtId="191" fontId="29" fillId="0" borderId="27" xfId="0" applyNumberFormat="1" applyFont="1" applyBorder="1" applyAlignment="1">
      <alignment horizontal="center" vertical="center" wrapText="1"/>
    </xf>
    <xf numFmtId="191" fontId="29" fillId="24" borderId="26" xfId="0" applyNumberFormat="1" applyFont="1" applyFill="1" applyBorder="1" applyAlignment="1">
      <alignment horizontal="center" vertical="center" wrapText="1"/>
    </xf>
    <xf numFmtId="191" fontId="29" fillId="24" borderId="27" xfId="0" applyNumberFormat="1" applyFont="1" applyFill="1" applyBorder="1" applyAlignment="1">
      <alignment horizontal="center" vertical="center" wrapText="1"/>
    </xf>
    <xf numFmtId="191" fontId="29" fillId="24" borderId="32" xfId="0" applyNumberFormat="1" applyFont="1" applyFill="1" applyBorder="1" applyAlignment="1">
      <alignment vertical="center" wrapText="1"/>
    </xf>
    <xf numFmtId="191" fontId="29" fillId="24" borderId="34" xfId="0" applyNumberFormat="1" applyFont="1" applyFill="1" applyBorder="1" applyAlignment="1">
      <alignment vertical="center" wrapText="1"/>
    </xf>
    <xf numFmtId="191" fontId="29" fillId="0" borderId="32" xfId="0" applyNumberFormat="1" applyFont="1" applyBorder="1" applyAlignment="1">
      <alignment vertical="center" wrapText="1"/>
    </xf>
    <xf numFmtId="191" fontId="29" fillId="0" borderId="34" xfId="0" applyNumberFormat="1" applyFont="1" applyBorder="1" applyAlignment="1">
      <alignment vertical="center" wrapText="1"/>
    </xf>
    <xf numFmtId="191" fontId="29" fillId="24" borderId="32" xfId="0" applyNumberFormat="1" applyFont="1" applyFill="1" applyBorder="1" applyAlignment="1">
      <alignment vertical="top" wrapText="1"/>
    </xf>
    <xf numFmtId="191" fontId="29" fillId="24" borderId="34" xfId="0" applyNumberFormat="1" applyFont="1" applyFill="1" applyBorder="1" applyAlignment="1">
      <alignment vertical="top" wrapText="1"/>
    </xf>
    <xf numFmtId="191" fontId="29" fillId="0" borderId="32" xfId="0" applyNumberFormat="1" applyFont="1" applyFill="1" applyBorder="1" applyAlignment="1">
      <alignment vertical="top" wrapText="1"/>
    </xf>
    <xf numFmtId="191" fontId="29" fillId="0" borderId="34" xfId="0" applyNumberFormat="1" applyFont="1" applyFill="1" applyBorder="1" applyAlignment="1">
      <alignment vertical="top" wrapText="1"/>
    </xf>
    <xf numFmtId="191" fontId="29" fillId="0" borderId="26" xfId="0" applyNumberFormat="1" applyFont="1" applyFill="1" applyBorder="1" applyAlignment="1">
      <alignment horizontal="right" vertical="top" wrapText="1"/>
    </xf>
    <xf numFmtId="191" fontId="31" fillId="0" borderId="27" xfId="0" applyNumberFormat="1" applyFont="1" applyFill="1" applyBorder="1" applyAlignment="1">
      <alignment horizontal="right" vertical="top" wrapText="1"/>
    </xf>
    <xf numFmtId="191" fontId="31" fillId="0" borderId="27" xfId="0" applyNumberFormat="1" applyFont="1" applyBorder="1" applyAlignment="1">
      <alignment horizontal="right" vertical="top" wrapText="1"/>
    </xf>
    <xf numFmtId="0" fontId="17" fillId="0" borderId="11" xfId="0" applyNumberFormat="1" applyFont="1" applyFill="1" applyBorder="1" applyAlignment="1" applyProtection="1">
      <alignment horizontal="center"/>
    </xf>
    <xf numFmtId="0" fontId="17" fillId="0" borderId="12" xfId="0" applyNumberFormat="1" applyFont="1" applyFill="1" applyBorder="1" applyAlignment="1" applyProtection="1">
      <alignment horizontal="center"/>
    </xf>
    <xf numFmtId="0" fontId="15" fillId="0" borderId="29" xfId="0" applyNumberFormat="1" applyFont="1" applyFill="1" applyBorder="1" applyAlignment="1" applyProtection="1">
      <alignment horizontal="center"/>
    </xf>
    <xf numFmtId="0" fontId="15" fillId="0" borderId="30" xfId="0" applyNumberFormat="1" applyFont="1" applyFill="1" applyBorder="1" applyAlignment="1" applyProtection="1">
      <alignment horizontal="center"/>
    </xf>
    <xf numFmtId="0" fontId="15" fillId="0" borderId="32" xfId="0" applyNumberFormat="1" applyFont="1" applyFill="1" applyBorder="1" applyAlignment="1" applyProtection="1">
      <alignment horizontal="center"/>
    </xf>
    <xf numFmtId="0" fontId="16" fillId="0" borderId="31" xfId="0" applyNumberFormat="1" applyFont="1" applyFill="1" applyBorder="1" applyAlignment="1" applyProtection="1">
      <alignment horizontal="center"/>
    </xf>
    <xf numFmtId="0" fontId="16" fillId="0" borderId="33" xfId="0" applyNumberFormat="1" applyFont="1" applyFill="1" applyBorder="1" applyAlignment="1" applyProtection="1">
      <alignment horizontal="center"/>
    </xf>
    <xf numFmtId="0" fontId="16" fillId="0" borderId="34" xfId="0" applyNumberFormat="1" applyFont="1" applyFill="1" applyBorder="1" applyAlignment="1" applyProtection="1">
      <alignment horizontal="center"/>
    </xf>
    <xf numFmtId="0" fontId="17" fillId="0" borderId="11" xfId="0" applyNumberFormat="1" applyFont="1" applyFill="1" applyBorder="1" applyAlignment="1" applyProtection="1">
      <alignment horizontal="center" vertical="center"/>
    </xf>
    <xf numFmtId="0" fontId="17" fillId="0" borderId="13" xfId="0" applyNumberFormat="1" applyFont="1" applyFill="1" applyBorder="1" applyAlignment="1" applyProtection="1">
      <alignment horizontal="center" vertical="center"/>
    </xf>
    <xf numFmtId="0" fontId="17" fillId="0" borderId="29" xfId="0" applyNumberFormat="1" applyFont="1" applyFill="1" applyBorder="1" applyAlignment="1" applyProtection="1">
      <alignment horizontal="center" vertical="center"/>
    </xf>
    <xf numFmtId="0" fontId="17" fillId="0" borderId="32" xfId="0" applyNumberFormat="1" applyFont="1" applyFill="1" applyBorder="1" applyAlignment="1" applyProtection="1">
      <alignment horizontal="center" vertical="center"/>
    </xf>
    <xf numFmtId="0" fontId="17" fillId="0" borderId="33" xfId="0" applyNumberFormat="1" applyFont="1" applyFill="1" applyBorder="1" applyAlignment="1" applyProtection="1">
      <alignment horizontal="center" vertical="center"/>
    </xf>
    <xf numFmtId="0" fontId="17" fillId="0" borderId="34" xfId="0" applyNumberFormat="1" applyFont="1" applyFill="1" applyBorder="1" applyAlignment="1" applyProtection="1">
      <alignment horizontal="center" vertical="center"/>
    </xf>
    <xf numFmtId="0" fontId="17" fillId="0" borderId="26" xfId="0" applyNumberFormat="1" applyFont="1" applyFill="1" applyBorder="1" applyAlignment="1" applyProtection="1">
      <alignment horizontal="center" vertical="center"/>
    </xf>
    <xf numFmtId="0" fontId="17" fillId="0" borderId="27" xfId="0" applyNumberFormat="1" applyFont="1" applyFill="1" applyBorder="1" applyAlignment="1" applyProtection="1">
      <alignment horizontal="center" vertical="center"/>
    </xf>
    <xf numFmtId="0" fontId="17" fillId="17" borderId="32" xfId="0" applyNumberFormat="1" applyFont="1" applyFill="1" applyBorder="1" applyAlignment="1" applyProtection="1">
      <alignment horizontal="center"/>
    </xf>
    <xf numFmtId="0" fontId="17" fillId="17" borderId="35" xfId="0" applyNumberFormat="1" applyFont="1" applyFill="1" applyBorder="1" applyAlignment="1" applyProtection="1">
      <alignment horizontal="center"/>
    </xf>
    <xf numFmtId="0" fontId="17" fillId="17" borderId="0" xfId="0" applyNumberFormat="1" applyFont="1" applyFill="1" applyBorder="1" applyAlignment="1" applyProtection="1">
      <alignment horizontal="center"/>
    </xf>
    <xf numFmtId="0" fontId="17" fillId="0" borderId="0" xfId="0" applyNumberFormat="1" applyFont="1" applyFill="1" applyBorder="1" applyAlignment="1" applyProtection="1"/>
    <xf numFmtId="0" fontId="0" fillId="0" borderId="26" xfId="0" applyBorder="1" applyAlignment="1">
      <alignment horizontal="center" vertical="center"/>
    </xf>
    <xf numFmtId="0" fontId="0" fillId="0" borderId="27" xfId="0" applyBorder="1" applyAlignment="1">
      <alignment horizontal="center" vertical="center"/>
    </xf>
    <xf numFmtId="0" fontId="17" fillId="0" borderId="36" xfId="0" applyNumberFormat="1" applyFont="1" applyFill="1" applyBorder="1" applyAlignment="1" applyProtection="1">
      <alignment horizontal="center" vertical="center"/>
    </xf>
    <xf numFmtId="0" fontId="17" fillId="0" borderId="35" xfId="0" applyNumberFormat="1" applyFont="1" applyFill="1" applyBorder="1" applyAlignment="1" applyProtection="1">
      <alignment horizontal="center" vertical="center"/>
    </xf>
    <xf numFmtId="0" fontId="17" fillId="0" borderId="26" xfId="0" applyNumberFormat="1" applyFont="1" applyFill="1" applyBorder="1" applyAlignment="1" applyProtection="1">
      <alignment horizontal="center" vertical="center" wrapText="1"/>
    </xf>
    <xf numFmtId="0" fontId="17" fillId="0" borderId="28" xfId="0" applyNumberFormat="1" applyFont="1" applyFill="1" applyBorder="1" applyAlignment="1" applyProtection="1">
      <alignment horizontal="center" vertical="center" wrapText="1"/>
    </xf>
    <xf numFmtId="0" fontId="17" fillId="0" borderId="27"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xf numFmtId="0" fontId="17" fillId="0" borderId="13" xfId="0" applyNumberFormat="1" applyFont="1" applyFill="1" applyBorder="1" applyAlignment="1" applyProtection="1">
      <alignment horizontal="center"/>
    </xf>
    <xf numFmtId="0" fontId="9" fillId="0" borderId="0" xfId="0" applyFont="1" applyAlignment="1">
      <alignment horizontal="center" vertical="center"/>
    </xf>
    <xf numFmtId="0" fontId="3" fillId="0" borderId="0" xfId="0" applyNumberFormat="1" applyFont="1" applyFill="1" applyBorder="1" applyAlignment="1" applyProtection="1">
      <alignment horizontal="center"/>
    </xf>
    <xf numFmtId="184" fontId="17" fillId="0" borderId="11" xfId="0" applyNumberFormat="1" applyFont="1" applyFill="1" applyBorder="1" applyAlignment="1" applyProtection="1">
      <alignment horizontal="center"/>
    </xf>
    <xf numFmtId="184" fontId="17" fillId="0" borderId="13" xfId="0" applyNumberFormat="1" applyFont="1" applyFill="1" applyBorder="1" applyAlignment="1" applyProtection="1">
      <alignment horizontal="center"/>
    </xf>
    <xf numFmtId="0" fontId="16" fillId="0" borderId="11" xfId="0" applyNumberFormat="1" applyFont="1" applyFill="1" applyBorder="1" applyAlignment="1" applyProtection="1">
      <alignment horizontal="center"/>
    </xf>
    <xf numFmtId="0" fontId="16" fillId="0" borderId="13" xfId="0" applyNumberFormat="1" applyFont="1" applyFill="1" applyBorder="1" applyAlignment="1" applyProtection="1">
      <alignment horizontal="center"/>
    </xf>
    <xf numFmtId="184" fontId="16" fillId="0" borderId="11" xfId="0" applyNumberFormat="1" applyFont="1" applyFill="1" applyBorder="1" applyAlignment="1" applyProtection="1">
      <alignment horizontal="center" vertical="center"/>
    </xf>
    <xf numFmtId="184" fontId="16" fillId="0" borderId="12" xfId="0" applyNumberFormat="1" applyFont="1" applyFill="1" applyBorder="1" applyAlignment="1" applyProtection="1">
      <alignment horizontal="center" vertical="center"/>
    </xf>
    <xf numFmtId="184" fontId="16" fillId="0" borderId="13" xfId="0" applyNumberFormat="1" applyFont="1" applyFill="1" applyBorder="1" applyAlignment="1" applyProtection="1">
      <alignment horizontal="center" vertical="center"/>
    </xf>
    <xf numFmtId="0" fontId="16" fillId="0" borderId="11" xfId="0" applyNumberFormat="1" applyFont="1" applyFill="1" applyBorder="1" applyAlignment="1" applyProtection="1">
      <alignment horizontal="center" vertical="center"/>
    </xf>
    <xf numFmtId="0" fontId="16" fillId="0" borderId="13" xfId="0" applyNumberFormat="1" applyFont="1" applyFill="1" applyBorder="1" applyAlignment="1" applyProtection="1">
      <alignment horizontal="center" vertical="center"/>
    </xf>
    <xf numFmtId="0" fontId="16" fillId="0" borderId="12" xfId="0" applyNumberFormat="1" applyFont="1" applyFill="1" applyBorder="1" applyAlignment="1" applyProtection="1">
      <alignment horizontal="center" vertical="center"/>
    </xf>
    <xf numFmtId="0" fontId="0" fillId="0" borderId="32" xfId="0" applyBorder="1" applyAlignment="1">
      <alignment horizontal="center" vertical="center"/>
    </xf>
    <xf numFmtId="0" fontId="0" fillId="0" borderId="34" xfId="0" applyBorder="1" applyAlignment="1">
      <alignment horizontal="center" vertical="center"/>
    </xf>
    <xf numFmtId="0" fontId="17" fillId="0" borderId="32" xfId="0" applyNumberFormat="1" applyFont="1" applyFill="1" applyBorder="1" applyAlignment="1" applyProtection="1">
      <alignment horizontal="center" vertical="center" textRotation="255" wrapText="1"/>
    </xf>
    <xf numFmtId="0" fontId="17" fillId="0" borderId="35" xfId="0" applyNumberFormat="1" applyFont="1" applyFill="1" applyBorder="1" applyAlignment="1" applyProtection="1">
      <alignment horizontal="center" vertical="center" textRotation="255" wrapText="1"/>
    </xf>
    <xf numFmtId="0" fontId="17" fillId="0" borderId="34" xfId="0" applyNumberFormat="1" applyFont="1" applyFill="1" applyBorder="1" applyAlignment="1" applyProtection="1">
      <alignment horizontal="center" vertical="center" textRotation="255" wrapText="1"/>
    </xf>
    <xf numFmtId="0" fontId="17" fillId="0" borderId="26" xfId="0" applyNumberFormat="1" applyFont="1" applyFill="1" applyBorder="1" applyAlignment="1" applyProtection="1">
      <alignment horizontal="center" vertical="center" textRotation="255" wrapText="1"/>
    </xf>
    <xf numFmtId="0" fontId="17" fillId="0" borderId="28" xfId="0" applyNumberFormat="1" applyFont="1" applyFill="1" applyBorder="1" applyAlignment="1" applyProtection="1">
      <alignment horizontal="center" vertical="center" textRotation="255" wrapText="1"/>
    </xf>
    <xf numFmtId="0" fontId="17" fillId="0" borderId="27" xfId="0" applyNumberFormat="1" applyFont="1" applyFill="1" applyBorder="1" applyAlignment="1" applyProtection="1">
      <alignment horizontal="center" vertical="center" textRotation="255" wrapText="1"/>
    </xf>
    <xf numFmtId="0" fontId="0" fillId="0" borderId="0" xfId="0" applyAlignment="1">
      <alignment horizontal="center" vertical="center"/>
    </xf>
    <xf numFmtId="0" fontId="0" fillId="0" borderId="0" xfId="0" applyAlignment="1">
      <alignment horizontal="center" vertical="center" wrapText="1"/>
    </xf>
    <xf numFmtId="184" fontId="18" fillId="0" borderId="11" xfId="480" applyNumberFormat="1" applyFont="1" applyBorder="1" applyAlignment="1">
      <alignment horizontal="center" vertical="center"/>
    </xf>
    <xf numFmtId="184" fontId="18" fillId="0" borderId="13" xfId="480" applyNumberFormat="1" applyFont="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11" fillId="6" borderId="11" xfId="0" applyFont="1" applyFill="1" applyBorder="1" applyAlignment="1">
      <alignment horizontal="left"/>
    </xf>
    <xf numFmtId="0" fontId="11" fillId="6" borderId="12" xfId="0" applyFont="1" applyFill="1" applyBorder="1" applyAlignment="1">
      <alignment horizontal="left"/>
    </xf>
    <xf numFmtId="0" fontId="11" fillId="6" borderId="13" xfId="0" applyFont="1" applyFill="1" applyBorder="1" applyAlignment="1">
      <alignment horizontal="left"/>
    </xf>
    <xf numFmtId="0" fontId="13" fillId="6" borderId="2" xfId="0" applyFont="1" applyFill="1" applyBorder="1" applyAlignment="1">
      <alignment horizontal="center"/>
    </xf>
    <xf numFmtId="0" fontId="13" fillId="6" borderId="12" xfId="0" applyFont="1" applyFill="1" applyBorder="1" applyAlignment="1">
      <alignment horizontal="center"/>
    </xf>
    <xf numFmtId="0" fontId="13" fillId="6" borderId="13" xfId="0" applyFont="1" applyFill="1" applyBorder="1" applyAlignment="1">
      <alignment horizontal="center"/>
    </xf>
    <xf numFmtId="0" fontId="0" fillId="0" borderId="0" xfId="0" applyFont="1" applyAlignment="1">
      <alignment horizontal="center" vertical="center"/>
    </xf>
    <xf numFmtId="1" fontId="4" fillId="0" borderId="11" xfId="480" applyNumberFormat="1" applyFont="1" applyFill="1" applyBorder="1" applyAlignment="1">
      <alignment horizontal="center" vertical="center" wrapText="1"/>
    </xf>
    <xf numFmtId="1" fontId="4" fillId="0" borderId="12" xfId="480" applyNumberFormat="1" applyFont="1" applyFill="1" applyBorder="1" applyAlignment="1">
      <alignment horizontal="center" vertical="center" wrapText="1"/>
    </xf>
    <xf numFmtId="9" fontId="9" fillId="0" borderId="26" xfId="707" applyNumberFormat="1" applyFont="1" applyBorder="1" applyAlignment="1" applyProtection="1">
      <alignment horizontal="center" vertical="center"/>
      <protection hidden="1"/>
    </xf>
    <xf numFmtId="9" fontId="9" fillId="0" borderId="27" xfId="707" applyNumberFormat="1" applyFont="1" applyBorder="1" applyAlignment="1" applyProtection="1">
      <alignment horizontal="center" vertical="center"/>
      <protection hidden="1"/>
    </xf>
    <xf numFmtId="0" fontId="3" fillId="0" borderId="26"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4" fillId="16" borderId="11" xfId="0" applyFont="1" applyFill="1" applyBorder="1" applyAlignment="1">
      <alignment horizontal="center"/>
    </xf>
    <xf numFmtId="0" fontId="4" fillId="16" borderId="12" xfId="0" applyFont="1" applyFill="1" applyBorder="1" applyAlignment="1">
      <alignment horizontal="center"/>
    </xf>
    <xf numFmtId="0" fontId="4" fillId="16" borderId="13" xfId="0" applyFont="1" applyFill="1" applyBorder="1" applyAlignment="1">
      <alignment horizontal="center"/>
    </xf>
    <xf numFmtId="0" fontId="4" fillId="0" borderId="2" xfId="0" applyFont="1" applyBorder="1" applyAlignment="1">
      <alignment horizontal="center"/>
    </xf>
    <xf numFmtId="180" fontId="4" fillId="0" borderId="11" xfId="707" applyNumberFormat="1" applyFont="1" applyBorder="1" applyAlignment="1" applyProtection="1">
      <alignment horizontal="center"/>
      <protection hidden="1"/>
    </xf>
    <xf numFmtId="180" fontId="4" fillId="0" borderId="12" xfId="707" applyNumberFormat="1" applyFont="1" applyBorder="1" applyAlignment="1" applyProtection="1">
      <alignment horizontal="center"/>
      <protection hidden="1"/>
    </xf>
    <xf numFmtId="180" fontId="4" fillId="0" borderId="13" xfId="707" applyNumberFormat="1" applyFont="1" applyBorder="1" applyAlignment="1" applyProtection="1">
      <alignment horizontal="center"/>
      <protection hidden="1"/>
    </xf>
    <xf numFmtId="40" fontId="31" fillId="0" borderId="0" xfId="0" applyNumberFormat="1" applyFont="1" applyBorder="1" applyAlignment="1">
      <alignment horizontal="right" vertical="top" wrapText="1"/>
    </xf>
    <xf numFmtId="191" fontId="29" fillId="24" borderId="26" xfId="0" applyNumberFormat="1" applyFont="1" applyFill="1" applyBorder="1" applyAlignment="1">
      <alignment horizontal="center" vertical="top" wrapText="1"/>
    </xf>
    <xf numFmtId="191" fontId="29" fillId="24" borderId="27" xfId="0" applyNumberFormat="1" applyFont="1" applyFill="1" applyBorder="1" applyAlignment="1">
      <alignment horizontal="center" vertical="top" wrapText="1"/>
    </xf>
    <xf numFmtId="191" fontId="29" fillId="0" borderId="26" xfId="0" applyNumberFormat="1" applyFont="1" applyBorder="1" applyAlignment="1">
      <alignment horizontal="center" vertical="top" wrapText="1"/>
    </xf>
    <xf numFmtId="191" fontId="29" fillId="0" borderId="27" xfId="0" applyNumberFormat="1" applyFont="1" applyBorder="1" applyAlignment="1">
      <alignment horizontal="center" vertical="top" wrapText="1"/>
    </xf>
    <xf numFmtId="191" fontId="29" fillId="0" borderId="11" xfId="0" applyNumberFormat="1" applyFont="1" applyBorder="1" applyAlignment="1">
      <alignment horizontal="center" vertical="center"/>
    </xf>
    <xf numFmtId="191" fontId="29" fillId="0" borderId="13" xfId="0" applyNumberFormat="1" applyFont="1" applyBorder="1" applyAlignment="1">
      <alignment horizontal="center" vertical="center"/>
    </xf>
    <xf numFmtId="38" fontId="29" fillId="0" borderId="11" xfId="0" applyNumberFormat="1" applyFont="1" applyBorder="1" applyAlignment="1">
      <alignment horizontal="center"/>
    </xf>
    <xf numFmtId="38" fontId="29" fillId="0" borderId="13" xfId="0" applyNumberFormat="1" applyFont="1" applyBorder="1" applyAlignment="1">
      <alignment horizontal="center"/>
    </xf>
    <xf numFmtId="191" fontId="29" fillId="24" borderId="28" xfId="0" applyNumberFormat="1" applyFont="1" applyFill="1" applyBorder="1" applyAlignment="1">
      <alignment horizontal="center" vertical="top" wrapText="1"/>
    </xf>
    <xf numFmtId="191" fontId="29" fillId="0" borderId="28" xfId="0" applyNumberFormat="1" applyFont="1" applyBorder="1" applyAlignment="1">
      <alignment horizontal="center" vertical="top" wrapText="1"/>
    </xf>
    <xf numFmtId="0" fontId="114" fillId="28" borderId="0" xfId="0" applyFont="1" applyFill="1" applyBorder="1" applyAlignment="1">
      <alignment horizontal="center" vertical="center" wrapText="1"/>
    </xf>
    <xf numFmtId="0" fontId="0" fillId="0" borderId="2" xfId="0" applyFont="1" applyBorder="1" applyAlignment="1">
      <alignment horizontal="center" vertical="center"/>
    </xf>
    <xf numFmtId="0" fontId="0" fillId="0" borderId="2" xfId="0" applyBorder="1" applyAlignment="1">
      <alignment horizontal="center" vertical="center"/>
    </xf>
    <xf numFmtId="0" fontId="106" fillId="0" borderId="16" xfId="0" applyFont="1" applyBorder="1" applyAlignment="1">
      <alignment horizontal="center" vertical="center" wrapText="1"/>
    </xf>
    <xf numFmtId="0" fontId="106" fillId="0" borderId="18" xfId="0" applyFont="1" applyBorder="1" applyAlignment="1">
      <alignment horizontal="center" vertical="center" wrapText="1"/>
    </xf>
    <xf numFmtId="0" fontId="106" fillId="0" borderId="19" xfId="0" applyFont="1" applyBorder="1" applyAlignment="1">
      <alignment horizontal="center" vertical="center" wrapText="1"/>
    </xf>
    <xf numFmtId="0" fontId="109" fillId="35" borderId="2" xfId="0" applyFont="1" applyFill="1" applyBorder="1" applyAlignment="1">
      <alignment horizontal="center" vertical="center" wrapText="1"/>
    </xf>
    <xf numFmtId="0" fontId="109" fillId="35" borderId="20" xfId="0" applyFont="1" applyFill="1" applyBorder="1" applyAlignment="1">
      <alignment horizontal="center" vertical="center" wrapText="1"/>
    </xf>
    <xf numFmtId="0" fontId="109" fillId="0" borderId="23" xfId="0" applyFont="1" applyBorder="1" applyAlignment="1">
      <alignment horizontal="center" vertical="center" wrapText="1"/>
    </xf>
    <xf numFmtId="0" fontId="109" fillId="0" borderId="25" xfId="0" applyFont="1" applyBorder="1" applyAlignment="1">
      <alignment horizontal="center" vertical="center" wrapText="1"/>
    </xf>
    <xf numFmtId="0" fontId="0" fillId="0" borderId="14" xfId="0" applyFont="1" applyBorder="1" applyAlignment="1">
      <alignment horizontal="center" vertical="center" wrapText="1"/>
    </xf>
    <xf numFmtId="0" fontId="0" fillId="0" borderId="50" xfId="0" applyFont="1" applyBorder="1" applyAlignment="1">
      <alignment horizontal="center" vertical="center" wrapText="1"/>
    </xf>
    <xf numFmtId="0" fontId="0" fillId="0" borderId="52" xfId="0" applyFont="1" applyBorder="1" applyAlignment="1">
      <alignment horizontal="center" vertical="center" wrapText="1"/>
    </xf>
    <xf numFmtId="0" fontId="146" fillId="0" borderId="60" xfId="0" applyFont="1" applyBorder="1" applyAlignment="1">
      <alignment horizontal="center" vertical="center" wrapText="1"/>
    </xf>
    <xf numFmtId="0" fontId="146" fillId="0" borderId="28" xfId="0" applyFont="1" applyBorder="1" applyAlignment="1">
      <alignment horizontal="center" vertical="center" wrapText="1"/>
    </xf>
    <xf numFmtId="0" fontId="146" fillId="0" borderId="61" xfId="0" applyFont="1" applyBorder="1" applyAlignment="1">
      <alignment horizontal="center" vertical="center" wrapText="1"/>
    </xf>
    <xf numFmtId="0" fontId="146" fillId="0" borderId="49" xfId="0" applyFont="1" applyBorder="1" applyAlignment="1">
      <alignment horizontal="center" vertical="center"/>
    </xf>
    <xf numFmtId="0" fontId="146" fillId="0" borderId="51" xfId="0" applyFont="1" applyBorder="1" applyAlignment="1">
      <alignment horizontal="center" vertical="center"/>
    </xf>
    <xf numFmtId="0" fontId="146" fillId="0" borderId="53" xfId="0" applyFont="1" applyBorder="1" applyAlignment="1">
      <alignment horizontal="center" vertical="center"/>
    </xf>
    <xf numFmtId="0" fontId="0" fillId="0" borderId="16" xfId="0" applyFont="1" applyBorder="1" applyAlignment="1">
      <alignment horizontal="center" vertical="center" wrapText="1"/>
    </xf>
    <xf numFmtId="0" fontId="0" fillId="0" borderId="18" xfId="0" applyFont="1" applyBorder="1" applyAlignment="1">
      <alignment horizontal="center" vertical="center" wrapText="1"/>
    </xf>
    <xf numFmtId="0" fontId="0" fillId="0" borderId="19" xfId="0" applyFont="1" applyBorder="1" applyAlignment="1">
      <alignment horizontal="center" vertical="center" wrapText="1"/>
    </xf>
    <xf numFmtId="0" fontId="0" fillId="0" borderId="54" xfId="0" applyBorder="1" applyAlignment="1">
      <alignment horizontal="center" vertical="center"/>
    </xf>
    <xf numFmtId="0" fontId="0" fillId="0" borderId="48" xfId="0" applyBorder="1" applyAlignment="1">
      <alignment horizontal="center" vertical="center"/>
    </xf>
    <xf numFmtId="0" fontId="0" fillId="0" borderId="55" xfId="0" applyBorder="1" applyAlignment="1">
      <alignment horizontal="center" vertical="center"/>
    </xf>
    <xf numFmtId="0" fontId="105" fillId="28" borderId="31" xfId="0" applyFont="1" applyFill="1" applyBorder="1" applyAlignment="1">
      <alignment horizontal="center" vertical="center"/>
    </xf>
    <xf numFmtId="0" fontId="146" fillId="0" borderId="17" xfId="0" applyFont="1" applyBorder="1" applyAlignment="1">
      <alignment horizontal="center" vertical="center" wrapText="1"/>
    </xf>
    <xf numFmtId="0" fontId="146" fillId="0" borderId="2" xfId="0" applyFont="1" applyBorder="1" applyAlignment="1">
      <alignment horizontal="center" vertical="center" wrapText="1"/>
    </xf>
    <xf numFmtId="0" fontId="146" fillId="0" borderId="20" xfId="0" applyFont="1" applyBorder="1" applyAlignment="1">
      <alignment horizontal="center" vertical="center" wrapText="1"/>
    </xf>
    <xf numFmtId="0" fontId="116" fillId="0" borderId="2" xfId="0" applyFont="1" applyBorder="1" applyAlignment="1">
      <alignment horizontal="center" vertical="center"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146" fillId="0" borderId="17" xfId="0" applyFont="1" applyBorder="1" applyAlignment="1">
      <alignment horizontal="center" vertical="center"/>
    </xf>
    <xf numFmtId="0" fontId="146" fillId="0" borderId="2" xfId="0" applyFont="1" applyBorder="1" applyAlignment="1">
      <alignment horizontal="center" vertical="center"/>
    </xf>
    <xf numFmtId="0" fontId="146" fillId="0" borderId="20" xfId="0" applyFont="1" applyBorder="1" applyAlignment="1">
      <alignment horizontal="center" vertical="center"/>
    </xf>
    <xf numFmtId="0" fontId="105" fillId="0" borderId="27" xfId="0" applyFont="1" applyFill="1" applyBorder="1" applyAlignment="1">
      <alignment horizontal="center" vertical="center"/>
    </xf>
    <xf numFmtId="181" fontId="117" fillId="0" borderId="2" xfId="0" applyNumberFormat="1" applyFont="1" applyBorder="1" applyAlignment="1">
      <alignment horizontal="center" vertical="center" wrapText="1"/>
    </xf>
    <xf numFmtId="0" fontId="105" fillId="0" borderId="2" xfId="0" applyFont="1" applyFill="1" applyBorder="1" applyAlignment="1">
      <alignment horizontal="center" vertical="center"/>
    </xf>
    <xf numFmtId="0" fontId="112" fillId="0" borderId="2" xfId="0" applyFont="1" applyBorder="1" applyAlignment="1">
      <alignment horizontal="center" vertical="center" wrapText="1"/>
    </xf>
    <xf numFmtId="0" fontId="118" fillId="0" borderId="2" xfId="0" applyFont="1" applyBorder="1" applyAlignment="1">
      <alignment horizontal="center" vertical="center" wrapText="1"/>
    </xf>
    <xf numFmtId="0" fontId="117" fillId="0" borderId="11" xfId="0" applyFont="1" applyBorder="1" applyAlignment="1">
      <alignment horizontal="center" vertical="center" wrapText="1"/>
    </xf>
    <xf numFmtId="0" fontId="117" fillId="0" borderId="13" xfId="0" applyFont="1" applyBorder="1" applyAlignment="1">
      <alignment horizontal="center" vertical="center" wrapText="1"/>
    </xf>
    <xf numFmtId="0" fontId="118" fillId="0" borderId="11" xfId="0" applyFont="1" applyBorder="1" applyAlignment="1">
      <alignment horizontal="center" vertical="center" wrapText="1"/>
    </xf>
    <xf numFmtId="0" fontId="118" fillId="0" borderId="13" xfId="0" applyFont="1" applyBorder="1" applyAlignment="1">
      <alignment horizontal="center" vertical="center" wrapText="1"/>
    </xf>
    <xf numFmtId="0" fontId="0" fillId="0" borderId="2" xfId="0" applyBorder="1" applyAlignment="1">
      <alignment horizontal="right" vertical="center"/>
    </xf>
    <xf numFmtId="0" fontId="119" fillId="0" borderId="0" xfId="0" applyFont="1" applyAlignment="1">
      <alignment horizontal="left" vertical="center" wrapText="1"/>
    </xf>
    <xf numFmtId="0" fontId="0" fillId="0" borderId="30" xfId="0" applyBorder="1" applyAlignment="1">
      <alignment horizontal="center" vertical="center"/>
    </xf>
    <xf numFmtId="0" fontId="120" fillId="0" borderId="0" xfId="0" applyFont="1" applyFill="1" applyAlignment="1">
      <alignment horizontal="center" vertical="center" wrapText="1"/>
    </xf>
    <xf numFmtId="1" fontId="11" fillId="0" borderId="11" xfId="480" applyNumberFormat="1" applyFont="1" applyFill="1" applyBorder="1" applyAlignment="1">
      <alignment horizontal="center" vertical="center" wrapText="1"/>
    </xf>
    <xf numFmtId="1" fontId="11" fillId="0" borderId="12" xfId="480" applyNumberFormat="1" applyFont="1" applyFill="1" applyBorder="1" applyAlignment="1">
      <alignment horizontal="center" vertical="center" wrapText="1"/>
    </xf>
    <xf numFmtId="0" fontId="4" fillId="0" borderId="11" xfId="0"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22" fillId="0" borderId="11" xfId="0" applyFont="1" applyFill="1" applyBorder="1" applyAlignment="1">
      <alignment horizontal="center" vertical="center"/>
    </xf>
    <xf numFmtId="0" fontId="22" fillId="0" borderId="12" xfId="0" applyFont="1" applyFill="1" applyBorder="1" applyAlignment="1">
      <alignment horizontal="center" vertical="center"/>
    </xf>
    <xf numFmtId="0" fontId="135" fillId="0" borderId="2" xfId="0" applyFont="1" applyFill="1" applyBorder="1" applyAlignment="1">
      <alignment horizontal="center" vertical="center" wrapText="1"/>
    </xf>
    <xf numFmtId="0" fontId="136" fillId="0" borderId="2" xfId="0" applyFont="1" applyFill="1" applyBorder="1" applyAlignment="1">
      <alignment horizontal="center" vertical="center" wrapText="1"/>
    </xf>
    <xf numFmtId="0" fontId="17" fillId="0" borderId="29" xfId="0" applyFont="1" applyFill="1" applyBorder="1" applyAlignment="1">
      <alignment horizontal="center" vertical="center"/>
    </xf>
    <xf numFmtId="0" fontId="17" fillId="0" borderId="32" xfId="0" applyFont="1" applyFill="1" applyBorder="1" applyAlignment="1">
      <alignment horizontal="center" vertical="center"/>
    </xf>
    <xf numFmtId="0" fontId="17" fillId="0" borderId="36" xfId="0" applyFont="1" applyFill="1" applyBorder="1" applyAlignment="1">
      <alignment horizontal="center" vertical="center"/>
    </xf>
    <xf numFmtId="0" fontId="17" fillId="0" borderId="35" xfId="0" applyFont="1" applyFill="1" applyBorder="1" applyAlignment="1">
      <alignment horizontal="center" vertical="center"/>
    </xf>
    <xf numFmtId="0" fontId="17" fillId="0" borderId="33" xfId="0" applyFont="1" applyFill="1" applyBorder="1" applyAlignment="1">
      <alignment horizontal="center" vertical="center"/>
    </xf>
    <xf numFmtId="0" fontId="17" fillId="0" borderId="34" xfId="0" applyFont="1" applyFill="1" applyBorder="1" applyAlignment="1">
      <alignment horizontal="center" vertical="center"/>
    </xf>
    <xf numFmtId="0" fontId="17" fillId="0" borderId="26" xfId="0" applyFont="1" applyFill="1" applyBorder="1" applyAlignment="1">
      <alignment horizontal="center" vertical="center"/>
    </xf>
    <xf numFmtId="0" fontId="17" fillId="0" borderId="28" xfId="0" applyFont="1" applyFill="1" applyBorder="1" applyAlignment="1">
      <alignment horizontal="center" vertical="center"/>
    </xf>
    <xf numFmtId="0" fontId="17" fillId="0" borderId="27"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11" xfId="0" applyFont="1" applyFill="1" applyBorder="1" applyAlignment="1">
      <alignment horizontal="center"/>
    </xf>
    <xf numFmtId="0" fontId="17" fillId="0" borderId="12" xfId="0" applyFont="1" applyFill="1" applyBorder="1" applyAlignment="1">
      <alignment horizontal="center"/>
    </xf>
    <xf numFmtId="0" fontId="17" fillId="0" borderId="13" xfId="0" applyFont="1" applyFill="1" applyBorder="1" applyAlignment="1">
      <alignment horizontal="center"/>
    </xf>
    <xf numFmtId="0" fontId="135" fillId="0" borderId="1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26" xfId="0" applyFont="1" applyFill="1" applyBorder="1" applyAlignment="1">
      <alignment horizontal="center" vertical="center" wrapText="1" readingOrder="1"/>
    </xf>
    <xf numFmtId="0" fontId="17" fillId="0" borderId="28" xfId="0" applyFont="1" applyFill="1" applyBorder="1" applyAlignment="1">
      <alignment horizontal="center" vertical="center" wrapText="1" readingOrder="1"/>
    </xf>
    <xf numFmtId="0" fontId="17" fillId="0" borderId="27" xfId="0" applyFont="1" applyFill="1" applyBorder="1" applyAlignment="1">
      <alignment horizontal="center" vertical="center" wrapText="1" readingOrder="1"/>
    </xf>
    <xf numFmtId="0" fontId="135" fillId="0" borderId="11" xfId="0" applyFont="1" applyFill="1" applyBorder="1" applyAlignment="1">
      <alignment horizontal="center" vertical="center" textRotation="255" wrapText="1"/>
    </xf>
    <xf numFmtId="0" fontId="135" fillId="0" borderId="2" xfId="0" applyFont="1" applyFill="1" applyBorder="1" applyAlignment="1">
      <alignment horizontal="center" vertical="center" textRotation="255" wrapText="1"/>
    </xf>
    <xf numFmtId="0" fontId="17" fillId="0" borderId="2" xfId="0" applyFont="1" applyFill="1" applyBorder="1" applyAlignment="1">
      <alignment horizontal="center" vertical="center" textRotation="255" wrapText="1"/>
    </xf>
    <xf numFmtId="0" fontId="17" fillId="0" borderId="11" xfId="0" applyFont="1" applyFill="1" applyBorder="1" applyAlignment="1">
      <alignment horizontal="center" wrapText="1"/>
    </xf>
    <xf numFmtId="0" fontId="17" fillId="0" borderId="13" xfId="0" applyFont="1" applyFill="1" applyBorder="1" applyAlignment="1">
      <alignment horizontal="center" wrapText="1"/>
    </xf>
    <xf numFmtId="184" fontId="135" fillId="0" borderId="2" xfId="0" applyNumberFormat="1" applyFont="1" applyFill="1" applyBorder="1" applyAlignment="1">
      <alignment horizontal="center" vertical="center" wrapText="1"/>
    </xf>
    <xf numFmtId="0" fontId="137" fillId="32" borderId="2" xfId="0" applyNumberFormat="1" applyFont="1" applyFill="1" applyBorder="1" applyAlignment="1">
      <alignment horizontal="center" vertical="center" wrapText="1"/>
    </xf>
    <xf numFmtId="0" fontId="135" fillId="0" borderId="2" xfId="0" applyFont="1" applyFill="1" applyBorder="1" applyAlignment="1">
      <alignment horizontal="left" vertical="top" wrapText="1"/>
    </xf>
    <xf numFmtId="184" fontId="17" fillId="0" borderId="2" xfId="0" applyNumberFormat="1" applyFont="1" applyFill="1" applyBorder="1" applyAlignment="1">
      <alignment horizontal="center"/>
    </xf>
    <xf numFmtId="0" fontId="140" fillId="0" borderId="2" xfId="0" applyFont="1" applyFill="1" applyBorder="1" applyAlignment="1">
      <alignment horizontal="center" vertical="center" wrapText="1"/>
    </xf>
    <xf numFmtId="184" fontId="140" fillId="0" borderId="11" xfId="0" applyNumberFormat="1" applyFont="1" applyFill="1" applyBorder="1" applyAlignment="1">
      <alignment horizontal="center" vertical="center" wrapText="1"/>
    </xf>
    <xf numFmtId="184" fontId="140" fillId="0" borderId="12" xfId="0" applyNumberFormat="1" applyFont="1" applyFill="1" applyBorder="1" applyAlignment="1">
      <alignment horizontal="center" vertical="center" wrapText="1"/>
    </xf>
    <xf numFmtId="184" fontId="140" fillId="0" borderId="13" xfId="0" applyNumberFormat="1" applyFont="1" applyFill="1" applyBorder="1" applyAlignment="1">
      <alignment horizontal="center" vertical="center" wrapText="1"/>
    </xf>
    <xf numFmtId="184" fontId="16" fillId="0" borderId="2" xfId="0" applyNumberFormat="1" applyFont="1" applyFill="1" applyBorder="1" applyAlignment="1">
      <alignment horizontal="center" vertical="center"/>
    </xf>
    <xf numFmtId="0" fontId="16" fillId="0" borderId="2" xfId="0" applyFont="1" applyFill="1" applyBorder="1" applyAlignment="1">
      <alignment horizontal="center" vertical="center" wrapText="1"/>
    </xf>
    <xf numFmtId="182" fontId="17" fillId="0" borderId="2" xfId="0" applyNumberFormat="1" applyFont="1" applyFill="1" applyBorder="1" applyAlignment="1">
      <alignment horizontal="center" vertical="center"/>
    </xf>
    <xf numFmtId="0" fontId="16" fillId="0" borderId="12" xfId="0" applyFont="1" applyFill="1" applyBorder="1" applyAlignment="1">
      <alignment horizontal="center" vertical="center" wrapText="1"/>
    </xf>
    <xf numFmtId="0" fontId="16" fillId="0" borderId="13" xfId="0" applyFont="1" applyFill="1" applyBorder="1" applyAlignment="1">
      <alignment horizontal="center" vertical="center" wrapText="1"/>
    </xf>
    <xf numFmtId="182" fontId="17" fillId="0" borderId="2" xfId="0" applyNumberFormat="1" applyFont="1" applyFill="1" applyBorder="1" applyAlignment="1">
      <alignment horizontal="center"/>
    </xf>
    <xf numFmtId="0" fontId="3" fillId="0" borderId="11" xfId="721" applyFont="1" applyBorder="1" applyAlignment="1" applyProtection="1">
      <alignment horizontal="center"/>
      <protection hidden="1"/>
    </xf>
    <xf numFmtId="0" fontId="3" fillId="0" borderId="13" xfId="721" applyFont="1" applyBorder="1" applyAlignment="1" applyProtection="1">
      <alignment horizontal="center"/>
      <protection hidden="1"/>
    </xf>
    <xf numFmtId="0" fontId="4" fillId="16" borderId="11" xfId="1542" applyFont="1" applyFill="1" applyBorder="1" applyAlignment="1">
      <alignment horizontal="center"/>
    </xf>
    <xf numFmtId="0" fontId="4" fillId="16" borderId="12" xfId="1542" applyFont="1" applyFill="1" applyBorder="1" applyAlignment="1">
      <alignment horizontal="center"/>
    </xf>
    <xf numFmtId="0" fontId="4" fillId="16" borderId="13" xfId="1542" applyFont="1" applyFill="1" applyBorder="1" applyAlignment="1">
      <alignment horizontal="center"/>
    </xf>
    <xf numFmtId="0" fontId="4" fillId="0" borderId="11" xfId="1542" applyFont="1" applyBorder="1" applyAlignment="1">
      <alignment horizontal="center"/>
    </xf>
    <xf numFmtId="0" fontId="4" fillId="0" borderId="12" xfId="1542" applyFont="1" applyBorder="1" applyAlignment="1">
      <alignment horizontal="center"/>
    </xf>
    <xf numFmtId="0" fontId="4" fillId="0" borderId="13" xfId="1542" applyFont="1" applyBorder="1" applyAlignment="1">
      <alignment horizontal="center"/>
    </xf>
    <xf numFmtId="0" fontId="4" fillId="0" borderId="2" xfId="1542" applyFont="1" applyBorder="1" applyAlignment="1">
      <alignment horizontal="center"/>
    </xf>
    <xf numFmtId="180" fontId="3" fillId="0" borderId="11" xfId="721" applyNumberFormat="1" applyFont="1" applyBorder="1" applyAlignment="1" applyProtection="1">
      <alignment horizontal="center"/>
      <protection hidden="1"/>
    </xf>
    <xf numFmtId="180" fontId="3" fillId="0" borderId="13" xfId="721" applyNumberFormat="1" applyFont="1" applyBorder="1" applyAlignment="1" applyProtection="1">
      <alignment horizontal="center"/>
      <protection hidden="1"/>
    </xf>
    <xf numFmtId="9" fontId="12" fillId="0" borderId="11" xfId="721" applyNumberFormat="1" applyFont="1" applyBorder="1" applyAlignment="1" applyProtection="1">
      <alignment horizontal="center"/>
      <protection hidden="1"/>
    </xf>
    <xf numFmtId="9" fontId="12" fillId="0" borderId="13" xfId="721" applyNumberFormat="1" applyFont="1" applyBorder="1" applyAlignment="1" applyProtection="1">
      <alignment horizontal="center"/>
      <protection hidden="1"/>
    </xf>
    <xf numFmtId="0" fontId="11" fillId="6" borderId="11" xfId="1542" applyFont="1" applyFill="1" applyBorder="1" applyAlignment="1">
      <alignment horizontal="left"/>
    </xf>
    <xf numFmtId="0" fontId="11" fillId="6" borderId="12" xfId="1542" applyFont="1" applyFill="1" applyBorder="1" applyAlignment="1">
      <alignment horizontal="left"/>
    </xf>
    <xf numFmtId="0" fontId="11" fillId="6" borderId="13" xfId="1542" applyFont="1" applyFill="1" applyBorder="1" applyAlignment="1">
      <alignment horizontal="left"/>
    </xf>
    <xf numFmtId="0" fontId="13" fillId="6" borderId="2" xfId="1542" applyFont="1" applyFill="1" applyBorder="1" applyAlignment="1">
      <alignment horizontal="center"/>
    </xf>
    <xf numFmtId="0" fontId="13" fillId="6" borderId="11" xfId="1542" applyFont="1" applyFill="1" applyBorder="1" applyAlignment="1">
      <alignment horizontal="center"/>
    </xf>
    <xf numFmtId="0" fontId="13" fillId="6" borderId="13" xfId="1542" applyFont="1" applyFill="1" applyBorder="1" applyAlignment="1">
      <alignment horizontal="center"/>
    </xf>
    <xf numFmtId="180" fontId="4" fillId="0" borderId="11" xfId="721" applyNumberFormat="1" applyFont="1" applyBorder="1" applyAlignment="1" applyProtection="1">
      <alignment horizontal="center"/>
      <protection hidden="1"/>
    </xf>
    <xf numFmtId="180" fontId="4" fillId="0" borderId="12" xfId="721" applyNumberFormat="1" applyFont="1" applyBorder="1" applyAlignment="1" applyProtection="1">
      <alignment horizontal="center"/>
      <protection hidden="1"/>
    </xf>
    <xf numFmtId="180" fontId="4" fillId="0" borderId="13" xfId="721" applyNumberFormat="1" applyFont="1" applyBorder="1" applyAlignment="1" applyProtection="1">
      <alignment horizontal="center"/>
      <protection hidden="1"/>
    </xf>
    <xf numFmtId="9" fontId="9" fillId="0" borderId="26" xfId="721" applyNumberFormat="1" applyFont="1" applyBorder="1" applyAlignment="1" applyProtection="1">
      <alignment horizontal="center" vertical="center"/>
      <protection hidden="1"/>
    </xf>
    <xf numFmtId="9" fontId="9" fillId="0" borderId="27" xfId="721" applyNumberFormat="1" applyFont="1" applyBorder="1" applyAlignment="1" applyProtection="1">
      <alignment horizontal="center" vertical="center"/>
      <protection hidden="1"/>
    </xf>
    <xf numFmtId="0" fontId="4" fillId="0" borderId="11" xfId="721" applyFont="1" applyBorder="1" applyAlignment="1" applyProtection="1">
      <alignment horizontal="center"/>
      <protection hidden="1"/>
    </xf>
    <xf numFmtId="0" fontId="4" fillId="0" borderId="13" xfId="721" applyFont="1" applyBorder="1" applyAlignment="1" applyProtection="1">
      <alignment horizontal="center"/>
      <protection hidden="1"/>
    </xf>
    <xf numFmtId="0" fontId="17" fillId="0" borderId="26" xfId="0" applyNumberFormat="1" applyFont="1" applyFill="1" applyBorder="1" applyAlignment="1" applyProtection="1">
      <alignment horizontal="center" wrapText="1"/>
    </xf>
    <xf numFmtId="0" fontId="17" fillId="0" borderId="27" xfId="0" applyNumberFormat="1" applyFont="1" applyFill="1" applyBorder="1" applyAlignment="1" applyProtection="1">
      <alignment horizontal="center" wrapText="1"/>
    </xf>
    <xf numFmtId="0" fontId="18" fillId="0" borderId="2" xfId="0" applyNumberFormat="1" applyFont="1" applyFill="1" applyBorder="1" applyAlignment="1" applyProtection="1">
      <alignment horizontal="center" vertical="center" wrapText="1"/>
    </xf>
    <xf numFmtId="0" fontId="2" fillId="0" borderId="2" xfId="611" applyFont="1" applyBorder="1" applyAlignment="1">
      <alignment horizontal="center"/>
    </xf>
    <xf numFmtId="0" fontId="3" fillId="0" borderId="2" xfId="611" applyFont="1" applyFill="1" applyBorder="1" applyAlignment="1">
      <alignment horizontal="center" vertical="center"/>
    </xf>
    <xf numFmtId="180" fontId="3" fillId="0" borderId="2" xfId="611" applyNumberFormat="1" applyFont="1" applyFill="1" applyBorder="1" applyAlignment="1">
      <alignment horizontal="center" vertical="center"/>
    </xf>
    <xf numFmtId="0" fontId="3" fillId="0" borderId="2" xfId="611" applyFont="1" applyFill="1" applyBorder="1" applyAlignment="1">
      <alignment horizontal="center" vertical="center" wrapText="1"/>
    </xf>
    <xf numFmtId="0" fontId="5" fillId="0" borderId="2" xfId="611" applyFont="1" applyBorder="1" applyAlignment="1">
      <alignment horizontal="center" vertical="center" wrapText="1"/>
    </xf>
    <xf numFmtId="0" fontId="3" fillId="0" borderId="11" xfId="611" applyFont="1" applyFill="1" applyBorder="1" applyAlignment="1">
      <alignment horizontal="center" vertical="center"/>
    </xf>
    <xf numFmtId="0" fontId="3" fillId="0" borderId="12" xfId="611" applyFont="1" applyFill="1" applyBorder="1" applyAlignment="1">
      <alignment horizontal="center" vertical="center"/>
    </xf>
    <xf numFmtId="0" fontId="3" fillId="0" borderId="13" xfId="611" applyFont="1" applyFill="1" applyBorder="1" applyAlignment="1">
      <alignment horizontal="center" vertical="center"/>
    </xf>
    <xf numFmtId="181" fontId="3" fillId="0" borderId="2" xfId="611" applyNumberFormat="1" applyFont="1" applyBorder="1" applyAlignment="1">
      <alignment horizontal="center" vertical="center"/>
    </xf>
    <xf numFmtId="0" fontId="3" fillId="0" borderId="12" xfId="611" applyFont="1" applyBorder="1" applyAlignment="1">
      <alignment horizontal="center" vertical="center"/>
    </xf>
    <xf numFmtId="0" fontId="3" fillId="0" borderId="13" xfId="611" applyFont="1" applyBorder="1" applyAlignment="1">
      <alignment horizontal="center" vertical="center"/>
    </xf>
    <xf numFmtId="0" fontId="4" fillId="0" borderId="2" xfId="611" applyFont="1" applyFill="1" applyBorder="1" applyAlignment="1">
      <alignment horizontal="center" vertical="center"/>
    </xf>
    <xf numFmtId="180" fontId="4" fillId="0" borderId="12" xfId="611" applyNumberFormat="1" applyFont="1" applyBorder="1" applyAlignment="1">
      <alignment horizontal="center" vertical="center"/>
    </xf>
    <xf numFmtId="0" fontId="4" fillId="0" borderId="12" xfId="611" applyFont="1" applyBorder="1" applyAlignment="1">
      <alignment horizontal="center" vertical="center"/>
    </xf>
    <xf numFmtId="0" fontId="4" fillId="0" borderId="13" xfId="611" applyFont="1" applyBorder="1" applyAlignment="1">
      <alignment horizontal="center" vertical="center"/>
    </xf>
    <xf numFmtId="181" fontId="3" fillId="0" borderId="12" xfId="611" applyNumberFormat="1" applyFont="1" applyBorder="1" applyAlignment="1">
      <alignment horizontal="center" vertical="center"/>
    </xf>
    <xf numFmtId="181" fontId="3" fillId="0" borderId="13" xfId="611" applyNumberFormat="1" applyFont="1" applyBorder="1" applyAlignment="1">
      <alignment horizontal="center" vertical="center"/>
    </xf>
    <xf numFmtId="0" fontId="4" fillId="0" borderId="14" xfId="611" applyFont="1" applyFill="1" applyBorder="1" applyAlignment="1">
      <alignment horizontal="center" vertical="center" wrapText="1"/>
    </xf>
    <xf numFmtId="0" fontId="4" fillId="0" borderId="15" xfId="611" applyFont="1" applyFill="1" applyBorder="1" applyAlignment="1">
      <alignment horizontal="center" vertical="center" wrapText="1"/>
    </xf>
    <xf numFmtId="0" fontId="4" fillId="0" borderId="21" xfId="611" applyFont="1" applyFill="1" applyBorder="1" applyAlignment="1">
      <alignment horizontal="center" vertical="center" wrapText="1"/>
    </xf>
    <xf numFmtId="0" fontId="6" fillId="0" borderId="2" xfId="611" applyFont="1" applyBorder="1" applyAlignment="1">
      <alignment horizontal="center" vertical="center" wrapText="1"/>
    </xf>
    <xf numFmtId="181" fontId="6" fillId="0" borderId="2" xfId="611" applyNumberFormat="1" applyFont="1" applyBorder="1" applyAlignment="1">
      <alignment horizontal="center" vertical="center" wrapText="1"/>
    </xf>
    <xf numFmtId="0" fontId="7" fillId="12" borderId="0" xfId="611" applyFont="1" applyFill="1" applyAlignment="1">
      <alignment horizontal="center"/>
    </xf>
    <xf numFmtId="9" fontId="6" fillId="0" borderId="2" xfId="611" applyNumberFormat="1" applyFont="1" applyBorder="1" applyAlignment="1">
      <alignment horizontal="center" vertical="center"/>
    </xf>
    <xf numFmtId="0" fontId="1" fillId="0" borderId="2" xfId="611" applyBorder="1" applyAlignment="1">
      <alignment horizontal="center" vertical="center"/>
    </xf>
    <xf numFmtId="180" fontId="1" fillId="0" borderId="2" xfId="611" applyNumberFormat="1" applyBorder="1" applyAlignment="1">
      <alignment horizontal="center" vertical="center"/>
    </xf>
    <xf numFmtId="0" fontId="9" fillId="0" borderId="11" xfId="611" applyFont="1" applyBorder="1" applyAlignment="1">
      <alignment horizontal="left" vertical="center" wrapText="1"/>
    </xf>
    <xf numFmtId="0" fontId="9" fillId="0" borderId="12" xfId="611" applyFont="1" applyBorder="1" applyAlignment="1">
      <alignment horizontal="left" vertical="center" wrapText="1"/>
    </xf>
    <xf numFmtId="0" fontId="9" fillId="0" borderId="24" xfId="611" applyFont="1" applyBorder="1" applyAlignment="1">
      <alignment horizontal="left" vertical="center" wrapText="1"/>
    </xf>
    <xf numFmtId="0" fontId="9" fillId="0" borderId="2" xfId="611" applyFont="1" applyBorder="1" applyAlignment="1">
      <alignment horizontal="center" vertical="center" wrapText="1"/>
    </xf>
    <xf numFmtId="0" fontId="9" fillId="0" borderId="23" xfId="611" applyFont="1" applyBorder="1" applyAlignment="1">
      <alignment horizontal="center" vertical="center" wrapText="1"/>
    </xf>
    <xf numFmtId="0" fontId="4" fillId="0" borderId="16" xfId="611" applyFont="1" applyBorder="1" applyAlignment="1">
      <alignment horizontal="center" vertical="center" wrapText="1"/>
    </xf>
    <xf numFmtId="0" fontId="4" fillId="0" borderId="17" xfId="611" applyFont="1" applyBorder="1" applyAlignment="1">
      <alignment horizontal="center" vertical="center" wrapText="1"/>
    </xf>
    <xf numFmtId="0" fontId="8" fillId="0" borderId="17" xfId="611" applyFont="1" applyBorder="1" applyAlignment="1">
      <alignment horizontal="center" vertical="center" wrapText="1"/>
    </xf>
    <xf numFmtId="0" fontId="8" fillId="0" borderId="22" xfId="611" applyFont="1" applyBorder="1" applyAlignment="1">
      <alignment horizontal="center" vertical="center" wrapText="1"/>
    </xf>
    <xf numFmtId="0" fontId="9" fillId="0" borderId="2" xfId="611" applyFont="1" applyBorder="1" applyAlignment="1">
      <alignment horizontal="left" vertical="center" wrapText="1"/>
    </xf>
    <xf numFmtId="0" fontId="9" fillId="0" borderId="23" xfId="611" applyFont="1" applyBorder="1" applyAlignment="1">
      <alignment horizontal="left" vertical="center" wrapText="1"/>
    </xf>
    <xf numFmtId="0" fontId="9" fillId="0" borderId="20" xfId="611" applyFont="1" applyBorder="1" applyAlignment="1">
      <alignment horizontal="center" vertical="center" wrapText="1"/>
    </xf>
    <xf numFmtId="0" fontId="9" fillId="0" borderId="25" xfId="611" applyFont="1" applyBorder="1" applyAlignment="1">
      <alignment horizontal="center" vertical="center" wrapText="1"/>
    </xf>
    <xf numFmtId="179" fontId="3" fillId="0" borderId="2" xfId="611" applyNumberFormat="1" applyFont="1" applyFill="1" applyBorder="1" applyAlignment="1">
      <alignment horizontal="center" vertical="center"/>
    </xf>
    <xf numFmtId="0" fontId="9" fillId="24" borderId="11" xfId="611" applyFont="1" applyFill="1" applyBorder="1" applyAlignment="1">
      <alignment horizontal="left" vertical="center" wrapText="1"/>
    </xf>
    <xf numFmtId="0" fontId="9" fillId="24" borderId="12" xfId="611" applyFont="1" applyFill="1" applyBorder="1" applyAlignment="1">
      <alignment horizontal="left" vertical="center" wrapText="1"/>
    </xf>
    <xf numFmtId="0" fontId="9" fillId="24" borderId="24" xfId="611" applyFont="1" applyFill="1" applyBorder="1" applyAlignment="1">
      <alignment horizontal="left" vertical="center" wrapText="1"/>
    </xf>
    <xf numFmtId="49" fontId="106" fillId="0" borderId="2" xfId="0" applyNumberFormat="1" applyFont="1" applyBorder="1" applyAlignment="1">
      <alignment horizontal="center" vertical="center"/>
    </xf>
    <xf numFmtId="49" fontId="4" fillId="0" borderId="2" xfId="480" applyNumberFormat="1" applyFont="1" applyFill="1" applyBorder="1" applyAlignment="1">
      <alignment horizontal="center" vertical="center" wrapText="1"/>
    </xf>
    <xf numFmtId="0" fontId="103" fillId="31" borderId="2" xfId="0" applyFont="1" applyFill="1" applyBorder="1" applyAlignment="1">
      <alignment horizontal="center" vertical="center"/>
    </xf>
    <xf numFmtId="0" fontId="103" fillId="31" borderId="2" xfId="0" applyFont="1" applyFill="1" applyBorder="1" applyAlignment="1">
      <alignment horizontal="center" vertical="center" wrapText="1"/>
    </xf>
    <xf numFmtId="0" fontId="18" fillId="0" borderId="2" xfId="0" applyFont="1" applyFill="1" applyBorder="1" applyAlignment="1">
      <alignment horizontal="left" vertical="center" wrapText="1"/>
    </xf>
    <xf numFmtId="0" fontId="18" fillId="0" borderId="2" xfId="480" applyFont="1" applyBorder="1" applyAlignment="1">
      <alignment horizontal="center" vertical="center" wrapText="1"/>
    </xf>
    <xf numFmtId="1" fontId="4" fillId="0" borderId="2" xfId="480" applyNumberFormat="1" applyFont="1" applyFill="1" applyBorder="1" applyAlignment="1">
      <alignment horizontal="center" vertical="center" wrapText="1"/>
    </xf>
    <xf numFmtId="0" fontId="17" fillId="0" borderId="2" xfId="0" applyFont="1" applyFill="1" applyBorder="1" applyAlignment="1">
      <alignment horizontal="left" vertical="center"/>
    </xf>
    <xf numFmtId="0" fontId="18" fillId="0" borderId="11" xfId="0" applyFont="1" applyFill="1" applyBorder="1" applyAlignment="1">
      <alignment horizontal="left" vertical="center"/>
    </xf>
    <xf numFmtId="0" fontId="18" fillId="0" borderId="12" xfId="0" applyFont="1" applyFill="1" applyBorder="1" applyAlignment="1">
      <alignment horizontal="left" vertical="center"/>
    </xf>
    <xf numFmtId="0" fontId="18" fillId="0" borderId="33" xfId="0" applyFont="1" applyFill="1" applyBorder="1" applyAlignment="1">
      <alignment horizontal="left" vertical="center" wrapText="1"/>
    </xf>
    <xf numFmtId="0" fontId="18" fillId="0" borderId="34" xfId="0" applyFont="1" applyFill="1" applyBorder="1" applyAlignment="1">
      <alignment horizontal="left" vertical="center" wrapText="1"/>
    </xf>
    <xf numFmtId="0" fontId="106" fillId="28" borderId="0" xfId="0" applyFont="1" applyFill="1" applyAlignment="1">
      <alignment horizontal="center" vertical="center"/>
    </xf>
    <xf numFmtId="0" fontId="18" fillId="0" borderId="2" xfId="0" applyFont="1" applyFill="1" applyBorder="1" applyAlignment="1">
      <alignment horizontal="left" vertical="center"/>
    </xf>
    <xf numFmtId="182" fontId="17" fillId="0" borderId="26" xfId="0" applyNumberFormat="1" applyFont="1" applyFill="1" applyBorder="1" applyAlignment="1">
      <alignment horizontal="center" vertical="center"/>
    </xf>
    <xf numFmtId="182" fontId="17" fillId="0" borderId="27" xfId="0" applyNumberFormat="1" applyFont="1" applyFill="1" applyBorder="1" applyAlignment="1">
      <alignment horizontal="center" vertical="center"/>
    </xf>
    <xf numFmtId="0" fontId="8" fillId="0" borderId="2" xfId="0" applyFont="1" applyBorder="1" applyAlignment="1">
      <alignment horizontal="center" vertical="center" wrapText="1"/>
    </xf>
    <xf numFmtId="0" fontId="22" fillId="0" borderId="29" xfId="0" applyFont="1" applyBorder="1" applyAlignment="1">
      <alignment horizontal="left" vertical="center"/>
    </xf>
    <xf numFmtId="0" fontId="22" fillId="0" borderId="30" xfId="0" applyFont="1" applyBorder="1" applyAlignment="1">
      <alignment horizontal="left" vertical="center"/>
    </xf>
    <xf numFmtId="0" fontId="22" fillId="0" borderId="32" xfId="0" applyFont="1" applyBorder="1" applyAlignment="1">
      <alignment horizontal="left" vertical="center"/>
    </xf>
    <xf numFmtId="0" fontId="15" fillId="0" borderId="2" xfId="0" applyFont="1" applyBorder="1" applyAlignment="1">
      <alignment horizontal="center" vertical="center"/>
    </xf>
    <xf numFmtId="0" fontId="15" fillId="0" borderId="2" xfId="0" applyFont="1" applyBorder="1" applyAlignment="1">
      <alignment horizontal="center"/>
    </xf>
    <xf numFmtId="0" fontId="23" fillId="0" borderId="2" xfId="0" applyFont="1" applyFill="1" applyBorder="1" applyAlignment="1">
      <alignment horizontal="center" vertical="center"/>
    </xf>
    <xf numFmtId="0" fontId="91" fillId="0" borderId="2" xfId="0" applyFont="1" applyFill="1" applyBorder="1" applyAlignment="1">
      <alignment horizontal="center" vertical="center"/>
    </xf>
    <xf numFmtId="0" fontId="23" fillId="5" borderId="32" xfId="0" applyFont="1" applyFill="1" applyBorder="1" applyAlignment="1">
      <alignment horizontal="center"/>
    </xf>
    <xf numFmtId="0" fontId="23" fillId="5" borderId="28" xfId="0" applyFont="1" applyFill="1" applyBorder="1" applyAlignment="1">
      <alignment horizontal="center"/>
    </xf>
    <xf numFmtId="0" fontId="23" fillId="12" borderId="2" xfId="0" applyFont="1" applyFill="1" applyBorder="1" applyAlignment="1">
      <alignment horizontal="center" vertical="center" wrapText="1"/>
    </xf>
    <xf numFmtId="0" fontId="23" fillId="0" borderId="11" xfId="0" applyFont="1" applyBorder="1" applyAlignment="1">
      <alignment horizontal="center"/>
    </xf>
    <xf numFmtId="0" fontId="23" fillId="0" borderId="13" xfId="0" applyFont="1" applyBorder="1" applyAlignment="1">
      <alignment horizontal="center"/>
    </xf>
    <xf numFmtId="0" fontId="23" fillId="0" borderId="11" xfId="0" applyFont="1" applyBorder="1" applyAlignment="1">
      <alignment horizontal="center" vertical="center"/>
    </xf>
    <xf numFmtId="0" fontId="23" fillId="0" borderId="32" xfId="0" applyFont="1" applyBorder="1" applyAlignment="1">
      <alignment horizontal="center" vertical="center"/>
    </xf>
    <xf numFmtId="0" fontId="23" fillId="0" borderId="13" xfId="0" applyFont="1" applyBorder="1" applyAlignment="1">
      <alignment horizontal="center" vertical="center"/>
    </xf>
    <xf numFmtId="0" fontId="23" fillId="0" borderId="12" xfId="0" applyFont="1" applyBorder="1" applyAlignment="1">
      <alignment horizontal="center"/>
    </xf>
    <xf numFmtId="180" fontId="23" fillId="0" borderId="2" xfId="0" applyNumberFormat="1" applyFont="1" applyBorder="1" applyAlignment="1">
      <alignment horizontal="center" vertical="center"/>
    </xf>
    <xf numFmtId="0" fontId="23" fillId="0" borderId="2" xfId="0" applyFont="1" applyBorder="1" applyAlignment="1">
      <alignment horizontal="center" vertical="center"/>
    </xf>
    <xf numFmtId="0" fontId="23" fillId="12" borderId="26" xfId="0" applyFont="1" applyFill="1" applyBorder="1" applyAlignment="1">
      <alignment horizontal="center" vertical="center" wrapText="1" readingOrder="1"/>
    </xf>
    <xf numFmtId="0" fontId="23" fillId="12" borderId="28" xfId="0" applyFont="1" applyFill="1" applyBorder="1" applyAlignment="1">
      <alignment horizontal="center" vertical="center" wrapText="1" readingOrder="1"/>
    </xf>
    <xf numFmtId="0" fontId="23" fillId="12" borderId="27" xfId="0" applyFont="1" applyFill="1" applyBorder="1" applyAlignment="1">
      <alignment horizontal="center" vertical="center" wrapText="1" readingOrder="1"/>
    </xf>
    <xf numFmtId="0" fontId="23" fillId="12" borderId="2" xfId="0" applyFont="1" applyFill="1" applyBorder="1" applyAlignment="1">
      <alignment horizontal="center" vertical="center" textRotation="255" wrapText="1"/>
    </xf>
    <xf numFmtId="182" fontId="91" fillId="0" borderId="2" xfId="0" applyNumberFormat="1" applyFont="1" applyBorder="1" applyAlignment="1">
      <alignment horizontal="center"/>
    </xf>
    <xf numFmtId="0" fontId="23" fillId="0" borderId="11" xfId="0" applyFont="1" applyFill="1" applyBorder="1" applyAlignment="1">
      <alignment horizontal="center"/>
    </xf>
    <xf numFmtId="0" fontId="23" fillId="0" borderId="13" xfId="0" applyFont="1" applyFill="1" applyBorder="1" applyAlignment="1">
      <alignment horizontal="center"/>
    </xf>
    <xf numFmtId="184" fontId="23" fillId="0" borderId="2" xfId="0" applyNumberFormat="1" applyFont="1" applyFill="1" applyBorder="1" applyAlignment="1">
      <alignment horizontal="center"/>
    </xf>
    <xf numFmtId="0" fontId="15" fillId="0" borderId="2" xfId="0" applyFont="1" applyFill="1" applyBorder="1" applyAlignment="1">
      <alignment horizontal="center"/>
    </xf>
    <xf numFmtId="184" fontId="15" fillId="0" borderId="2" xfId="0" applyNumberFormat="1" applyFont="1" applyBorder="1" applyAlignment="1">
      <alignment horizontal="center" vertical="center"/>
    </xf>
    <xf numFmtId="49" fontId="3" fillId="0" borderId="0" xfId="0" applyNumberFormat="1" applyFont="1" applyFill="1" applyBorder="1" applyAlignment="1">
      <alignment horizontal="center" vertical="center" wrapText="1"/>
    </xf>
    <xf numFmtId="0" fontId="6" fillId="20" borderId="26" xfId="0" applyFont="1" applyFill="1" applyBorder="1" applyAlignment="1">
      <alignment horizontal="center" vertical="center" wrapText="1"/>
    </xf>
    <xf numFmtId="0" fontId="6" fillId="20" borderId="27" xfId="0" applyFont="1" applyFill="1" applyBorder="1" applyAlignment="1">
      <alignment horizontal="center" vertical="center" wrapText="1"/>
    </xf>
    <xf numFmtId="0" fontId="23" fillId="5" borderId="30" xfId="0" applyFont="1" applyFill="1" applyBorder="1" applyAlignment="1">
      <alignment horizontal="center"/>
    </xf>
    <xf numFmtId="9" fontId="15" fillId="0" borderId="0" xfId="0" applyNumberFormat="1" applyFont="1" applyBorder="1" applyAlignment="1">
      <alignment horizontal="center"/>
    </xf>
    <xf numFmtId="0" fontId="15" fillId="0" borderId="0" xfId="0" applyFont="1" applyFill="1" applyAlignment="1">
      <alignment horizontal="center"/>
    </xf>
    <xf numFmtId="0" fontId="23" fillId="0" borderId="11" xfId="0" applyFont="1" applyFill="1" applyBorder="1" applyAlignment="1">
      <alignment horizontal="center" vertical="center"/>
    </xf>
    <xf numFmtId="0" fontId="23" fillId="0" borderId="13" xfId="0" applyFont="1" applyFill="1" applyBorder="1" applyAlignment="1">
      <alignment horizontal="center" vertical="center"/>
    </xf>
    <xf numFmtId="0" fontId="23" fillId="0" borderId="11" xfId="0" applyNumberFormat="1" applyFont="1" applyFill="1" applyBorder="1" applyAlignment="1">
      <alignment horizontal="center" vertical="center" wrapText="1"/>
    </xf>
    <xf numFmtId="0" fontId="23" fillId="0" borderId="13" xfId="0" applyNumberFormat="1" applyFont="1" applyFill="1" applyBorder="1" applyAlignment="1">
      <alignment horizontal="center" vertical="center" wrapText="1"/>
    </xf>
    <xf numFmtId="0" fontId="23" fillId="0" borderId="26" xfId="0" applyFont="1" applyBorder="1" applyAlignment="1">
      <alignment horizontal="center" vertical="center"/>
    </xf>
    <xf numFmtId="0" fontId="23" fillId="0" borderId="27" xfId="0" applyFont="1" applyBorder="1" applyAlignment="1">
      <alignment horizontal="center" vertical="center"/>
    </xf>
    <xf numFmtId="0" fontId="23" fillId="0" borderId="29" xfId="0" applyFont="1" applyBorder="1" applyAlignment="1">
      <alignment horizontal="center" vertical="center"/>
    </xf>
    <xf numFmtId="0" fontId="23" fillId="0" borderId="33" xfId="0" applyFont="1" applyBorder="1" applyAlignment="1">
      <alignment horizontal="center" vertical="center"/>
    </xf>
    <xf numFmtId="0" fontId="23" fillId="0" borderId="34" xfId="0" applyFont="1" applyBorder="1" applyAlignment="1">
      <alignment horizontal="center" vertical="center"/>
    </xf>
    <xf numFmtId="0" fontId="23" fillId="0" borderId="36" xfId="0" applyFont="1" applyBorder="1" applyAlignment="1">
      <alignment horizontal="center" vertical="center"/>
    </xf>
    <xf numFmtId="0" fontId="23" fillId="0" borderId="35" xfId="0" applyFont="1" applyBorder="1" applyAlignment="1">
      <alignment horizontal="center" vertical="center"/>
    </xf>
    <xf numFmtId="178" fontId="15" fillId="0" borderId="2" xfId="0" applyNumberFormat="1" applyFont="1" applyBorder="1" applyAlignment="1">
      <alignment horizontal="center" vertical="center"/>
    </xf>
    <xf numFmtId="0" fontId="21" fillId="0" borderId="0" xfId="1542" applyFont="1" applyAlignment="1">
      <alignment horizontal="left"/>
    </xf>
    <xf numFmtId="0" fontId="145" fillId="35" borderId="58" xfId="0" applyFont="1" applyFill="1" applyBorder="1" applyAlignment="1">
      <alignment horizontal="center"/>
    </xf>
    <xf numFmtId="0" fontId="145" fillId="35" borderId="59" xfId="0" applyFont="1" applyFill="1" applyBorder="1" applyAlignment="1">
      <alignment horizontal="center"/>
    </xf>
    <xf numFmtId="0" fontId="4" fillId="31" borderId="2" xfId="0" applyFont="1" applyFill="1" applyBorder="1" applyAlignment="1">
      <alignment horizontal="center" vertical="center" shrinkToFit="1"/>
    </xf>
    <xf numFmtId="0" fontId="125" fillId="31" borderId="31" xfId="0" applyFont="1" applyFill="1" applyBorder="1" applyAlignment="1">
      <alignment horizontal="center" vertical="center" wrapText="1"/>
    </xf>
    <xf numFmtId="0" fontId="3" fillId="31" borderId="2" xfId="0" applyFont="1" applyFill="1" applyBorder="1" applyAlignment="1">
      <alignment horizontal="center" vertical="center" wrapText="1"/>
    </xf>
    <xf numFmtId="0" fontId="3" fillId="31" borderId="2" xfId="0" applyFont="1" applyFill="1" applyBorder="1" applyAlignment="1">
      <alignment horizontal="center" vertical="center"/>
    </xf>
    <xf numFmtId="177" fontId="3" fillId="31" borderId="2" xfId="6" applyFont="1" applyFill="1" applyBorder="1" applyAlignment="1">
      <alignment horizontal="center" vertical="center"/>
    </xf>
    <xf numFmtId="0" fontId="3" fillId="31" borderId="2" xfId="0" applyFont="1" applyFill="1" applyBorder="1" applyAlignment="1">
      <alignment horizontal="center"/>
    </xf>
    <xf numFmtId="0" fontId="126" fillId="31" borderId="26" xfId="0" applyFont="1" applyFill="1" applyBorder="1" applyAlignment="1">
      <alignment horizontal="center" vertical="center" shrinkToFit="1"/>
    </xf>
    <xf numFmtId="0" fontId="126" fillId="31" borderId="28" xfId="0" applyFont="1" applyFill="1" applyBorder="1" applyAlignment="1">
      <alignment horizontal="center" vertical="center" shrinkToFit="1"/>
    </xf>
    <xf numFmtId="0" fontId="126" fillId="31" borderId="27" xfId="0" applyFont="1" applyFill="1" applyBorder="1" applyAlignment="1">
      <alignment horizontal="center" vertical="center" shrinkToFit="1"/>
    </xf>
    <xf numFmtId="0" fontId="126" fillId="31" borderId="2" xfId="0" applyFont="1" applyFill="1" applyBorder="1" applyAlignment="1">
      <alignment horizontal="center" vertical="center" wrapText="1" shrinkToFit="1"/>
    </xf>
    <xf numFmtId="0" fontId="4" fillId="31" borderId="2" xfId="0" applyFont="1" applyFill="1" applyBorder="1" applyAlignment="1">
      <alignment horizontal="center" vertical="center" wrapText="1"/>
    </xf>
    <xf numFmtId="0" fontId="4" fillId="28" borderId="2" xfId="0" applyFont="1" applyFill="1" applyBorder="1" applyAlignment="1">
      <alignment horizontal="center" vertical="center" wrapText="1"/>
    </xf>
  </cellXfs>
  <cellStyles count="1750">
    <cellStyle name="20% - Accent1" xfId="24"/>
    <cellStyle name="20% - Accent2" xfId="30"/>
    <cellStyle name="20% - Accent3" xfId="1"/>
    <cellStyle name="20% - Accent4" xfId="33"/>
    <cellStyle name="20% - Accent5" xfId="36"/>
    <cellStyle name="20% - Accent6" xfId="39"/>
    <cellStyle name="20% - 强调文字颜色 1" xfId="40" builtinId="30" customBuiltin="1"/>
    <cellStyle name="20% - 强调文字颜色 1 2" xfId="45"/>
    <cellStyle name="20% - 强调文字颜色 1 2 2" xfId="50"/>
    <cellStyle name="20% - 强调文字颜色 1 2 3" xfId="57"/>
    <cellStyle name="20% - 强调文字颜色 1 2 4" xfId="65"/>
    <cellStyle name="20% - 强调文字颜色 1 2 5" xfId="16"/>
    <cellStyle name="20% - 强调文字颜色 1 2 6" xfId="70"/>
    <cellStyle name="20% - 强调文字颜色 1 3" xfId="77"/>
    <cellStyle name="20% - 强调文字颜色 1 4" xfId="78"/>
    <cellStyle name="20% - 强调文字颜色 1 4 2" xfId="80"/>
    <cellStyle name="20% - 强调文字颜色 1 4 3" xfId="83"/>
    <cellStyle name="20% - 强调文字颜色 1 5" xfId="87"/>
    <cellStyle name="20% - 强调文字颜色 1 5 2" xfId="88"/>
    <cellStyle name="20% - 强调文字颜色 1 5 3" xfId="44"/>
    <cellStyle name="20% - 强调文字颜色 2" xfId="90" builtinId="34" customBuiltin="1"/>
    <cellStyle name="20% - 强调文字颜色 2 2" xfId="91"/>
    <cellStyle name="20% - 强调文字颜色 2 2 2" xfId="8"/>
    <cellStyle name="20% - 强调文字颜色 2 2 3" xfId="79"/>
    <cellStyle name="20% - 强调文字颜色 2 2 4" xfId="82"/>
    <cellStyle name="20% - 强调文字颜色 2 2 5" xfId="92"/>
    <cellStyle name="20% - 强调文字颜色 2 2 6" xfId="26"/>
    <cellStyle name="20% - 强调文字颜色 2 3" xfId="93"/>
    <cellStyle name="20% - 强调文字颜色 2 4" xfId="94"/>
    <cellStyle name="20% - 强调文字颜色 2 4 2" xfId="98"/>
    <cellStyle name="20% - 强调文字颜色 2 4 3" xfId="101"/>
    <cellStyle name="20% - 强调文字颜色 2 5" xfId="102"/>
    <cellStyle name="20% - 强调文字颜色 2 5 2" xfId="103"/>
    <cellStyle name="20% - 强调文字颜色 2 5 3" xfId="104"/>
    <cellStyle name="20% - 强调文字颜色 3" xfId="46" builtinId="38" customBuiltin="1"/>
    <cellStyle name="20% - 强调文字颜色 3 2" xfId="52"/>
    <cellStyle name="20% - 强调文字颜色 3 2 2" xfId="105"/>
    <cellStyle name="20% - 强调文字颜色 3 2 3" xfId="95"/>
    <cellStyle name="20% - 强调文字颜色 3 2 4" xfId="99"/>
    <cellStyle name="20% - 强调文字颜色 3 2 5" xfId="106"/>
    <cellStyle name="20% - 强调文字颜色 3 2 6" xfId="107"/>
    <cellStyle name="20% - 强调文字颜色 3 3" xfId="59"/>
    <cellStyle name="20% - 强调文字颜色 3 4" xfId="62"/>
    <cellStyle name="20% - 强调文字颜色 3 4 2" xfId="109"/>
    <cellStyle name="20% - 强调文字颜色 3 4 3" xfId="112"/>
    <cellStyle name="20% - 强调文字颜色 3 5" xfId="18"/>
    <cellStyle name="20% - 强调文字颜色 3 5 2" xfId="114"/>
    <cellStyle name="20% - 强调文字颜色 3 5 3" xfId="116"/>
    <cellStyle name="20% - 强调文字颜色 4" xfId="75" builtinId="42" customBuiltin="1"/>
    <cellStyle name="20% - 强调文字颜色 4 2" xfId="117"/>
    <cellStyle name="20% - 强调文字颜色 4 2 2" xfId="9"/>
    <cellStyle name="20% - 强调文字颜色 4 2 3" xfId="108"/>
    <cellStyle name="20% - 强调文字颜色 4 2 4" xfId="111"/>
    <cellStyle name="20% - 强调文字颜色 4 2 5" xfId="118"/>
    <cellStyle name="20% - 强调文字颜色 4 2 6" xfId="5"/>
    <cellStyle name="20% - 强调文字颜色 4 3" xfId="119"/>
    <cellStyle name="20% - 强调文字颜色 4 4" xfId="120"/>
    <cellStyle name="20% - 强调文字颜色 4 4 2" xfId="22"/>
    <cellStyle name="20% - 强调文字颜色 4 4 3" xfId="122"/>
    <cellStyle name="20% - 强调文字颜色 4 5" xfId="124"/>
    <cellStyle name="20% - 强调文字颜色 4 5 2" xfId="127"/>
    <cellStyle name="20% - 强调文字颜色 4 5 3" xfId="129"/>
    <cellStyle name="20% - 强调文字颜色 5" xfId="131" builtinId="46" customBuiltin="1"/>
    <cellStyle name="20% - 强调文字颜色 5 2" xfId="133"/>
    <cellStyle name="20% - 强调文字颜色 5 2 2" xfId="134"/>
    <cellStyle name="20% - 强调文字颜色 5 2 3" xfId="136"/>
    <cellStyle name="20% - 强调文字颜色 5 2 4" xfId="137"/>
    <cellStyle name="20% - 强调文字颜色 5 2 5" xfId="138"/>
    <cellStyle name="20% - 强调文字颜色 5 2 6" xfId="139"/>
    <cellStyle name="20% - 强调文字颜色 5 3" xfId="140"/>
    <cellStyle name="20% - 强调文字颜色 5 4" xfId="141"/>
    <cellStyle name="20% - 强调文字颜色 5 4 2" xfId="29"/>
    <cellStyle name="20% - 强调文字颜色 5 4 3" xfId="3"/>
    <cellStyle name="20% - 强调文字颜色 5 5" xfId="143"/>
    <cellStyle name="20% - 强调文字颜色 5 5 2" xfId="145"/>
    <cellStyle name="20% - 强调文字颜色 5 5 3" xfId="147"/>
    <cellStyle name="20% - 强调文字颜色 6" xfId="148" builtinId="50" customBuiltin="1"/>
    <cellStyle name="20% - 强调文字颜色 6 2" xfId="150"/>
    <cellStyle name="20% - 强调文字颜色 6 2 2" xfId="153"/>
    <cellStyle name="20% - 强调文字颜色 6 2 3" xfId="156"/>
    <cellStyle name="20% - 强调文字颜色 6 2 4" xfId="158"/>
    <cellStyle name="20% - 强调文字颜色 6 2 5" xfId="160"/>
    <cellStyle name="20% - 强调文字颜色 6 2 6" xfId="161"/>
    <cellStyle name="20% - 强调文字颜色 6 3" xfId="162"/>
    <cellStyle name="20% - 强调文字颜色 6 4" xfId="164"/>
    <cellStyle name="20% - 强调文字颜色 6 4 2" xfId="173"/>
    <cellStyle name="20% - 强调文字颜色 6 4 3" xfId="179"/>
    <cellStyle name="20% - 强调文字颜色 6 5" xfId="181"/>
    <cellStyle name="20% - 强调文字颜色 6 5 2" xfId="188"/>
    <cellStyle name="20% - 强调文字颜色 6 5 3" xfId="194"/>
    <cellStyle name="3232" xfId="135"/>
    <cellStyle name="40% - Accent1" xfId="196"/>
    <cellStyle name="40% - Accent2" xfId="197"/>
    <cellStyle name="40% - Accent3" xfId="198"/>
    <cellStyle name="40% - Accent4" xfId="202"/>
    <cellStyle name="40% - Accent5" xfId="207"/>
    <cellStyle name="40% - Accent6" xfId="209"/>
    <cellStyle name="40% - 强调文字颜色 1" xfId="210" builtinId="31" customBuiltin="1"/>
    <cellStyle name="40% - 强调文字颜色 1 2" xfId="212"/>
    <cellStyle name="40% - 强调文字颜色 1 2 2" xfId="216"/>
    <cellStyle name="40% - 强调文字颜色 1 2 3" xfId="217"/>
    <cellStyle name="40% - 强调文字颜色 1 2 4" xfId="218"/>
    <cellStyle name="40% - 强调文字颜色 1 2 5" xfId="219"/>
    <cellStyle name="40% - 强调文字颜色 1 2 6" xfId="222"/>
    <cellStyle name="40% - 强调文字颜色 1 3" xfId="225"/>
    <cellStyle name="40% - 强调文字颜色 1 4" xfId="232"/>
    <cellStyle name="40% - 强调文字颜色 1 4 2" xfId="235"/>
    <cellStyle name="40% - 强调文字颜色 1 4 3" xfId="236"/>
    <cellStyle name="40% - 强调文字颜色 1 5" xfId="238"/>
    <cellStyle name="40% - 强调文字颜色 1 5 2" xfId="242"/>
    <cellStyle name="40% - 强调文字颜色 1 5 3" xfId="243"/>
    <cellStyle name="40% - 强调文字颜色 2" xfId="246" builtinId="35" customBuiltin="1"/>
    <cellStyle name="40% - 强调文字颜色 2 2" xfId="56"/>
    <cellStyle name="40% - 强调文字颜色 2 2 2" xfId="249"/>
    <cellStyle name="40% - 强调文字颜色 2 2 3" xfId="250"/>
    <cellStyle name="40% - 强调文字颜色 2 2 4" xfId="251"/>
    <cellStyle name="40% - 强调文字颜色 2 2 5" xfId="252"/>
    <cellStyle name="40% - 强调文字颜色 2 2 6" xfId="254"/>
    <cellStyle name="40% - 强调文字颜色 2 3" xfId="67"/>
    <cellStyle name="40% - 强调文字颜色 2 4" xfId="14"/>
    <cellStyle name="40% - 强调文字颜色 2 4 2" xfId="256"/>
    <cellStyle name="40% - 强调文字颜色 2 4 3" xfId="259"/>
    <cellStyle name="40% - 强调文字颜色 2 5" xfId="71"/>
    <cellStyle name="40% - 强调文字颜色 2 5 2" xfId="261"/>
    <cellStyle name="40% - 强调文字颜色 2 5 3" xfId="262"/>
    <cellStyle name="40% - 强调文字颜色 3" xfId="265" builtinId="39" customBuiltin="1"/>
    <cellStyle name="40% - 强调文字颜色 3 2" xfId="267"/>
    <cellStyle name="40% - 强调文字颜色 3 2 2" xfId="269"/>
    <cellStyle name="40% - 强调文字颜色 3 2 3" xfId="270"/>
    <cellStyle name="40% - 强调文字颜色 3 2 4" xfId="272"/>
    <cellStyle name="40% - 强调文字颜色 3 2 5" xfId="273"/>
    <cellStyle name="40% - 强调文字颜色 3 2 6" xfId="274"/>
    <cellStyle name="40% - 强调文字颜色 3 3" xfId="276"/>
    <cellStyle name="40% - 强调文字颜色 3 4" xfId="278"/>
    <cellStyle name="40% - 强调文字颜色 3 4 2" xfId="282"/>
    <cellStyle name="40% - 强调文字颜色 3 4 3" xfId="285"/>
    <cellStyle name="40% - 强调文字颜色 3 5" xfId="286"/>
    <cellStyle name="40% - 强调文字颜色 3 5 2" xfId="288"/>
    <cellStyle name="40% - 强调文字颜色 3 5 3" xfId="289"/>
    <cellStyle name="40% - 强调文字颜色 4" xfId="293" builtinId="43" customBuiltin="1"/>
    <cellStyle name="40% - 强调文字颜色 4 2" xfId="84"/>
    <cellStyle name="40% - 强调文字颜色 4 2 2" xfId="295"/>
    <cellStyle name="40% - 强调文字颜色 4 2 3" xfId="299"/>
    <cellStyle name="40% - 强调文字颜色 4 2 4" xfId="302"/>
    <cellStyle name="40% - 强调文字颜色 4 2 5" xfId="303"/>
    <cellStyle name="40% - 强调文字颜色 4 2 6" xfId="306"/>
    <cellStyle name="40% - 强调文字颜色 4 3" xfId="307"/>
    <cellStyle name="40% - 强调文字颜色 4 4" xfId="152"/>
    <cellStyle name="40% - 强调文字颜色 4 4 2" xfId="311"/>
    <cellStyle name="40% - 强调文字颜色 4 4 3" xfId="312"/>
    <cellStyle name="40% - 强调文字颜色 4 5" xfId="155"/>
    <cellStyle name="40% - 强调文字颜色 4 5 2" xfId="313"/>
    <cellStyle name="40% - 强调文字颜色 4 5 3" xfId="314"/>
    <cellStyle name="40% - 强调文字颜色 5" xfId="317" builtinId="47" customBuiltin="1"/>
    <cellStyle name="40% - 强调文字颜色 5 2" xfId="42"/>
    <cellStyle name="40% - 强调文字颜色 5 2 2" xfId="182"/>
    <cellStyle name="40% - 强调文字颜色 5 2 3" xfId="318"/>
    <cellStyle name="40% - 强调文字颜色 5 2 4" xfId="320"/>
    <cellStyle name="40% - 强调文字颜色 5 2 5" xfId="322"/>
    <cellStyle name="40% - 强调文字颜色 5 2 6" xfId="325"/>
    <cellStyle name="40% - 强调文字颜色 5 3" xfId="327"/>
    <cellStyle name="40% - 强调文字颜色 5 4" xfId="330"/>
    <cellStyle name="40% - 强调文字颜色 5 4 2" xfId="332"/>
    <cellStyle name="40% - 强调文字颜色 5 4 3" xfId="335"/>
    <cellStyle name="40% - 强调文字颜色 5 5" xfId="338"/>
    <cellStyle name="40% - 强调文字颜色 5 5 2" xfId="341"/>
    <cellStyle name="40% - 强调文字颜色 5 5 3" xfId="343"/>
    <cellStyle name="40% - 强调文字颜色 6" xfId="346" builtinId="51" customBuiltin="1"/>
    <cellStyle name="40% - 强调文字颜色 6 2" xfId="347"/>
    <cellStyle name="40% - 强调文字颜色 6 2 2" xfId="352"/>
    <cellStyle name="40% - 强调文字颜色 6 2 3" xfId="353"/>
    <cellStyle name="40% - 强调文字颜色 6 2 4" xfId="354"/>
    <cellStyle name="40% - 强调文字颜色 6 2 5" xfId="355"/>
    <cellStyle name="40% - 强调文字颜色 6 2 6" xfId="358"/>
    <cellStyle name="40% - 强调文字颜色 6 3" xfId="359"/>
    <cellStyle name="40% - 强调文字颜色 6 4" xfId="168"/>
    <cellStyle name="40% - 强调文字颜色 6 4 2" xfId="364"/>
    <cellStyle name="40% - 强调文字颜色 6 4 3" xfId="365"/>
    <cellStyle name="40% - 强调文字颜色 6 5" xfId="175"/>
    <cellStyle name="40% - 强调文字颜色 6 5 2" xfId="367"/>
    <cellStyle name="40% - 强调文字颜色 6 5 3" xfId="368"/>
    <cellStyle name="60% - Accent1" xfId="369"/>
    <cellStyle name="60% - Accent2" xfId="372"/>
    <cellStyle name="60% - Accent3" xfId="373"/>
    <cellStyle name="60% - Accent4" xfId="374"/>
    <cellStyle name="60% - Accent5" xfId="376"/>
    <cellStyle name="60% - Accent6" xfId="378"/>
    <cellStyle name="60% - 强调文字颜色 1" xfId="379" builtinId="32" customBuiltin="1"/>
    <cellStyle name="60% - 强调文字颜色 1 2" xfId="63"/>
    <cellStyle name="60% - 强调文字颜色 1 2 2" xfId="110"/>
    <cellStyle name="60% - 强调文字颜色 1 2 3" xfId="113"/>
    <cellStyle name="60% - 强调文字颜色 1 2 4" xfId="380"/>
    <cellStyle name="60% - 强调文字颜色 1 2 5" xfId="381"/>
    <cellStyle name="60% - 强调文字颜色 1 2 6" xfId="382"/>
    <cellStyle name="60% - 强调文字颜色 1 3" xfId="17"/>
    <cellStyle name="60% - 强调文字颜色 1 4" xfId="384"/>
    <cellStyle name="60% - 强调文字颜色 1 4 2" xfId="386"/>
    <cellStyle name="60% - 强调文字颜色 1 4 3" xfId="390"/>
    <cellStyle name="60% - 强调文字颜色 1 5" xfId="393"/>
    <cellStyle name="60% - 强调文字颜色 1 5 2" xfId="395"/>
    <cellStyle name="60% - 强调文字颜色 1 5 3" xfId="397"/>
    <cellStyle name="60% - 强调文字颜色 2" xfId="398" builtinId="36" customBuiltin="1"/>
    <cellStyle name="60% - 强调文字颜色 2 2" xfId="121"/>
    <cellStyle name="60% - 强调文字颜色 2 2 2" xfId="21"/>
    <cellStyle name="60% - 强调文字颜色 2 2 3" xfId="123"/>
    <cellStyle name="60% - 强调文字颜色 2 2 4" xfId="399"/>
    <cellStyle name="60% - 强调文字颜色 2 2 5" xfId="400"/>
    <cellStyle name="60% - 强调文字颜色 2 2 6" xfId="401"/>
    <cellStyle name="60% - 强调文字颜色 2 3" xfId="126"/>
    <cellStyle name="60% - 强调文字颜色 2 4" xfId="402"/>
    <cellStyle name="60% - 强调文字颜色 2 4 2" xfId="403"/>
    <cellStyle name="60% - 强调文字颜色 2 4 3" xfId="405"/>
    <cellStyle name="60% - 强调文字颜色 2 5" xfId="406"/>
    <cellStyle name="60% - 强调文字颜色 2 5 2" xfId="130"/>
    <cellStyle name="60% - 强调文字颜色 2 5 3" xfId="149"/>
    <cellStyle name="60% - 强调文字颜色 3" xfId="407" builtinId="40" customBuiltin="1"/>
    <cellStyle name="60% - 强调文字颜色 3 2" xfId="142"/>
    <cellStyle name="60% - 强调文字颜色 3 2 2" xfId="28"/>
    <cellStyle name="60% - 强调文字颜色 3 2 3" xfId="4"/>
    <cellStyle name="60% - 强调文字颜色 3 2 4" xfId="32"/>
    <cellStyle name="60% - 强调文字颜色 3 2 5" xfId="35"/>
    <cellStyle name="60% - 强调文字颜色 3 2 6" xfId="38"/>
    <cellStyle name="60% - 强调文字颜色 3 3" xfId="144"/>
    <cellStyle name="60% - 强调文字颜色 3 4" xfId="408"/>
    <cellStyle name="60% - 强调文字颜色 3 4 2" xfId="409"/>
    <cellStyle name="60% - 强调文字颜色 3 4 3" xfId="410"/>
    <cellStyle name="60% - 强调文字颜色 3 5" xfId="411"/>
    <cellStyle name="60% - 强调文字颜色 3 5 2" xfId="412"/>
    <cellStyle name="60% - 强调文字颜色 3 5 3" xfId="413"/>
    <cellStyle name="60% - 强调文字颜色 4" xfId="414" builtinId="44" customBuiltin="1"/>
    <cellStyle name="60% - 强调文字颜色 4 2" xfId="165"/>
    <cellStyle name="60% - 强调文字颜色 4 2 2" xfId="169"/>
    <cellStyle name="60% - 强调文字颜色 4 2 3" xfId="176"/>
    <cellStyle name="60% - 强调文字颜色 4 2 4" xfId="415"/>
    <cellStyle name="60% - 强调文字颜色 4 2 5" xfId="419"/>
    <cellStyle name="60% - 强调文字颜色 4 2 6" xfId="420"/>
    <cellStyle name="60% - 强调文字颜色 4 3" xfId="183"/>
    <cellStyle name="60% - 强调文字颜色 4 4" xfId="319"/>
    <cellStyle name="60% - 强调文字颜色 4 4 2" xfId="201"/>
    <cellStyle name="60% - 强调文字颜色 4 4 3" xfId="205"/>
    <cellStyle name="60% - 强调文字颜色 4 5" xfId="321"/>
    <cellStyle name="60% - 强调文字颜色 4 5 2" xfId="421"/>
    <cellStyle name="60% - 强调文字颜色 4 5 3" xfId="422"/>
    <cellStyle name="60% - 强调文字颜色 5" xfId="423" builtinId="48" customBuiltin="1"/>
    <cellStyle name="60% - 强调文字颜色 5 2" xfId="425"/>
    <cellStyle name="60% - 强调文字颜色 5 2 2" xfId="426"/>
    <cellStyle name="60% - 强调文字颜色 5 2 3" xfId="428"/>
    <cellStyle name="60% - 强调文字颜色 5 2 4" xfId="429"/>
    <cellStyle name="60% - 强调文字颜色 5 2 5" xfId="430"/>
    <cellStyle name="60% - 强调文字颜色 5 2 6" xfId="433"/>
    <cellStyle name="60% - 强调文字颜色 5 3" xfId="436"/>
    <cellStyle name="60% - 强调文字颜色 5 4" xfId="437"/>
    <cellStyle name="60% - 强调文字颜色 5 4 2" xfId="438"/>
    <cellStyle name="60% - 强调文字颜色 5 4 3" xfId="441"/>
    <cellStyle name="60% - 强调文字颜色 5 5" xfId="443"/>
    <cellStyle name="60% - 强调文字颜色 5 5 2" xfId="444"/>
    <cellStyle name="60% - 强调文字颜色 5 5 3" xfId="445"/>
    <cellStyle name="60% - 强调文字颜色 6" xfId="446" builtinId="52" customBuiltin="1"/>
    <cellStyle name="60% - 强调文字颜色 6 2" xfId="448"/>
    <cellStyle name="60% - 强调文字颜色 6 2 2" xfId="449"/>
    <cellStyle name="60% - 强调文字颜色 6 2 3" xfId="452"/>
    <cellStyle name="60% - 强调文字颜色 6 2 4" xfId="151"/>
    <cellStyle name="60% - 强调文字颜色 6 2 5" xfId="163"/>
    <cellStyle name="60% - 强调文字颜色 6 2 6" xfId="166"/>
    <cellStyle name="60% - 强调文字颜色 6 3" xfId="333"/>
    <cellStyle name="60% - 强调文字颜色 6 4" xfId="336"/>
    <cellStyle name="60% - 强调文字颜色 6 4 2" xfId="453"/>
    <cellStyle name="60% - 强调文字颜色 6 4 3" xfId="454"/>
    <cellStyle name="60% - 强调文字颜色 6 5" xfId="455"/>
    <cellStyle name="60% - 强调文字颜色 6 5 2" xfId="457"/>
    <cellStyle name="60% - 强调文字颜色 6 5 3" xfId="459"/>
    <cellStyle name="Accent1" xfId="228"/>
    <cellStyle name="Accent2" xfId="233"/>
    <cellStyle name="Accent3" xfId="240"/>
    <cellStyle name="Accent4" xfId="461"/>
    <cellStyle name="Accent5" xfId="463"/>
    <cellStyle name="Accent6" xfId="464"/>
    <cellStyle name="Bad" xfId="469"/>
    <cellStyle name="Calculation" xfId="470"/>
    <cellStyle name="Change A&amp;ll" xfId="247"/>
    <cellStyle name="Change A&amp;ll 10" xfId="471"/>
    <cellStyle name="Change A&amp;ll 2" xfId="55"/>
    <cellStyle name="Change A&amp;ll 3" xfId="68"/>
    <cellStyle name="Change A&amp;ll 4" xfId="13"/>
    <cellStyle name="Change A&amp;ll 5" xfId="72"/>
    <cellStyle name="Change A&amp;ll 6" xfId="472"/>
    <cellStyle name="Change A&amp;ll 7" xfId="475"/>
    <cellStyle name="Change A&amp;ll 8" xfId="476"/>
    <cellStyle name="Change A&amp;ll 9" xfId="477"/>
    <cellStyle name="Check Cell" xfId="184"/>
    <cellStyle name="Explanatory Text" xfId="478"/>
    <cellStyle name="Good" xfId="479"/>
    <cellStyle name="Heading 1" xfId="483"/>
    <cellStyle name="Heading 2" xfId="51"/>
    <cellStyle name="Heading 3" xfId="58"/>
    <cellStyle name="Heading 4" xfId="64"/>
    <cellStyle name="Input" xfId="484"/>
    <cellStyle name="Linked Cell" xfId="296"/>
    <cellStyle name="Neutral" xfId="167"/>
    <cellStyle name="Normal_Book2" xfId="485"/>
    <cellStyle name="Note" xfId="48"/>
    <cellStyle name="Note 10" xfId="271"/>
    <cellStyle name="Note 2" xfId="487"/>
    <cellStyle name="Note 3" xfId="491"/>
    <cellStyle name="Note 4" xfId="495"/>
    <cellStyle name="Note 5" xfId="497"/>
    <cellStyle name="Note 6" xfId="500"/>
    <cellStyle name="Note 7" xfId="504"/>
    <cellStyle name="Note 8" xfId="213"/>
    <cellStyle name="Note 9" xfId="226"/>
    <cellStyle name="Output" xfId="507"/>
    <cellStyle name="Title" xfId="383"/>
    <cellStyle name="Total" xfId="245"/>
    <cellStyle name="Warning Text" xfId="342"/>
    <cellStyle name="百分比" xfId="10" builtinId="5"/>
    <cellStyle name="百分比 10" xfId="339"/>
    <cellStyle name="百分比 11" xfId="508"/>
    <cellStyle name="百分比 12" xfId="510"/>
    <cellStyle name="百分比 13" xfId="511"/>
    <cellStyle name="百分比 2" xfId="513"/>
    <cellStyle name="百分比 3" xfId="515"/>
    <cellStyle name="百分比 4" xfId="517"/>
    <cellStyle name="百分比 5" xfId="519"/>
    <cellStyle name="百分比 6" xfId="521"/>
    <cellStyle name="百分比 7" xfId="523"/>
    <cellStyle name="百分比 8" xfId="488"/>
    <cellStyle name="百分比 9" xfId="492"/>
    <cellStyle name="标题" xfId="20" builtinId="15" customBuiltin="1"/>
    <cellStyle name="标题 1" xfId="516" builtinId="16" customBuiltin="1"/>
    <cellStyle name="标题 1 2" xfId="524"/>
    <cellStyle name="标题 1 2 2" xfId="366"/>
    <cellStyle name="标题 1 2 3" xfId="526"/>
    <cellStyle name="标题 1 2 4" xfId="527"/>
    <cellStyle name="标题 1 2 5" xfId="23"/>
    <cellStyle name="标题 1 2 6" xfId="27"/>
    <cellStyle name="标题 1 3" xfId="528"/>
    <cellStyle name="标题 1 4" xfId="529"/>
    <cellStyle name="标题 1 4 2" xfId="424"/>
    <cellStyle name="标题 1 4 3" xfId="447"/>
    <cellStyle name="标题 1 5" xfId="530"/>
    <cellStyle name="标题 1 5 2" xfId="531"/>
    <cellStyle name="标题 1 5 3" xfId="533"/>
    <cellStyle name="标题 2" xfId="518" builtinId="17" customBuiltin="1"/>
    <cellStyle name="标题 2 2" xfId="534"/>
    <cellStyle name="标题 2 2 2" xfId="537"/>
    <cellStyle name="标题 2 2 3" xfId="540"/>
    <cellStyle name="标题 2 2 4" xfId="348"/>
    <cellStyle name="标题 2 2 5" xfId="360"/>
    <cellStyle name="标题 2 2 6" xfId="170"/>
    <cellStyle name="标题 2 3" xfId="541"/>
    <cellStyle name="标题 2 4" xfId="542"/>
    <cellStyle name="标题 2 4 2" xfId="543"/>
    <cellStyle name="标题 2 4 3" xfId="544"/>
    <cellStyle name="标题 2 5" xfId="545"/>
    <cellStyle name="标题 2 5 2" xfId="546"/>
    <cellStyle name="标题 2 5 3" xfId="547"/>
    <cellStyle name="标题 3" xfId="520" builtinId="18" customBuiltin="1"/>
    <cellStyle name="标题 3 2" xfId="548"/>
    <cellStyle name="标题 3 2 2" xfId="549"/>
    <cellStyle name="标题 3 2 3" xfId="551"/>
    <cellStyle name="标题 3 2 4" xfId="552"/>
    <cellStyle name="标题 3 2 5" xfId="553"/>
    <cellStyle name="标题 3 2 6" xfId="427"/>
    <cellStyle name="标题 3 3" xfId="11"/>
    <cellStyle name="标题 3 4" xfId="554"/>
    <cellStyle name="标题 3 4 2" xfId="555"/>
    <cellStyle name="标题 3 4 3" xfId="556"/>
    <cellStyle name="标题 3 5" xfId="19"/>
    <cellStyle name="标题 3 5 2" xfId="557"/>
    <cellStyle name="标题 3 5 3" xfId="558"/>
    <cellStyle name="标题 4" xfId="522" builtinId="19" customBuiltin="1"/>
    <cellStyle name="标题 4 2" xfId="432"/>
    <cellStyle name="标题 4 2 2" xfId="559"/>
    <cellStyle name="标题 4 2 3" xfId="388"/>
    <cellStyle name="标题 4 2 4" xfId="392"/>
    <cellStyle name="标题 4 2 5" xfId="561"/>
    <cellStyle name="标题 4 2 6" xfId="451"/>
    <cellStyle name="标题 4 3" xfId="435"/>
    <cellStyle name="标题 4 4" xfId="298"/>
    <cellStyle name="标题 4 4 2" xfId="563"/>
    <cellStyle name="标题 4 4 3" xfId="564"/>
    <cellStyle name="标题 4 5" xfId="301"/>
    <cellStyle name="标题 4 5 2" xfId="565"/>
    <cellStyle name="标题 4 5 3" xfId="566"/>
    <cellStyle name="标题 5" xfId="489"/>
    <cellStyle name="标题 5 2" xfId="567"/>
    <cellStyle name="标题 5 2 2" xfId="568"/>
    <cellStyle name="标题 5 2 3" xfId="404"/>
    <cellStyle name="标题 5 3" xfId="569"/>
    <cellStyle name="标题 5 3 2" xfId="76"/>
    <cellStyle name="标题 5 3 3" xfId="132"/>
    <cellStyle name="标题 5 4" xfId="211"/>
    <cellStyle name="标题 5 4 2" xfId="214"/>
    <cellStyle name="标题 5 4 3" xfId="227"/>
    <cellStyle name="标题 5 5" xfId="248"/>
    <cellStyle name="标题 5 6" xfId="266"/>
    <cellStyle name="标题 6" xfId="493"/>
    <cellStyle name="标题 6 2" xfId="571"/>
    <cellStyle name="标题 6 3" xfId="573"/>
    <cellStyle name="标题 7" xfId="496"/>
    <cellStyle name="标题 7 2" xfId="574"/>
    <cellStyle name="标题 7 3" xfId="575"/>
    <cellStyle name="标题 8" xfId="498"/>
    <cellStyle name="标题 8 2" xfId="577"/>
    <cellStyle name="标题 8 3" xfId="580"/>
    <cellStyle name="差" xfId="290" builtinId="27" customBuiltin="1"/>
    <cellStyle name="差 2" xfId="583"/>
    <cellStyle name="差 2 2" xfId="585"/>
    <cellStyle name="差 2 3" xfId="258"/>
    <cellStyle name="差 2 4" xfId="260"/>
    <cellStyle name="差 2 5" xfId="587"/>
    <cellStyle name="差 2 6" xfId="589"/>
    <cellStyle name="差 3" xfId="590"/>
    <cellStyle name="差 4" xfId="512"/>
    <cellStyle name="差 4 2" xfId="591"/>
    <cellStyle name="差 4 3" xfId="592"/>
    <cellStyle name="差 5" xfId="514"/>
    <cellStyle name="差 5 2" xfId="593"/>
    <cellStyle name="差 5 3" xfId="594"/>
    <cellStyle name="常规" xfId="0" builtinId="0"/>
    <cellStyle name="常规 10" xfId="480"/>
    <cellStyle name="常规 10 10" xfId="598"/>
    <cellStyle name="常规 10 11" xfId="603"/>
    <cellStyle name="常规 10 2" xfId="499"/>
    <cellStyle name="常规 10 2 2" xfId="576"/>
    <cellStyle name="常规 10 2 2 2" xfId="604"/>
    <cellStyle name="常规 10 2 2 3" xfId="440"/>
    <cellStyle name="常规 10 2 2 4" xfId="442"/>
    <cellStyle name="常规 10 2 2 5" xfId="606"/>
    <cellStyle name="常规 10 2 2 6" xfId="570"/>
    <cellStyle name="常规 10 2 2 7" xfId="572"/>
    <cellStyle name="常规 10 2 3" xfId="579"/>
    <cellStyle name="常规 10 2 4" xfId="607"/>
    <cellStyle name="常规 10 2 5" xfId="608"/>
    <cellStyle name="常规 10 2 6" xfId="609"/>
    <cellStyle name="常规 10 2 7" xfId="610"/>
    <cellStyle name="常规 10 3" xfId="501"/>
    <cellStyle name="常规 10 4" xfId="502"/>
    <cellStyle name="常规 10 5" xfId="215"/>
    <cellStyle name="常规 10 6" xfId="229"/>
    <cellStyle name="常规 10 7" xfId="234"/>
    <cellStyle name="常规 10 8" xfId="241"/>
    <cellStyle name="常规 10 9" xfId="462"/>
    <cellStyle name="常规 11" xfId="597"/>
    <cellStyle name="常规 11 10" xfId="294"/>
    <cellStyle name="常规 11 2" xfId="253"/>
    <cellStyle name="常规 11 2 2" xfId="611"/>
    <cellStyle name="常规 11 2 3" xfId="612"/>
    <cellStyle name="常规 11 2 4" xfId="613"/>
    <cellStyle name="常规 11 2 5" xfId="614"/>
    <cellStyle name="常规 11 3" xfId="255"/>
    <cellStyle name="常规 11 4" xfId="47"/>
    <cellStyle name="常规 11 5" xfId="54"/>
    <cellStyle name="常规 11 6" xfId="69"/>
    <cellStyle name="常规 11 7" xfId="12"/>
    <cellStyle name="常规 11 8" xfId="74"/>
    <cellStyle name="常规 11 9" xfId="474"/>
    <cellStyle name="常规 12" xfId="601"/>
    <cellStyle name="常规 12 10" xfId="615"/>
    <cellStyle name="常规 12 2" xfId="616"/>
    <cellStyle name="常规 12 3" xfId="617"/>
    <cellStyle name="常规 12 4" xfId="618"/>
    <cellStyle name="常规 12 5" xfId="268"/>
    <cellStyle name="常规 12 6" xfId="277"/>
    <cellStyle name="常规 12 7" xfId="279"/>
    <cellStyle name="常规 12 8" xfId="287"/>
    <cellStyle name="常规 12 9" xfId="619"/>
    <cellStyle name="常规 13" xfId="622"/>
    <cellStyle name="常规 13 10" xfId="525"/>
    <cellStyle name="常规 13 2" xfId="588"/>
    <cellStyle name="常规 13 3" xfId="624"/>
    <cellStyle name="常规 13 4" xfId="81"/>
    <cellStyle name="常规 13 5" xfId="86"/>
    <cellStyle name="常规 13 6" xfId="310"/>
    <cellStyle name="常规 13 7" xfId="154"/>
    <cellStyle name="常规 13 8" xfId="157"/>
    <cellStyle name="常规 13 9" xfId="159"/>
    <cellStyle name="常规 14" xfId="627"/>
    <cellStyle name="常规 14 10" xfId="275"/>
    <cellStyle name="常规 14 2" xfId="628"/>
    <cellStyle name="常规 14 3" xfId="629"/>
    <cellStyle name="常规 14 4" xfId="89"/>
    <cellStyle name="常规 14 5" xfId="41"/>
    <cellStyle name="常规 14 6" xfId="328"/>
    <cellStyle name="常规 14 7" xfId="331"/>
    <cellStyle name="常规 14 8" xfId="340"/>
    <cellStyle name="常规 14 9" xfId="509"/>
    <cellStyle name="常规 15" xfId="186"/>
    <cellStyle name="常规 15 10" xfId="630"/>
    <cellStyle name="常规 15 2" xfId="632"/>
    <cellStyle name="常规 15 3" xfId="535"/>
    <cellStyle name="常规 15 4" xfId="538"/>
    <cellStyle name="常规 15 5" xfId="351"/>
    <cellStyle name="常规 15 6" xfId="363"/>
    <cellStyle name="常规 15 7" xfId="174"/>
    <cellStyle name="常规 15 8" xfId="180"/>
    <cellStyle name="常规 15 9" xfId="418"/>
    <cellStyle name="常规 16" xfId="191"/>
    <cellStyle name="常规 16 10" xfId="634"/>
    <cellStyle name="常规 16 2" xfId="482"/>
    <cellStyle name="常规 16 3" xfId="595"/>
    <cellStyle name="常规 16 4" xfId="599"/>
    <cellStyle name="常规 16 5" xfId="620"/>
    <cellStyle name="常规 16 6" xfId="625"/>
    <cellStyle name="常规 16 7" xfId="189"/>
    <cellStyle name="常规 16 8" xfId="195"/>
    <cellStyle name="常规 16 9" xfId="639"/>
    <cellStyle name="常规 17" xfId="636"/>
    <cellStyle name="常规 17 10" xfId="505"/>
    <cellStyle name="常规 17 2" xfId="642"/>
    <cellStyle name="常规 17 2 2" xfId="644"/>
    <cellStyle name="常规 17 2 3" xfId="645"/>
    <cellStyle name="常规 17 3" xfId="646"/>
    <cellStyle name="常规 17 4" xfId="648"/>
    <cellStyle name="常规 17 5" xfId="650"/>
    <cellStyle name="常规 17 6" xfId="653"/>
    <cellStyle name="常规 17 7" xfId="656"/>
    <cellStyle name="常规 17 8" xfId="658"/>
    <cellStyle name="常规 17 9" xfId="661"/>
    <cellStyle name="常规 18" xfId="664"/>
    <cellStyle name="常规 18 10" xfId="667"/>
    <cellStyle name="常规 18 2" xfId="669"/>
    <cellStyle name="常规 18 3" xfId="671"/>
    <cellStyle name="常规 18 4" xfId="673"/>
    <cellStyle name="常规 18 5" xfId="675"/>
    <cellStyle name="常规 18 6" xfId="678"/>
    <cellStyle name="常规 18 7" xfId="683"/>
    <cellStyle name="常规 18 8" xfId="685"/>
    <cellStyle name="常规 18 9" xfId="687"/>
    <cellStyle name="常规 19" xfId="689"/>
    <cellStyle name="常规 19 10" xfId="305"/>
    <cellStyle name="常规 19 2" xfId="691"/>
    <cellStyle name="常规 19 3" xfId="693"/>
    <cellStyle name="常规 19 4" xfId="695"/>
    <cellStyle name="常规 19 5" xfId="697"/>
    <cellStyle name="常规 19 6" xfId="699"/>
    <cellStyle name="常规 19 7" xfId="701"/>
    <cellStyle name="常规 19 8" xfId="703"/>
    <cellStyle name="常规 19 9" xfId="705"/>
    <cellStyle name="常规 2" xfId="707"/>
    <cellStyle name="常规 2 10" xfId="708"/>
    <cellStyle name="常规 2 10 2" xfId="710"/>
    <cellStyle name="常规 2 10 3" xfId="711"/>
    <cellStyle name="常规 2 11" xfId="712"/>
    <cellStyle name="常规 2 11 2" xfId="714"/>
    <cellStyle name="常规 2 11 3" xfId="716"/>
    <cellStyle name="常规 2 12" xfId="718"/>
    <cellStyle name="常规 2 13" xfId="720"/>
    <cellStyle name="常规 2 14" xfId="721"/>
    <cellStyle name="常规 2 15" xfId="722"/>
    <cellStyle name="常规 2 16" xfId="723"/>
    <cellStyle name="常规 2 17" xfId="724"/>
    <cellStyle name="常规 2 2" xfId="726"/>
    <cellStyle name="常规 2 2 10" xfId="727"/>
    <cellStyle name="常规 2 2 2" xfId="728"/>
    <cellStyle name="常规 2 2 3" xfId="729"/>
    <cellStyle name="常规 2 2 4" xfId="730"/>
    <cellStyle name="常规 2 2 5" xfId="731"/>
    <cellStyle name="常规 2 2 6" xfId="732"/>
    <cellStyle name="常规 2 2 7" xfId="733"/>
    <cellStyle name="常规 2 2 8" xfId="734"/>
    <cellStyle name="常规 2 2 9" xfId="735"/>
    <cellStyle name="常规 2 3" xfId="736"/>
    <cellStyle name="常规 2 3 2" xfId="737"/>
    <cellStyle name="常规 2 3 3" xfId="738"/>
    <cellStyle name="常规 2 3 4" xfId="739"/>
    <cellStyle name="常规 2 3 5" xfId="740"/>
    <cellStyle name="常规 2 3 6" xfId="741"/>
    <cellStyle name="常规 2 3 7" xfId="742"/>
    <cellStyle name="常规 2 4" xfId="743"/>
    <cellStyle name="常规 2 4 2" xfId="744"/>
    <cellStyle name="常规 2 4 3" xfId="745"/>
    <cellStyle name="常规 2 4 4" xfId="746"/>
    <cellStyle name="常规 2 4 5" xfId="747"/>
    <cellStyle name="常规 2 4 6" xfId="748"/>
    <cellStyle name="常规 2 4 7" xfId="749"/>
    <cellStyle name="常规 2 5" xfId="750"/>
    <cellStyle name="常规 2 5 2" xfId="751"/>
    <cellStyle name="常规 2 5 3" xfId="752"/>
    <cellStyle name="常规 2 6" xfId="753"/>
    <cellStyle name="常规 2 6 2" xfId="754"/>
    <cellStyle name="常规 2 6 3" xfId="755"/>
    <cellStyle name="常规 2 7" xfId="578"/>
    <cellStyle name="常规 2 7 2" xfId="756"/>
    <cellStyle name="常规 2 7 3" xfId="757"/>
    <cellStyle name="常规 2 8" xfId="581"/>
    <cellStyle name="常规 2 8 2" xfId="758"/>
    <cellStyle name="常规 2 8 3" xfId="760"/>
    <cellStyle name="常规 2 9" xfId="762"/>
    <cellStyle name="常规 2 9 2" xfId="764"/>
    <cellStyle name="常规 2 9 3" xfId="766"/>
    <cellStyle name="常规 20" xfId="185"/>
    <cellStyle name="常规 20 10" xfId="631"/>
    <cellStyle name="常规 20 2" xfId="633"/>
    <cellStyle name="常规 20 3" xfId="536"/>
    <cellStyle name="常规 20 4" xfId="539"/>
    <cellStyle name="常规 20 5" xfId="350"/>
    <cellStyle name="常规 20 6" xfId="362"/>
    <cellStyle name="常规 20 7" xfId="172"/>
    <cellStyle name="常规 20 8" xfId="178"/>
    <cellStyle name="常规 20 9" xfId="417"/>
    <cellStyle name="常规 21" xfId="190"/>
    <cellStyle name="常规 21 10" xfId="635"/>
    <cellStyle name="常规 21 2" xfId="481"/>
    <cellStyle name="常规 21 3" xfId="596"/>
    <cellStyle name="常规 21 4" xfId="600"/>
    <cellStyle name="常规 21 5" xfId="621"/>
    <cellStyle name="常规 21 6" xfId="626"/>
    <cellStyle name="常规 21 7" xfId="187"/>
    <cellStyle name="常规 21 8" xfId="193"/>
    <cellStyle name="常规 21 9" xfId="640"/>
    <cellStyle name="常规 22" xfId="637"/>
    <cellStyle name="常规 22 10" xfId="503"/>
    <cellStyle name="常规 22 2" xfId="643"/>
    <cellStyle name="常规 22 3" xfId="647"/>
    <cellStyle name="常规 22 4" xfId="649"/>
    <cellStyle name="常规 22 5" xfId="651"/>
    <cellStyle name="常规 22 6" xfId="654"/>
    <cellStyle name="常规 22 7" xfId="657"/>
    <cellStyle name="常规 22 8" xfId="659"/>
    <cellStyle name="常规 22 9" xfId="662"/>
    <cellStyle name="常规 23" xfId="665"/>
    <cellStyle name="常规 23 10" xfId="668"/>
    <cellStyle name="常规 23 2" xfId="670"/>
    <cellStyle name="常规 23 3" xfId="672"/>
    <cellStyle name="常规 23 4" xfId="674"/>
    <cellStyle name="常规 23 5" xfId="676"/>
    <cellStyle name="常规 23 6" xfId="679"/>
    <cellStyle name="常规 23 7" xfId="684"/>
    <cellStyle name="常规 23 8" xfId="686"/>
    <cellStyle name="常规 23 9" xfId="688"/>
    <cellStyle name="常规 24" xfId="690"/>
    <cellStyle name="常规 24 10" xfId="304"/>
    <cellStyle name="常规 24 2" xfId="692"/>
    <cellStyle name="常规 24 2 2" xfId="768"/>
    <cellStyle name="常规 24 2 2 2" xfId="769"/>
    <cellStyle name="常规 24 2 2 2 2" xfId="770"/>
    <cellStyle name="常规 24 2 2 2 3" xfId="771"/>
    <cellStyle name="常规 24 2 2 3" xfId="772"/>
    <cellStyle name="常规 24 2 2 3 2" xfId="773"/>
    <cellStyle name="常规 24 2 2 3 3" xfId="774"/>
    <cellStyle name="常规 24 2 2 4" xfId="775"/>
    <cellStyle name="常规 24 2 2 5" xfId="776"/>
    <cellStyle name="常规 24 2 2 6" xfId="777"/>
    <cellStyle name="常规 24 2 3" xfId="778"/>
    <cellStyle name="常规 24 2 3 2" xfId="779"/>
    <cellStyle name="常规 24 2 3 2 2" xfId="780"/>
    <cellStyle name="常规 24 2 3 2 3" xfId="781"/>
    <cellStyle name="常规 24 2 3 3" xfId="782"/>
    <cellStyle name="常规 24 2 3 3 2" xfId="783"/>
    <cellStyle name="常规 24 2 3 3 3" xfId="784"/>
    <cellStyle name="常规 24 2 3 4" xfId="785"/>
    <cellStyle name="常规 24 2 3 5" xfId="786"/>
    <cellStyle name="常规 24 2 3 6" xfId="787"/>
    <cellStyle name="常规 24 2 4" xfId="788"/>
    <cellStyle name="常规 24 2 4 2" xfId="789"/>
    <cellStyle name="常规 24 2 4 2 2" xfId="790"/>
    <cellStyle name="常规 24 2 4 2 3" xfId="791"/>
    <cellStyle name="常规 24 2 4 3" xfId="792"/>
    <cellStyle name="常规 24 2 4 3 2" xfId="793"/>
    <cellStyle name="常规 24 2 4 3 3" xfId="794"/>
    <cellStyle name="常规 24 2 4 4" xfId="795"/>
    <cellStyle name="常规 24 2 4 5" xfId="796"/>
    <cellStyle name="常规 24 2 4 6" xfId="797"/>
    <cellStyle name="常规 24 2 5" xfId="765"/>
    <cellStyle name="常规 24 2 5 2" xfId="798"/>
    <cellStyle name="常规 24 2 5 2 2" xfId="799"/>
    <cellStyle name="常规 24 2 5 2 3" xfId="49"/>
    <cellStyle name="常规 24 2 5 3" xfId="800"/>
    <cellStyle name="常规 24 2 5 3 2" xfId="801"/>
    <cellStyle name="常规 24 2 5 3 3" xfId="802"/>
    <cellStyle name="常规 24 2 5 4" xfId="803"/>
    <cellStyle name="常规 24 2 5 5" xfId="804"/>
    <cellStyle name="常规 24 2 5 6" xfId="805"/>
    <cellStyle name="常规 24 2 6" xfId="767"/>
    <cellStyle name="常规 24 2 6 2" xfId="806"/>
    <cellStyle name="常规 24 2 6 2 2" xfId="808"/>
    <cellStyle name="常规 24 2 6 2 3" xfId="809"/>
    <cellStyle name="常规 24 2 6 3" xfId="810"/>
    <cellStyle name="常规 24 2 6 3 2" xfId="812"/>
    <cellStyle name="常规 24 2 6 3 3" xfId="813"/>
    <cellStyle name="常规 24 2 6 4" xfId="814"/>
    <cellStyle name="常规 24 2 6 5" xfId="815"/>
    <cellStyle name="常规 24 2 6 6" xfId="817"/>
    <cellStyle name="常规 24 2 7" xfId="819"/>
    <cellStyle name="常规 24 2 8" xfId="820"/>
    <cellStyle name="常规 24 3" xfId="694"/>
    <cellStyle name="常规 24 4" xfId="696"/>
    <cellStyle name="常规 24 5" xfId="698"/>
    <cellStyle name="常规 24 6" xfId="700"/>
    <cellStyle name="常规 24 7" xfId="702"/>
    <cellStyle name="常规 24 8" xfId="704"/>
    <cellStyle name="常规 24 9" xfId="706"/>
    <cellStyle name="常规 25" xfId="821"/>
    <cellStyle name="常规 25 10" xfId="823"/>
    <cellStyle name="常规 25 2" xfId="825"/>
    <cellStyle name="常规 25 3" xfId="827"/>
    <cellStyle name="常规 25 4" xfId="829"/>
    <cellStyle name="常规 25 5" xfId="831"/>
    <cellStyle name="常规 25 6" xfId="833"/>
    <cellStyle name="常规 25 7" xfId="835"/>
    <cellStyle name="常规 25 8" xfId="837"/>
    <cellStyle name="常规 25 9" xfId="839"/>
    <cellStyle name="常规 26" xfId="841"/>
    <cellStyle name="常规 26 10" xfId="843"/>
    <cellStyle name="常规 26 2" xfId="264"/>
    <cellStyle name="常规 26 3" xfId="292"/>
    <cellStyle name="常规 26 4" xfId="316"/>
    <cellStyle name="常规 26 5" xfId="345"/>
    <cellStyle name="常规 26 6" xfId="845"/>
    <cellStyle name="常规 26 7" xfId="847"/>
    <cellStyle name="常规 26 8" xfId="849"/>
    <cellStyle name="常规 26 9" xfId="851"/>
    <cellStyle name="常规 27" xfId="853"/>
    <cellStyle name="常规 27 10" xfId="855"/>
    <cellStyle name="常规 27 2" xfId="857"/>
    <cellStyle name="常规 27 3" xfId="859"/>
    <cellStyle name="常规 27 4" xfId="861"/>
    <cellStyle name="常规 27 5" xfId="863"/>
    <cellStyle name="常规 27 6" xfId="865"/>
    <cellStyle name="常规 27 7" xfId="867"/>
    <cellStyle name="常规 27 8" xfId="869"/>
    <cellStyle name="常规 27 9" xfId="871"/>
    <cellStyle name="常规 28" xfId="873"/>
    <cellStyle name="常规 28 10" xfId="875"/>
    <cellStyle name="常规 28 2" xfId="877"/>
    <cellStyle name="常规 28 3" xfId="879"/>
    <cellStyle name="常规 28 4" xfId="881"/>
    <cellStyle name="常规 28 5" xfId="883"/>
    <cellStyle name="常规 28 6" xfId="885"/>
    <cellStyle name="常规 28 7" xfId="889"/>
    <cellStyle name="常规 28 8" xfId="891"/>
    <cellStyle name="常规 28 9" xfId="893"/>
    <cellStyle name="常规 29" xfId="895"/>
    <cellStyle name="常规 29 10" xfId="324"/>
    <cellStyle name="常规 29 2" xfId="897"/>
    <cellStyle name="常规 29 3" xfId="899"/>
    <cellStyle name="常规 29 4" xfId="901"/>
    <cellStyle name="常规 29 5" xfId="903"/>
    <cellStyle name="常规 29 6" xfId="905"/>
    <cellStyle name="常规 29 7" xfId="907"/>
    <cellStyle name="常规 29 8" xfId="909"/>
    <cellStyle name="常规 29 9" xfId="911"/>
    <cellStyle name="常规 3" xfId="913"/>
    <cellStyle name="常规 3 10" xfId="915"/>
    <cellStyle name="常规 3 11" xfId="916"/>
    <cellStyle name="常规 3 2" xfId="917"/>
    <cellStyle name="常规 3 2 2" xfId="918"/>
    <cellStyle name="常规 3 2 3" xfId="919"/>
    <cellStyle name="常规 3 2 4" xfId="920"/>
    <cellStyle name="常规 3 2 5" xfId="53"/>
    <cellStyle name="常规 3 2 6" xfId="60"/>
    <cellStyle name="常规 3 2 7" xfId="61"/>
    <cellStyle name="常规 3 3" xfId="921"/>
    <cellStyle name="常规 3 4" xfId="922"/>
    <cellStyle name="常规 3 5" xfId="923"/>
    <cellStyle name="常规 3 6" xfId="924"/>
    <cellStyle name="常规 3 7" xfId="925"/>
    <cellStyle name="常规 3 8" xfId="926"/>
    <cellStyle name="常规 3 9" xfId="927"/>
    <cellStyle name="常规 30" xfId="822"/>
    <cellStyle name="常规 30 10" xfId="824"/>
    <cellStyle name="常规 30 2" xfId="826"/>
    <cellStyle name="常规 30 3" xfId="828"/>
    <cellStyle name="常规 30 4" xfId="830"/>
    <cellStyle name="常规 30 5" xfId="832"/>
    <cellStyle name="常规 30 6" xfId="834"/>
    <cellStyle name="常规 30 7" xfId="836"/>
    <cellStyle name="常规 30 8" xfId="838"/>
    <cellStyle name="常规 30 9" xfId="840"/>
    <cellStyle name="常规 31" xfId="842"/>
    <cellStyle name="常规 31 10" xfId="844"/>
    <cellStyle name="常规 31 2" xfId="263"/>
    <cellStyle name="常规 31 3" xfId="291"/>
    <cellStyle name="常规 31 4" xfId="315"/>
    <cellStyle name="常规 31 5" xfId="344"/>
    <cellStyle name="常规 31 6" xfId="846"/>
    <cellStyle name="常规 31 7" xfId="848"/>
    <cellStyle name="常规 31 8" xfId="850"/>
    <cellStyle name="常规 31 9" xfId="852"/>
    <cellStyle name="常规 32" xfId="854"/>
    <cellStyle name="常规 32 10" xfId="856"/>
    <cellStyle name="常规 32 2" xfId="858"/>
    <cellStyle name="常规 32 3" xfId="860"/>
    <cellStyle name="常规 32 4" xfId="862"/>
    <cellStyle name="常规 32 5" xfId="864"/>
    <cellStyle name="常规 32 6" xfId="866"/>
    <cellStyle name="常规 32 7" xfId="868"/>
    <cellStyle name="常规 32 8" xfId="870"/>
    <cellStyle name="常规 32 9" xfId="872"/>
    <cellStyle name="常规 33" xfId="874"/>
    <cellStyle name="常规 33 10" xfId="876"/>
    <cellStyle name="常规 33 2" xfId="878"/>
    <cellStyle name="常规 33 3" xfId="880"/>
    <cellStyle name="常规 33 4" xfId="882"/>
    <cellStyle name="常规 33 5" xfId="884"/>
    <cellStyle name="常规 33 6" xfId="886"/>
    <cellStyle name="常规 33 7" xfId="890"/>
    <cellStyle name="常规 33 8" xfId="892"/>
    <cellStyle name="常规 33 9" xfId="894"/>
    <cellStyle name="常规 34" xfId="896"/>
    <cellStyle name="常规 34 10" xfId="323"/>
    <cellStyle name="常规 34 2" xfId="898"/>
    <cellStyle name="常规 34 3" xfId="900"/>
    <cellStyle name="常规 34 4" xfId="902"/>
    <cellStyle name="常规 34 5" xfId="904"/>
    <cellStyle name="常规 34 6" xfId="906"/>
    <cellStyle name="常规 34 7" xfId="908"/>
    <cellStyle name="常规 34 8" xfId="910"/>
    <cellStyle name="常规 34 9" xfId="912"/>
    <cellStyle name="常规 35" xfId="928"/>
    <cellStyle name="常规 35 10" xfId="930"/>
    <cellStyle name="常规 35 2" xfId="932"/>
    <cellStyle name="常规 35 3" xfId="934"/>
    <cellStyle name="常规 35 4" xfId="936"/>
    <cellStyle name="常规 35 5" xfId="938"/>
    <cellStyle name="常规 35 6" xfId="940"/>
    <cellStyle name="常规 35 7" xfId="942"/>
    <cellStyle name="常规 35 8" xfId="944"/>
    <cellStyle name="常规 35 9" xfId="946"/>
    <cellStyle name="常规 36" xfId="948"/>
    <cellStyle name="常规 36 10" xfId="950"/>
    <cellStyle name="常规 36 2" xfId="953"/>
    <cellStyle name="常规 36 3" xfId="955"/>
    <cellStyle name="常规 36 4" xfId="957"/>
    <cellStyle name="常规 36 5" xfId="959"/>
    <cellStyle name="常规 36 6" xfId="961"/>
    <cellStyle name="常规 36 7" xfId="963"/>
    <cellStyle name="常规 36 8" xfId="965"/>
    <cellStyle name="常规 36 9" xfId="967"/>
    <cellStyle name="常规 37" xfId="969"/>
    <cellStyle name="常规 37 10" xfId="971"/>
    <cellStyle name="常规 37 2" xfId="221"/>
    <cellStyle name="常规 37 3" xfId="973"/>
    <cellStyle name="常规 37 4" xfId="975"/>
    <cellStyle name="常规 37 5" xfId="977"/>
    <cellStyle name="常规 37 6" xfId="979"/>
    <cellStyle name="常规 37 7" xfId="981"/>
    <cellStyle name="常规 37 8" xfId="983"/>
    <cellStyle name="常规 37 9" xfId="985"/>
    <cellStyle name="常规 38" xfId="987"/>
    <cellStyle name="常规 38 10" xfId="990"/>
    <cellStyle name="常规 38 2" xfId="993"/>
    <cellStyle name="常规 38 3" xfId="995"/>
    <cellStyle name="常规 38 4" xfId="997"/>
    <cellStyle name="常规 38 5" xfId="999"/>
    <cellStyle name="常规 38 6" xfId="1001"/>
    <cellStyle name="常规 38 7" xfId="1005"/>
    <cellStyle name="常规 38 8" xfId="1007"/>
    <cellStyle name="常规 38 9" xfId="1009"/>
    <cellStyle name="常规 39" xfId="1011"/>
    <cellStyle name="常规 39 10" xfId="357"/>
    <cellStyle name="常规 39 2" xfId="1013"/>
    <cellStyle name="常规 39 3" xfId="1015"/>
    <cellStyle name="常规 39 4" xfId="1017"/>
    <cellStyle name="常规 39 5" xfId="1019"/>
    <cellStyle name="常规 39 6" xfId="1021"/>
    <cellStyle name="常规 39 7" xfId="1023"/>
    <cellStyle name="常规 39 8" xfId="1025"/>
    <cellStyle name="常规 39 9" xfId="1027"/>
    <cellStyle name="常规 4" xfId="1029"/>
    <cellStyle name="常规 4 10" xfId="1031"/>
    <cellStyle name="常规 4 11" xfId="1032"/>
    <cellStyle name="常规 4 2" xfId="1033"/>
    <cellStyle name="常规 4 2 10" xfId="1034"/>
    <cellStyle name="常规 4 2 2" xfId="1035"/>
    <cellStyle name="常规 4 2 3" xfId="1037"/>
    <cellStyle name="常规 4 2 4" xfId="1039"/>
    <cellStyle name="常规 4 2 5" xfId="1041"/>
    <cellStyle name="常规 4 2 6" xfId="1043"/>
    <cellStyle name="常规 4 2 7" xfId="1045"/>
    <cellStyle name="常规 4 2 8" xfId="1047"/>
    <cellStyle name="常规 4 2 9" xfId="1048"/>
    <cellStyle name="常规 4 3" xfId="1049"/>
    <cellStyle name="常规 4 4" xfId="1036"/>
    <cellStyle name="常规 4 5" xfId="1038"/>
    <cellStyle name="常规 4 6" xfId="1040"/>
    <cellStyle name="常规 4 7" xfId="1042"/>
    <cellStyle name="常规 4 8" xfId="1044"/>
    <cellStyle name="常规 4 9" xfId="1046"/>
    <cellStyle name="常规 40" xfId="929"/>
    <cellStyle name="常规 40 10" xfId="931"/>
    <cellStyle name="常规 40 2" xfId="933"/>
    <cellStyle name="常规 40 3" xfId="935"/>
    <cellStyle name="常规 40 4" xfId="937"/>
    <cellStyle name="常规 40 5" xfId="939"/>
    <cellStyle name="常规 40 6" xfId="941"/>
    <cellStyle name="常规 40 7" xfId="943"/>
    <cellStyle name="常规 40 8" xfId="945"/>
    <cellStyle name="常规 40 9" xfId="947"/>
    <cellStyle name="常规 41" xfId="949"/>
    <cellStyle name="常规 41 10" xfId="951"/>
    <cellStyle name="常规 41 2" xfId="954"/>
    <cellStyle name="常规 41 3" xfId="956"/>
    <cellStyle name="常规 41 4" xfId="958"/>
    <cellStyle name="常规 41 5" xfId="960"/>
    <cellStyle name="常规 41 6" xfId="962"/>
    <cellStyle name="常规 41 7" xfId="964"/>
    <cellStyle name="常规 41 8" xfId="966"/>
    <cellStyle name="常规 41 9" xfId="968"/>
    <cellStyle name="常规 42" xfId="970"/>
    <cellStyle name="常规 42 10" xfId="972"/>
    <cellStyle name="常规 42 2" xfId="220"/>
    <cellStyle name="常规 42 3" xfId="974"/>
    <cellStyle name="常规 42 4" xfId="976"/>
    <cellStyle name="常规 42 5" xfId="978"/>
    <cellStyle name="常规 42 6" xfId="980"/>
    <cellStyle name="常规 42 7" xfId="982"/>
    <cellStyle name="常规 42 8" xfId="984"/>
    <cellStyle name="常规 42 9" xfId="986"/>
    <cellStyle name="常规 43" xfId="988"/>
    <cellStyle name="常规 43 10" xfId="991"/>
    <cellStyle name="常规 43 2" xfId="994"/>
    <cellStyle name="常规 43 3" xfId="996"/>
    <cellStyle name="常规 43 4" xfId="998"/>
    <cellStyle name="常规 43 5" xfId="1000"/>
    <cellStyle name="常规 43 6" xfId="1002"/>
    <cellStyle name="常规 43 7" xfId="1006"/>
    <cellStyle name="常规 43 8" xfId="1008"/>
    <cellStyle name="常规 43 9" xfId="1010"/>
    <cellStyle name="常规 44" xfId="1012"/>
    <cellStyle name="常规 44 10" xfId="356"/>
    <cellStyle name="常规 44 2" xfId="1014"/>
    <cellStyle name="常规 44 3" xfId="1016"/>
    <cellStyle name="常规 44 4" xfId="1018"/>
    <cellStyle name="常规 44 5" xfId="1020"/>
    <cellStyle name="常规 44 6" xfId="1022"/>
    <cellStyle name="常规 44 7" xfId="1024"/>
    <cellStyle name="常规 44 8" xfId="1026"/>
    <cellStyle name="常规 44 9" xfId="1028"/>
    <cellStyle name="常规 45" xfId="1050"/>
    <cellStyle name="常规 45 10" xfId="1052"/>
    <cellStyle name="常规 45 2" xfId="1054"/>
    <cellStyle name="常规 45 3" xfId="1056"/>
    <cellStyle name="常规 45 4" xfId="1058"/>
    <cellStyle name="常规 45 5" xfId="1060"/>
    <cellStyle name="常规 45 6" xfId="1062"/>
    <cellStyle name="常规 45 7" xfId="1064"/>
    <cellStyle name="常规 45 8" xfId="1066"/>
    <cellStyle name="常规 45 9" xfId="1068"/>
    <cellStyle name="常规 46" xfId="1070"/>
    <cellStyle name="常规 46 10" xfId="1072"/>
    <cellStyle name="常规 46 2" xfId="1074"/>
    <cellStyle name="常规 46 3" xfId="1076"/>
    <cellStyle name="常规 46 4" xfId="1078"/>
    <cellStyle name="常规 46 5" xfId="1080"/>
    <cellStyle name="常规 46 6" xfId="1082"/>
    <cellStyle name="常规 46 7" xfId="1084"/>
    <cellStyle name="常规 46 8" xfId="1086"/>
    <cellStyle name="常规 46 9" xfId="1088"/>
    <cellStyle name="常规 47" xfId="1090"/>
    <cellStyle name="常规 47 10" xfId="371"/>
    <cellStyle name="常规 47 2" xfId="1092"/>
    <cellStyle name="常规 47 3" xfId="1094"/>
    <cellStyle name="常规 47 4" xfId="1096"/>
    <cellStyle name="常规 47 5" xfId="1098"/>
    <cellStyle name="常规 47 6" xfId="1100"/>
    <cellStyle name="常规 47 7" xfId="1102"/>
    <cellStyle name="常规 47 8" xfId="1104"/>
    <cellStyle name="常规 47 9" xfId="1106"/>
    <cellStyle name="常规 48" xfId="1108"/>
    <cellStyle name="常规 48 10" xfId="1110"/>
    <cellStyle name="常规 48 2" xfId="1112"/>
    <cellStyle name="常规 48 3" xfId="1114"/>
    <cellStyle name="常规 48 4" xfId="1116"/>
    <cellStyle name="常规 48 5" xfId="1118"/>
    <cellStyle name="常规 48 6" xfId="1120"/>
    <cellStyle name="常规 48 7" xfId="1124"/>
    <cellStyle name="常规 48 8" xfId="1126"/>
    <cellStyle name="常规 48 9" xfId="1128"/>
    <cellStyle name="常规 49" xfId="1130"/>
    <cellStyle name="常规 49 10" xfId="309"/>
    <cellStyle name="常规 49 2" xfId="1132"/>
    <cellStyle name="常规 49 3" xfId="1134"/>
    <cellStyle name="常规 49 4" xfId="1136"/>
    <cellStyle name="常规 49 5" xfId="1138"/>
    <cellStyle name="常规 49 6" xfId="1140"/>
    <cellStyle name="常规 49 7" xfId="1142"/>
    <cellStyle name="常规 49 8" xfId="1144"/>
    <cellStyle name="常规 49 9" xfId="1146"/>
    <cellStyle name="常规 5" xfId="1148"/>
    <cellStyle name="常规 5 10" xfId="1149"/>
    <cellStyle name="常规 5 11" xfId="1150"/>
    <cellStyle name="常规 5 2" xfId="1151"/>
    <cellStyle name="常规 5 2 2" xfId="1152"/>
    <cellStyle name="常规 5 2 3" xfId="1153"/>
    <cellStyle name="常规 5 2 4" xfId="1154"/>
    <cellStyle name="常规 5 2 5" xfId="486"/>
    <cellStyle name="常规 5 2 6" xfId="490"/>
    <cellStyle name="常规 5 2 7" xfId="494"/>
    <cellStyle name="常规 5 3" xfId="1155"/>
    <cellStyle name="常规 5 4" xfId="1156"/>
    <cellStyle name="常规 5 5" xfId="1157"/>
    <cellStyle name="常规 5 6" xfId="1158"/>
    <cellStyle name="常规 5 7" xfId="1159"/>
    <cellStyle name="常规 5 8" xfId="1160"/>
    <cellStyle name="常规 5 9" xfId="1161"/>
    <cellStyle name="常规 50" xfId="1051"/>
    <cellStyle name="常规 50 10" xfId="1053"/>
    <cellStyle name="常规 50 2" xfId="1055"/>
    <cellStyle name="常规 50 3" xfId="1057"/>
    <cellStyle name="常规 50 4" xfId="1059"/>
    <cellStyle name="常规 50 5" xfId="1061"/>
    <cellStyle name="常规 50 6" xfId="1063"/>
    <cellStyle name="常规 50 7" xfId="1065"/>
    <cellStyle name="常规 50 8" xfId="1067"/>
    <cellStyle name="常规 50 9" xfId="1069"/>
    <cellStyle name="常规 51" xfId="1071"/>
    <cellStyle name="常规 51 10" xfId="1073"/>
    <cellStyle name="常规 51 2" xfId="1075"/>
    <cellStyle name="常规 51 3" xfId="1077"/>
    <cellStyle name="常规 51 4" xfId="1079"/>
    <cellStyle name="常规 51 5" xfId="1081"/>
    <cellStyle name="常规 51 6" xfId="1083"/>
    <cellStyle name="常规 51 7" xfId="1085"/>
    <cellStyle name="常规 51 8" xfId="1087"/>
    <cellStyle name="常规 51 9" xfId="1089"/>
    <cellStyle name="常规 52" xfId="1091"/>
    <cellStyle name="常规 52 10" xfId="370"/>
    <cellStyle name="常规 52 2" xfId="1093"/>
    <cellStyle name="常规 52 3" xfId="1095"/>
    <cellStyle name="常规 52 4" xfId="1097"/>
    <cellStyle name="常规 52 5" xfId="1099"/>
    <cellStyle name="常规 52 6" xfId="1101"/>
    <cellStyle name="常规 52 7" xfId="1103"/>
    <cellStyle name="常规 52 8" xfId="1105"/>
    <cellStyle name="常规 52 9" xfId="1107"/>
    <cellStyle name="常规 53" xfId="1109"/>
    <cellStyle name="常规 53 10" xfId="1111"/>
    <cellStyle name="常规 53 2" xfId="1113"/>
    <cellStyle name="常规 53 3" xfId="1115"/>
    <cellStyle name="常规 53 4" xfId="1117"/>
    <cellStyle name="常规 53 5" xfId="1119"/>
    <cellStyle name="常规 53 6" xfId="1121"/>
    <cellStyle name="常规 53 7" xfId="1125"/>
    <cellStyle name="常规 53 8" xfId="1127"/>
    <cellStyle name="常规 53 9" xfId="1129"/>
    <cellStyle name="常规 54" xfId="1131"/>
    <cellStyle name="常规 54 10" xfId="308"/>
    <cellStyle name="常规 54 2" xfId="1133"/>
    <cellStyle name="常规 54 3" xfId="1135"/>
    <cellStyle name="常规 54 4" xfId="1137"/>
    <cellStyle name="常规 54 5" xfId="1139"/>
    <cellStyle name="常规 54 6" xfId="1141"/>
    <cellStyle name="常规 54 7" xfId="1143"/>
    <cellStyle name="常规 54 8" xfId="1145"/>
    <cellStyle name="常规 54 9" xfId="1147"/>
    <cellStyle name="常规 55" xfId="1162"/>
    <cellStyle name="常规 55 10" xfId="680"/>
    <cellStyle name="常规 55 2" xfId="1164"/>
    <cellStyle name="常规 55 3" xfId="1166"/>
    <cellStyle name="常规 55 4" xfId="1168"/>
    <cellStyle name="常规 55 5" xfId="1170"/>
    <cellStyle name="常规 55 6" xfId="1172"/>
    <cellStyle name="常规 55 7" xfId="1174"/>
    <cellStyle name="常规 55 8" xfId="1176"/>
    <cellStyle name="常规 55 9" xfId="1178"/>
    <cellStyle name="常规 56" xfId="1180"/>
    <cellStyle name="常规 56 10" xfId="887"/>
    <cellStyle name="常规 56 2" xfId="1182"/>
    <cellStyle name="常规 56 3" xfId="1184"/>
    <cellStyle name="常规 56 4" xfId="1186"/>
    <cellStyle name="常规 56 5" xfId="1188"/>
    <cellStyle name="常规 56 6" xfId="1190"/>
    <cellStyle name="常规 56 7" xfId="1192"/>
    <cellStyle name="常规 56 8" xfId="1194"/>
    <cellStyle name="常规 56 9" xfId="1196"/>
    <cellStyle name="常规 57" xfId="1198"/>
    <cellStyle name="常规 57 10" xfId="1003"/>
    <cellStyle name="常规 57 2" xfId="1201"/>
    <cellStyle name="常规 57 3" xfId="1203"/>
    <cellStyle name="常规 57 4" xfId="1205"/>
    <cellStyle name="常规 57 5" xfId="1207"/>
    <cellStyle name="常规 57 6" xfId="1209"/>
    <cellStyle name="常规 57 7" xfId="1211"/>
    <cellStyle name="常规 57 8" xfId="1213"/>
    <cellStyle name="常规 57 9" xfId="1215"/>
    <cellStyle name="常规 58" xfId="1217"/>
    <cellStyle name="常规 58 10" xfId="1122"/>
    <cellStyle name="常规 58 2" xfId="1220"/>
    <cellStyle name="常规 58 3" xfId="1222"/>
    <cellStyle name="常规 58 4" xfId="1224"/>
    <cellStyle name="常规 58 5" xfId="1226"/>
    <cellStyle name="常规 58 6" xfId="468"/>
    <cellStyle name="常规 58 7" xfId="1228"/>
    <cellStyle name="常规 58 8" xfId="1230"/>
    <cellStyle name="常规 58 9" xfId="1232"/>
    <cellStyle name="常规 59" xfId="1234"/>
    <cellStyle name="常规 59 10" xfId="467"/>
    <cellStyle name="常规 59 2" xfId="1236"/>
    <cellStyle name="常规 59 3" xfId="1238"/>
    <cellStyle name="常规 59 4" xfId="1240"/>
    <cellStyle name="常规 59 5" xfId="1242"/>
    <cellStyle name="常规 59 6" xfId="1244"/>
    <cellStyle name="常规 59 7" xfId="1246"/>
    <cellStyle name="常规 59 8" xfId="1248"/>
    <cellStyle name="常规 59 9" xfId="1250"/>
    <cellStyle name="常规 6" xfId="1252"/>
    <cellStyle name="常规 6 10" xfId="1253"/>
    <cellStyle name="常规 6 2" xfId="1254"/>
    <cellStyle name="常规 6 3" xfId="1255"/>
    <cellStyle name="常规 6 4" xfId="1256"/>
    <cellStyle name="常规 6 5" xfId="1257"/>
    <cellStyle name="常规 6 6" xfId="1259"/>
    <cellStyle name="常规 6 7" xfId="1260"/>
    <cellStyle name="常规 6 8" xfId="1261"/>
    <cellStyle name="常规 6 9" xfId="1262"/>
    <cellStyle name="常规 60" xfId="1163"/>
    <cellStyle name="常规 60 10" xfId="681"/>
    <cellStyle name="常规 60 2" xfId="1165"/>
    <cellStyle name="常规 60 3" xfId="1167"/>
    <cellStyle name="常规 60 4" xfId="1169"/>
    <cellStyle name="常规 60 5" xfId="1171"/>
    <cellStyle name="常规 60 6" xfId="1173"/>
    <cellStyle name="常规 60 7" xfId="1175"/>
    <cellStyle name="常规 60 8" xfId="1177"/>
    <cellStyle name="常规 60 9" xfId="1179"/>
    <cellStyle name="常规 61" xfId="1181"/>
    <cellStyle name="常规 61 10" xfId="888"/>
    <cellStyle name="常规 61 2" xfId="1183"/>
    <cellStyle name="常规 61 3" xfId="1185"/>
    <cellStyle name="常规 61 4" xfId="1187"/>
    <cellStyle name="常规 61 5" xfId="1189"/>
    <cellStyle name="常规 61 6" xfId="1191"/>
    <cellStyle name="常规 61 7" xfId="1193"/>
    <cellStyle name="常规 61 8" xfId="1195"/>
    <cellStyle name="常规 61 9" xfId="1197"/>
    <cellStyle name="常规 62" xfId="1199"/>
    <cellStyle name="常规 62 10" xfId="1004"/>
    <cellStyle name="常规 62 2" xfId="1202"/>
    <cellStyle name="常规 62 3" xfId="1204"/>
    <cellStyle name="常规 62 4" xfId="1206"/>
    <cellStyle name="常规 62 5" xfId="1208"/>
    <cellStyle name="常规 62 6" xfId="1210"/>
    <cellStyle name="常规 62 7" xfId="1212"/>
    <cellStyle name="常规 62 8" xfId="1214"/>
    <cellStyle name="常规 62 9" xfId="1216"/>
    <cellStyle name="常规 63" xfId="1218"/>
    <cellStyle name="常规 63 10" xfId="1123"/>
    <cellStyle name="常规 63 2" xfId="1221"/>
    <cellStyle name="常规 63 3" xfId="1223"/>
    <cellStyle name="常规 63 4" xfId="1225"/>
    <cellStyle name="常规 63 5" xfId="1227"/>
    <cellStyle name="常规 63 6" xfId="466"/>
    <cellStyle name="常规 63 7" xfId="1229"/>
    <cellStyle name="常规 63 8" xfId="1231"/>
    <cellStyle name="常规 63 9" xfId="1233"/>
    <cellStyle name="常规 64" xfId="1235"/>
    <cellStyle name="常规 64 10" xfId="465"/>
    <cellStyle name="常规 64 2" xfId="1237"/>
    <cellStyle name="常规 64 3" xfId="1239"/>
    <cellStyle name="常规 64 4" xfId="1241"/>
    <cellStyle name="常规 64 5" xfId="1243"/>
    <cellStyle name="常规 64 6" xfId="1245"/>
    <cellStyle name="常规 64 7" xfId="1247"/>
    <cellStyle name="常规 64 8" xfId="1249"/>
    <cellStyle name="常规 64 9" xfId="1251"/>
    <cellStyle name="常规 65" xfId="200"/>
    <cellStyle name="常规 65 10" xfId="1263"/>
    <cellStyle name="常规 65 2" xfId="1267"/>
    <cellStyle name="常规 65 3" xfId="1269"/>
    <cellStyle name="常规 65 4" xfId="1271"/>
    <cellStyle name="常规 65 5" xfId="1273"/>
    <cellStyle name="常规 65 6" xfId="1275"/>
    <cellStyle name="常规 65 7" xfId="1277"/>
    <cellStyle name="常规 65 8" xfId="1279"/>
    <cellStyle name="常规 65 9" xfId="1281"/>
    <cellStyle name="常规 66" xfId="204"/>
    <cellStyle name="常规 66 10" xfId="1283"/>
    <cellStyle name="常规 66 2" xfId="1286"/>
    <cellStyle name="常规 66 3" xfId="1288"/>
    <cellStyle name="常规 66 4" xfId="1290"/>
    <cellStyle name="常规 66 5" xfId="1292"/>
    <cellStyle name="常规 66 6" xfId="1294"/>
    <cellStyle name="常规 66 7" xfId="1296"/>
    <cellStyle name="常规 66 8" xfId="1298"/>
    <cellStyle name="常规 66 9" xfId="1301"/>
    <cellStyle name="常规 67" xfId="1304"/>
    <cellStyle name="常规 67 10" xfId="1307"/>
    <cellStyle name="常规 67 2" xfId="1309"/>
    <cellStyle name="常规 67 3" xfId="1311"/>
    <cellStyle name="常规 67 4" xfId="1313"/>
    <cellStyle name="常规 67 5" xfId="1315"/>
    <cellStyle name="常规 67 6" xfId="1317"/>
    <cellStyle name="常规 67 7" xfId="1319"/>
    <cellStyle name="常规 67 8" xfId="1321"/>
    <cellStyle name="常规 67 9" xfId="1324"/>
    <cellStyle name="常规 68" xfId="1327"/>
    <cellStyle name="常规 68 10" xfId="1330"/>
    <cellStyle name="常规 68 2" xfId="1332"/>
    <cellStyle name="常规 68 3" xfId="1334"/>
    <cellStyle name="常规 68 4" xfId="1336"/>
    <cellStyle name="常规 68 5" xfId="1338"/>
    <cellStyle name="常规 68 6" xfId="1264"/>
    <cellStyle name="常规 68 7" xfId="1340"/>
    <cellStyle name="常规 68 8" xfId="1342"/>
    <cellStyle name="常规 68 9" xfId="1344"/>
    <cellStyle name="常规 69" xfId="1346"/>
    <cellStyle name="常规 69 10" xfId="1348"/>
    <cellStyle name="常规 69 2" xfId="1350"/>
    <cellStyle name="常规 69 3" xfId="1352"/>
    <cellStyle name="常规 69 4" xfId="1354"/>
    <cellStyle name="常规 69 5" xfId="1356"/>
    <cellStyle name="常规 69 6" xfId="1358"/>
    <cellStyle name="常规 69 7" xfId="1360"/>
    <cellStyle name="常规 69 8" xfId="1362"/>
    <cellStyle name="常规 69 9" xfId="1364"/>
    <cellStyle name="常规 7" xfId="1366"/>
    <cellStyle name="常规 7 10" xfId="1367"/>
    <cellStyle name="常规 7 2" xfId="1368"/>
    <cellStyle name="常规 7 2 2" xfId="816"/>
    <cellStyle name="常规 7 2 2 2" xfId="1369"/>
    <cellStyle name="常规 7 2 2 2 2" xfId="1370"/>
    <cellStyle name="常规 7 2 2 2 3" xfId="1371"/>
    <cellStyle name="常规 7 2 2 3" xfId="1372"/>
    <cellStyle name="常规 7 2 2 3 2" xfId="1373"/>
    <cellStyle name="常规 7 2 2 3 3" xfId="1374"/>
    <cellStyle name="常规 7 2 2 4" xfId="1375"/>
    <cellStyle name="常规 7 2 2 5" xfId="807"/>
    <cellStyle name="常规 7 2 2 6" xfId="811"/>
    <cellStyle name="常规 7 2 3" xfId="818"/>
    <cellStyle name="常规 7 2 3 2" xfId="1376"/>
    <cellStyle name="常规 7 2 3 2 2" xfId="1377"/>
    <cellStyle name="常规 7 2 3 2 3" xfId="1378"/>
    <cellStyle name="常规 7 2 3 3" xfId="1379"/>
    <cellStyle name="常规 7 2 3 3 2" xfId="1380"/>
    <cellStyle name="常规 7 2 3 3 3" xfId="1381"/>
    <cellStyle name="常规 7 2 3 4" xfId="1382"/>
    <cellStyle name="常规 7 2 3 5" xfId="1383"/>
    <cellStyle name="常规 7 2 3 6" xfId="1384"/>
    <cellStyle name="常规 7 2 4" xfId="1385"/>
    <cellStyle name="常规 7 2 4 2" xfId="1386"/>
    <cellStyle name="常规 7 2 4 2 2" xfId="1387"/>
    <cellStyle name="常规 7 2 4 2 3" xfId="1388"/>
    <cellStyle name="常规 7 2 4 3" xfId="1389"/>
    <cellStyle name="常规 7 2 4 3 2" xfId="1390"/>
    <cellStyle name="常规 7 2 4 3 3" xfId="1391"/>
    <cellStyle name="常规 7 2 4 4" xfId="1392"/>
    <cellStyle name="常规 7 2 4 5" xfId="1393"/>
    <cellStyle name="常规 7 2 4 6" xfId="1394"/>
    <cellStyle name="常规 7 2 5" xfId="1395"/>
    <cellStyle name="常规 7 2 5 2" xfId="1396"/>
    <cellStyle name="常规 7 2 5 2 2" xfId="1397"/>
    <cellStyle name="常规 7 2 5 2 3" xfId="1398"/>
    <cellStyle name="常规 7 2 5 3" xfId="1399"/>
    <cellStyle name="常规 7 2 5 3 2" xfId="1400"/>
    <cellStyle name="常规 7 2 5 3 3" xfId="1401"/>
    <cellStyle name="常规 7 2 5 4" xfId="1402"/>
    <cellStyle name="常规 7 2 5 5" xfId="1403"/>
    <cellStyle name="常规 7 2 5 6" xfId="1404"/>
    <cellStyle name="常规 7 2 6" xfId="1405"/>
    <cellStyle name="常规 7 2 6 2" xfId="1406"/>
    <cellStyle name="常规 7 2 6 2 2" xfId="224"/>
    <cellStyle name="常规 7 2 6 2 3" xfId="231"/>
    <cellStyle name="常规 7 2 6 3" xfId="1408"/>
    <cellStyle name="常规 7 2 6 3 2" xfId="66"/>
    <cellStyle name="常规 7 2 6 3 3" xfId="15"/>
    <cellStyle name="常规 7 2 6 4" xfId="1409"/>
    <cellStyle name="常规 7 2 6 5" xfId="1410"/>
    <cellStyle name="常规 7 2 6 6" xfId="1411"/>
    <cellStyle name="常规 7 2 7" xfId="1412"/>
    <cellStyle name="常规 7 2 8" xfId="1413"/>
    <cellStyle name="常规 7 3" xfId="1414"/>
    <cellStyle name="常规 7 3 2" xfId="1415"/>
    <cellStyle name="常规 7 3 2 2" xfId="725"/>
    <cellStyle name="常规 7 3 2 2 2" xfId="115"/>
    <cellStyle name="常规 7 3 2 2 3" xfId="7"/>
    <cellStyle name="常规 7 3 2 3" xfId="1416"/>
    <cellStyle name="常规 7 3 2 3 2" xfId="1417"/>
    <cellStyle name="常规 7 3 2 3 3" xfId="1418"/>
    <cellStyle name="常规 7 3 2 4" xfId="1419"/>
    <cellStyle name="常规 7 3 2 5" xfId="1420"/>
    <cellStyle name="常规 7 3 2 6" xfId="1421"/>
    <cellStyle name="常规 7 3 3" xfId="1422"/>
    <cellStyle name="常规 7 3 3 2" xfId="1423"/>
    <cellStyle name="常规 7 3 3 2 2" xfId="128"/>
    <cellStyle name="常规 7 3 3 2 3" xfId="1424"/>
    <cellStyle name="常规 7 3 3 3" xfId="385"/>
    <cellStyle name="常规 7 3 3 3 2" xfId="1425"/>
    <cellStyle name="常规 7 3 3 3 3" xfId="1426"/>
    <cellStyle name="常规 7 3 3 4" xfId="389"/>
    <cellStyle name="常规 7 3 3 5" xfId="1427"/>
    <cellStyle name="常规 7 3 3 6" xfId="1428"/>
    <cellStyle name="常规 7 3 4" xfId="1429"/>
    <cellStyle name="常规 7 3 4 2" xfId="1430"/>
    <cellStyle name="常规 7 3 4 2 2" xfId="146"/>
    <cellStyle name="常规 7 3 4 2 3" xfId="1431"/>
    <cellStyle name="常规 7 3 4 3" xfId="394"/>
    <cellStyle name="常规 7 3 4 3 2" xfId="1432"/>
    <cellStyle name="常规 7 3 4 3 3" xfId="1433"/>
    <cellStyle name="常规 7 3 4 4" xfId="396"/>
    <cellStyle name="常规 7 3 4 5" xfId="1434"/>
    <cellStyle name="常规 7 3 4 6" xfId="1435"/>
    <cellStyle name="常规 7 3 5" xfId="1436"/>
    <cellStyle name="常规 7 3 5 2" xfId="1437"/>
    <cellStyle name="常规 7 3 5 2 2" xfId="192"/>
    <cellStyle name="常规 7 3 5 2 3" xfId="641"/>
    <cellStyle name="常规 7 3 5 3" xfId="1438"/>
    <cellStyle name="常规 7 3 5 3 2" xfId="660"/>
    <cellStyle name="常规 7 3 5 3 3" xfId="663"/>
    <cellStyle name="常规 7 3 5 4" xfId="1439"/>
    <cellStyle name="常规 7 3 5 5" xfId="1440"/>
    <cellStyle name="常规 7 3 5 6" xfId="1441"/>
    <cellStyle name="常规 7 3 6" xfId="1442"/>
    <cellStyle name="常规 7 3 6 2" xfId="1443"/>
    <cellStyle name="常规 7 3 6 2 2" xfId="1299"/>
    <cellStyle name="常规 7 3 6 2 3" xfId="1302"/>
    <cellStyle name="常规 7 3 6 3" xfId="1444"/>
    <cellStyle name="常规 7 3 6 3 2" xfId="1322"/>
    <cellStyle name="常规 7 3 6 3 3" xfId="1325"/>
    <cellStyle name="常规 7 3 6 4" xfId="1445"/>
    <cellStyle name="常规 7 3 6 5" xfId="1446"/>
    <cellStyle name="常规 7 3 6 6" xfId="1447"/>
    <cellStyle name="常规 7 3 7" xfId="1448"/>
    <cellStyle name="常规 7 3 8" xfId="1449"/>
    <cellStyle name="常规 7 4" xfId="1450"/>
    <cellStyle name="常规 7 5" xfId="1451"/>
    <cellStyle name="常规 7 6" xfId="506"/>
    <cellStyle name="常规 7 7" xfId="1452"/>
    <cellStyle name="常规 7 8" xfId="1453"/>
    <cellStyle name="常规 7 9" xfId="1454"/>
    <cellStyle name="常规 70" xfId="199"/>
    <cellStyle name="常规 70 10" xfId="1265"/>
    <cellStyle name="常规 70 2" xfId="1268"/>
    <cellStyle name="常规 70 3" xfId="1270"/>
    <cellStyle name="常规 70 4" xfId="1272"/>
    <cellStyle name="常规 70 5" xfId="1274"/>
    <cellStyle name="常规 70 6" xfId="1276"/>
    <cellStyle name="常规 70 7" xfId="1278"/>
    <cellStyle name="常规 70 8" xfId="1280"/>
    <cellStyle name="常规 70 9" xfId="1282"/>
    <cellStyle name="常规 71" xfId="203"/>
    <cellStyle name="常规 71 10" xfId="1284"/>
    <cellStyle name="常规 71 2" xfId="1287"/>
    <cellStyle name="常规 71 3" xfId="1289"/>
    <cellStyle name="常规 71 4" xfId="1291"/>
    <cellStyle name="常规 71 5" xfId="1293"/>
    <cellStyle name="常规 71 6" xfId="1295"/>
    <cellStyle name="常规 71 7" xfId="1297"/>
    <cellStyle name="常规 71 8" xfId="1300"/>
    <cellStyle name="常规 71 9" xfId="1303"/>
    <cellStyle name="常规 72" xfId="1305"/>
    <cellStyle name="常规 72 10" xfId="1308"/>
    <cellStyle name="常规 72 2" xfId="1310"/>
    <cellStyle name="常规 72 3" xfId="1312"/>
    <cellStyle name="常规 72 4" xfId="1314"/>
    <cellStyle name="常规 72 5" xfId="1316"/>
    <cellStyle name="常规 72 6" xfId="1318"/>
    <cellStyle name="常规 72 7" xfId="1320"/>
    <cellStyle name="常规 72 8" xfId="1323"/>
    <cellStyle name="常规 72 9" xfId="1326"/>
    <cellStyle name="常规 73" xfId="1328"/>
    <cellStyle name="常规 73 10" xfId="1331"/>
    <cellStyle name="常规 73 2" xfId="1333"/>
    <cellStyle name="常规 73 3" xfId="1335"/>
    <cellStyle name="常规 73 4" xfId="1337"/>
    <cellStyle name="常规 73 5" xfId="1339"/>
    <cellStyle name="常规 73 6" xfId="1266"/>
    <cellStyle name="常规 73 7" xfId="1341"/>
    <cellStyle name="常规 73 8" xfId="1343"/>
    <cellStyle name="常规 73 9" xfId="1345"/>
    <cellStyle name="常规 74" xfId="1347"/>
    <cellStyle name="常规 74 10" xfId="1349"/>
    <cellStyle name="常规 74 2" xfId="1351"/>
    <cellStyle name="常规 74 3" xfId="1353"/>
    <cellStyle name="常规 74 4" xfId="1355"/>
    <cellStyle name="常规 74 5" xfId="1357"/>
    <cellStyle name="常规 74 6" xfId="1359"/>
    <cellStyle name="常规 74 7" xfId="1361"/>
    <cellStyle name="常规 74 8" xfId="1363"/>
    <cellStyle name="常规 74 9" xfId="1365"/>
    <cellStyle name="常规 75" xfId="281"/>
    <cellStyle name="常规 75 10" xfId="1455"/>
    <cellStyle name="常规 75 2" xfId="1456"/>
    <cellStyle name="常规 75 3" xfId="1458"/>
    <cellStyle name="常规 75 4" xfId="1460"/>
    <cellStyle name="常规 75 5" xfId="1462"/>
    <cellStyle name="常规 75 6" xfId="1464"/>
    <cellStyle name="常规 75 7" xfId="1466"/>
    <cellStyle name="常规 75 8" xfId="1468"/>
    <cellStyle name="常规 75 9" xfId="1469"/>
    <cellStyle name="常规 76" xfId="284"/>
    <cellStyle name="常规 76 10" xfId="1470"/>
    <cellStyle name="常规 76 2" xfId="1471"/>
    <cellStyle name="常规 76 3" xfId="1472"/>
    <cellStyle name="常规 76 4" xfId="1473"/>
    <cellStyle name="常规 76 5" xfId="1474"/>
    <cellStyle name="常规 76 6" xfId="1475"/>
    <cellStyle name="常规 76 7" xfId="1476"/>
    <cellStyle name="常规 76 8" xfId="1477"/>
    <cellStyle name="常规 76 9" xfId="1478"/>
    <cellStyle name="常规 77" xfId="1479"/>
    <cellStyle name="常规 77 10" xfId="989"/>
    <cellStyle name="常规 77 2" xfId="1481"/>
    <cellStyle name="常规 77 3" xfId="1482"/>
    <cellStyle name="常规 77 4" xfId="1483"/>
    <cellStyle name="常规 77 5" xfId="1485"/>
    <cellStyle name="常规 77 6" xfId="1487"/>
    <cellStyle name="常规 77 7" xfId="1489"/>
    <cellStyle name="常规 77 8" xfId="1491"/>
    <cellStyle name="常规 77 9" xfId="1493"/>
    <cellStyle name="常规 78" xfId="1494"/>
    <cellStyle name="常规 78 10" xfId="439"/>
    <cellStyle name="常规 78 2" xfId="1496"/>
    <cellStyle name="常规 78 3" xfId="1497"/>
    <cellStyle name="常规 78 4" xfId="1498"/>
    <cellStyle name="常规 78 5" xfId="1499"/>
    <cellStyle name="常规 78 6" xfId="1285"/>
    <cellStyle name="常规 78 7" xfId="1500"/>
    <cellStyle name="常规 78 8" xfId="1501"/>
    <cellStyle name="常规 78 9" xfId="1502"/>
    <cellStyle name="常规 79" xfId="1503"/>
    <cellStyle name="常规 79 10" xfId="1505"/>
    <cellStyle name="常规 79 2" xfId="1506"/>
    <cellStyle name="常规 79 3" xfId="1507"/>
    <cellStyle name="常规 79 4" xfId="1508"/>
    <cellStyle name="常规 79 5" xfId="1510"/>
    <cellStyle name="常规 79 6" xfId="1512"/>
    <cellStyle name="常规 79 7" xfId="1513"/>
    <cellStyle name="常规 79 8" xfId="1514"/>
    <cellStyle name="常规 79 9" xfId="1515"/>
    <cellStyle name="常规 8" xfId="1516"/>
    <cellStyle name="常规 8 10" xfId="1517"/>
    <cellStyle name="常规 8 11" xfId="1518"/>
    <cellStyle name="常规 8 2" xfId="1519"/>
    <cellStyle name="常规 8 2 2" xfId="1520"/>
    <cellStyle name="常规 8 2 2 2" xfId="1521"/>
    <cellStyle name="常规 8 2 2 3" xfId="1522"/>
    <cellStyle name="常规 8 2 2 4" xfId="1523"/>
    <cellStyle name="常规 8 2 2 5" xfId="1524"/>
    <cellStyle name="常规 8 2 2 6" xfId="1525"/>
    <cellStyle name="常规 8 2 2 7" xfId="1526"/>
    <cellStyle name="常规 8 2 3" xfId="1527"/>
    <cellStyle name="常规 8 2 4" xfId="1528"/>
    <cellStyle name="常规 8 2 5" xfId="1529"/>
    <cellStyle name="常规 8 2 6" xfId="1530"/>
    <cellStyle name="常规 8 2 7" xfId="1531"/>
    <cellStyle name="常规 8 3" xfId="1532"/>
    <cellStyle name="常规 8 3 2" xfId="1533"/>
    <cellStyle name="常规 8 3 3" xfId="1534"/>
    <cellStyle name="常规 8 4" xfId="1535"/>
    <cellStyle name="常规 8 5" xfId="1536"/>
    <cellStyle name="常规 8 6" xfId="1537"/>
    <cellStyle name="常规 8 7" xfId="1538"/>
    <cellStyle name="常规 8 8" xfId="244"/>
    <cellStyle name="常规 8 9" xfId="1539"/>
    <cellStyle name="常规 80" xfId="280"/>
    <cellStyle name="常规 80 2" xfId="1457"/>
    <cellStyle name="常规 80 3" xfId="1459"/>
    <cellStyle name="常规 80 4" xfId="1461"/>
    <cellStyle name="常规 80 5" xfId="1463"/>
    <cellStyle name="常规 80 6" xfId="1465"/>
    <cellStyle name="常规 80 7" xfId="1467"/>
    <cellStyle name="常规 81" xfId="283"/>
    <cellStyle name="常规 82" xfId="1480"/>
    <cellStyle name="常规 83" xfId="1495"/>
    <cellStyle name="常规 84" xfId="1504"/>
    <cellStyle name="常规 85" xfId="97"/>
    <cellStyle name="常规 86" xfId="100"/>
    <cellStyle name="常规 87" xfId="1540"/>
    <cellStyle name="常规 88" xfId="1541"/>
    <cellStyle name="常规 89" xfId="1542"/>
    <cellStyle name="常规 9" xfId="1407"/>
    <cellStyle name="常规 9 10" xfId="1543"/>
    <cellStyle name="常规 9 2" xfId="223"/>
    <cellStyle name="常规 9 3" xfId="230"/>
    <cellStyle name="常规 9 4" xfId="237"/>
    <cellStyle name="常规 9 5" xfId="1544"/>
    <cellStyle name="常规 9 6" xfId="1545"/>
    <cellStyle name="常规 9 7" xfId="1546"/>
    <cellStyle name="常规 9 8" xfId="1547"/>
    <cellStyle name="常规 9 9" xfId="1548"/>
    <cellStyle name="常规_计算表-华北大酒店B座（新）" xfId="334"/>
    <cellStyle name="超链接" xfId="1549" builtinId="8"/>
    <cellStyle name="超链接 3" xfId="1550"/>
    <cellStyle name="超链接 4" xfId="1551"/>
    <cellStyle name="超链接 5" xfId="1552"/>
    <cellStyle name="超链接 7" xfId="1553"/>
    <cellStyle name="超链接 8" xfId="1554"/>
    <cellStyle name="超链接 9" xfId="1555"/>
    <cellStyle name="好" xfId="1556" builtinId="26" customBuiltin="1"/>
    <cellStyle name="好 2" xfId="1557"/>
    <cellStyle name="好 2 2" xfId="1558"/>
    <cellStyle name="好 2 3" xfId="43"/>
    <cellStyle name="好 2 4" xfId="326"/>
    <cellStyle name="好 2 5" xfId="329"/>
    <cellStyle name="好 2 6" xfId="337"/>
    <cellStyle name="好 3" xfId="1559"/>
    <cellStyle name="好 4" xfId="1560"/>
    <cellStyle name="好 4 2" xfId="602"/>
    <cellStyle name="好 4 3" xfId="623"/>
    <cellStyle name="好 5" xfId="550"/>
    <cellStyle name="好 5 2" xfId="1200"/>
    <cellStyle name="好 5 3" xfId="1219"/>
    <cellStyle name="汇总" xfId="1561" builtinId="25" customBuiltin="1"/>
    <cellStyle name="汇总 2" xfId="1562"/>
    <cellStyle name="汇总 2 2" xfId="1563"/>
    <cellStyle name="汇总 2 3" xfId="1564"/>
    <cellStyle name="汇总 2 4" xfId="1565"/>
    <cellStyle name="汇总 2 5" xfId="1566"/>
    <cellStyle name="汇总 2 6" xfId="1567"/>
    <cellStyle name="汇总 3" xfId="1568"/>
    <cellStyle name="汇总 4" xfId="1569"/>
    <cellStyle name="汇总 4 2" xfId="1570"/>
    <cellStyle name="汇总 4 3" xfId="1571"/>
    <cellStyle name="汇总 5" xfId="1572"/>
    <cellStyle name="汇总 5 2" xfId="1573"/>
    <cellStyle name="汇总 5 3" xfId="1574"/>
    <cellStyle name="计算" xfId="1575" builtinId="22" customBuiltin="1"/>
    <cellStyle name="计算 2" xfId="1576"/>
    <cellStyle name="计算 2 2" xfId="1577"/>
    <cellStyle name="计算 2 3" xfId="1578"/>
    <cellStyle name="计算 2 4" xfId="1579"/>
    <cellStyle name="计算 2 5" xfId="1580"/>
    <cellStyle name="计算 2 6" xfId="1581"/>
    <cellStyle name="计算 3" xfId="1582"/>
    <cellStyle name="计算 4" xfId="1583"/>
    <cellStyle name="计算 4 2" xfId="952"/>
    <cellStyle name="计算 4 3" xfId="1584"/>
    <cellStyle name="计算 5" xfId="1585"/>
    <cellStyle name="计算 5 2" xfId="1586"/>
    <cellStyle name="计算 5 3" xfId="1587"/>
    <cellStyle name="检查单元格" xfId="85" builtinId="23" customBuiltin="1"/>
    <cellStyle name="检查单元格 2" xfId="1588"/>
    <cellStyle name="检查单元格 2 2" xfId="1589"/>
    <cellStyle name="检查单元格 2 3" xfId="1590"/>
    <cellStyle name="检查单元格 2 4" xfId="1591"/>
    <cellStyle name="检查单元格 2 5" xfId="1592"/>
    <cellStyle name="检查单元格 2 6" xfId="1593"/>
    <cellStyle name="检查单元格 3" xfId="1594"/>
    <cellStyle name="检查单元格 4" xfId="1595"/>
    <cellStyle name="检查单元格 4 2" xfId="1596"/>
    <cellStyle name="检查单元格 4 3" xfId="1597"/>
    <cellStyle name="检查单元格 5" xfId="1598"/>
    <cellStyle name="检查单元格 5 2" xfId="1599"/>
    <cellStyle name="检查单元格 5 3" xfId="1600"/>
    <cellStyle name="解释性文本" xfId="532" builtinId="53" customBuiltin="1"/>
    <cellStyle name="解释性文本 2" xfId="1601"/>
    <cellStyle name="解释性文本 2 2" xfId="1602"/>
    <cellStyle name="解释性文本 2 3" xfId="1603"/>
    <cellStyle name="解释性文本 2 4" xfId="1604"/>
    <cellStyle name="解释性文本 2 5" xfId="1605"/>
    <cellStyle name="解释性文本 2 6" xfId="1606"/>
    <cellStyle name="解释性文本 3" xfId="1607"/>
    <cellStyle name="解释性文本 4" xfId="1608"/>
    <cellStyle name="解释性文本 4 2" xfId="1609"/>
    <cellStyle name="解释性文本 4 3" xfId="1610"/>
    <cellStyle name="解释性文本 5" xfId="584"/>
    <cellStyle name="解释性文本 5 2" xfId="586"/>
    <cellStyle name="解释性文本 5 3" xfId="257"/>
    <cellStyle name="警告文本" xfId="1258" builtinId="11" customBuiltin="1"/>
    <cellStyle name="警告文本 2" xfId="206"/>
    <cellStyle name="警告文本 2 2" xfId="1611"/>
    <cellStyle name="警告文本 2 3" xfId="1612"/>
    <cellStyle name="警告文本 2 4" xfId="1613"/>
    <cellStyle name="警告文本 2 5" xfId="1614"/>
    <cellStyle name="警告文本 2 6" xfId="605"/>
    <cellStyle name="警告文本 3" xfId="208"/>
    <cellStyle name="警告文本 4" xfId="1615"/>
    <cellStyle name="警告文本 4 2" xfId="1616"/>
    <cellStyle name="警告文本 4 3" xfId="1617"/>
    <cellStyle name="警告文本 5" xfId="1618"/>
    <cellStyle name="警告文本 5 2" xfId="1619"/>
    <cellStyle name="警告文本 5 3" xfId="1620"/>
    <cellStyle name="链接单元格" xfId="1621" builtinId="24" customBuiltin="1"/>
    <cellStyle name="链接单元格 2" xfId="1622"/>
    <cellStyle name="链接单元格 2 2" xfId="1623"/>
    <cellStyle name="链接单元格 2 3" xfId="1624"/>
    <cellStyle name="链接单元格 2 4" xfId="1625"/>
    <cellStyle name="链接单元格 2 5" xfId="1626"/>
    <cellStyle name="链接单元格 2 6" xfId="1627"/>
    <cellStyle name="链接单元格 3" xfId="1628"/>
    <cellStyle name="链接单元格 4" xfId="1629"/>
    <cellStyle name="链接单元格 4 2" xfId="1630"/>
    <cellStyle name="链接单元格 4 3" xfId="1631"/>
    <cellStyle name="链接单元格 5" xfId="1632"/>
    <cellStyle name="链接单元格 5 2" xfId="1633"/>
    <cellStyle name="链接单元格 5 3" xfId="1634"/>
    <cellStyle name="千位分隔" xfId="6" builtinId="3"/>
    <cellStyle name="千位分隔 10" xfId="1635"/>
    <cellStyle name="千位分隔 10 2" xfId="1636"/>
    <cellStyle name="千位分隔 10 2 10" xfId="1637"/>
    <cellStyle name="千位分隔 10 2 2" xfId="1638"/>
    <cellStyle name="千位分隔 10 2 3" xfId="1639"/>
    <cellStyle name="千位分隔 10 2 4" xfId="1640"/>
    <cellStyle name="千位分隔 10 2 5" xfId="1641"/>
    <cellStyle name="千位分隔 10 2 6" xfId="1642"/>
    <cellStyle name="千位分隔 10 2 7" xfId="1643"/>
    <cellStyle name="千位分隔 10 2 8" xfId="1644"/>
    <cellStyle name="千位分隔 10 2 9" xfId="1645"/>
    <cellStyle name="千位分隔 11" xfId="992"/>
    <cellStyle name="千位分隔 12" xfId="1646"/>
    <cellStyle name="千位分隔 2" xfId="1647"/>
    <cellStyle name="千位分隔 3" xfId="431"/>
    <cellStyle name="千位分隔 3 10" xfId="1648"/>
    <cellStyle name="千位分隔 3 2" xfId="560"/>
    <cellStyle name="千位分隔 3 3" xfId="387"/>
    <cellStyle name="千位分隔 3 4" xfId="391"/>
    <cellStyle name="千位分隔 3 5" xfId="562"/>
    <cellStyle name="千位分隔 3 6" xfId="450"/>
    <cellStyle name="千位分隔 3 7" xfId="1649"/>
    <cellStyle name="千位分隔 3 8" xfId="1650"/>
    <cellStyle name="千位分隔 3 9" xfId="1651"/>
    <cellStyle name="千位分隔 4" xfId="434"/>
    <cellStyle name="千位分隔 5" xfId="297"/>
    <cellStyle name="千位分隔 6" xfId="300"/>
    <cellStyle name="千位分隔 7" xfId="1652"/>
    <cellStyle name="千位分隔 8" xfId="1653"/>
    <cellStyle name="千位分隔 9" xfId="1654"/>
    <cellStyle name="千位分隔_已录入合同审批" xfId="1749"/>
    <cellStyle name="强调文字颜色 1" xfId="1655" builtinId="29" customBuiltin="1"/>
    <cellStyle name="强调文字颜色 1 2" xfId="1656"/>
    <cellStyle name="强调文字颜色 1 2 2" xfId="1484"/>
    <cellStyle name="强调文字颜色 1 2 3" xfId="1486"/>
    <cellStyle name="强调文字颜色 1 2 4" xfId="1488"/>
    <cellStyle name="强调文字颜色 1 2 5" xfId="1490"/>
    <cellStyle name="强调文字颜色 1 2 6" xfId="1492"/>
    <cellStyle name="强调文字颜色 1 3" xfId="1657"/>
    <cellStyle name="强调文字颜色 1 4" xfId="1658"/>
    <cellStyle name="强调文字颜色 1 4 2" xfId="1509"/>
    <cellStyle name="强调文字颜色 1 4 3" xfId="1511"/>
    <cellStyle name="强调文字颜色 1 5" xfId="1659"/>
    <cellStyle name="强调文字颜色 1 5 2" xfId="1660"/>
    <cellStyle name="强调文字颜色 1 5 3" xfId="1662"/>
    <cellStyle name="强调文字颜色 2" xfId="1664" builtinId="33" customBuiltin="1"/>
    <cellStyle name="强调文字颜色 2 2" xfId="1665"/>
    <cellStyle name="强调文字颜色 2 2 2" xfId="25"/>
    <cellStyle name="强调文字颜色 2 2 3" xfId="31"/>
    <cellStyle name="强调文字颜色 2 2 4" xfId="2"/>
    <cellStyle name="强调文字颜色 2 2 5" xfId="34"/>
    <cellStyle name="强调文字颜色 2 2 6" xfId="37"/>
    <cellStyle name="强调文字颜色 2 3" xfId="1666"/>
    <cellStyle name="强调文字颜色 2 4" xfId="1667"/>
    <cellStyle name="强调文字颜色 2 4 2" xfId="1668"/>
    <cellStyle name="强调文字颜色 2 4 3" xfId="1669"/>
    <cellStyle name="强调文字颜色 2 5" xfId="1670"/>
    <cellStyle name="强调文字颜色 2 5 2" xfId="1671"/>
    <cellStyle name="强调文字颜色 2 5 3" xfId="1672"/>
    <cellStyle name="强调文字颜色 3" xfId="1673" builtinId="37" customBuiltin="1"/>
    <cellStyle name="强调文字颜色 3 2" xfId="1674"/>
    <cellStyle name="强调文字颜色 3 2 2" xfId="1675"/>
    <cellStyle name="强调文字颜色 3 2 3" xfId="1676"/>
    <cellStyle name="强调文字颜色 3 2 4" xfId="1677"/>
    <cellStyle name="强调文字颜色 3 2 5" xfId="1678"/>
    <cellStyle name="强调文字颜色 3 2 6" xfId="1679"/>
    <cellStyle name="强调文字颜色 3 3" xfId="709"/>
    <cellStyle name="强调文字颜色 3 4" xfId="713"/>
    <cellStyle name="强调文字颜色 3 4 2" xfId="715"/>
    <cellStyle name="强调文字颜色 3 4 3" xfId="717"/>
    <cellStyle name="强调文字颜色 3 5" xfId="719"/>
    <cellStyle name="强调文字颜色 3 5 2" xfId="1680"/>
    <cellStyle name="强调文字颜色 3 5 3" xfId="1681"/>
    <cellStyle name="强调文字颜色 4" xfId="1682" builtinId="41" customBuiltin="1"/>
    <cellStyle name="强调文字颜色 4 2" xfId="375"/>
    <cellStyle name="强调文字颜色 4 2 2" xfId="1683"/>
    <cellStyle name="强调文字颜色 4 2 3" xfId="1684"/>
    <cellStyle name="强调文字颜色 4 2 4" xfId="1685"/>
    <cellStyle name="强调文字颜色 4 2 5" xfId="1686"/>
    <cellStyle name="强调文字颜色 4 2 6" xfId="1687"/>
    <cellStyle name="强调文字颜色 4 3" xfId="377"/>
    <cellStyle name="强调文字颜色 4 4" xfId="1688"/>
    <cellStyle name="强调文字颜色 4 4 2" xfId="1689"/>
    <cellStyle name="强调文字颜色 4 4 3" xfId="1690"/>
    <cellStyle name="强调文字颜色 4 5" xfId="1691"/>
    <cellStyle name="强调文字颜色 4 5 2" xfId="1692"/>
    <cellStyle name="强调文字颜色 4 5 3" xfId="1693"/>
    <cellStyle name="强调文字颜色 5" xfId="456" builtinId="45" customBuiltin="1"/>
    <cellStyle name="强调文字颜色 5 2" xfId="1694"/>
    <cellStyle name="强调文字颜色 5 2 2" xfId="1695"/>
    <cellStyle name="强调文字颜色 5 2 3" xfId="1696"/>
    <cellStyle name="强调文字颜色 5 2 4" xfId="1697"/>
    <cellStyle name="强调文字颜色 5 2 5" xfId="1698"/>
    <cellStyle name="强调文字颜色 5 2 6" xfId="1699"/>
    <cellStyle name="强调文字颜色 5 3" xfId="1700"/>
    <cellStyle name="强调文字颜色 5 4" xfId="1701"/>
    <cellStyle name="强调文字颜色 5 4 2" xfId="1702"/>
    <cellStyle name="强调文字颜色 5 4 3" xfId="1703"/>
    <cellStyle name="强调文字颜色 5 5" xfId="1704"/>
    <cellStyle name="强调文字颜色 5 5 2" xfId="1705"/>
    <cellStyle name="强调文字颜色 5 5 3" xfId="1706"/>
    <cellStyle name="强调文字颜色 6" xfId="458" builtinId="49" customBuiltin="1"/>
    <cellStyle name="强调文字颜色 6 2" xfId="1707"/>
    <cellStyle name="强调文字颜色 6 2 2" xfId="1708"/>
    <cellStyle name="强调文字颜色 6 2 3" xfId="1709"/>
    <cellStyle name="强调文字颜色 6 2 4" xfId="1710"/>
    <cellStyle name="强调文字颜色 6 2 5" xfId="1711"/>
    <cellStyle name="强调文字颜色 6 2 6" xfId="1712"/>
    <cellStyle name="强调文字颜色 6 3" xfId="1713"/>
    <cellStyle name="强调文字颜色 6 4" xfId="1714"/>
    <cellStyle name="强调文字颜色 6 4 2" xfId="239"/>
    <cellStyle name="强调文字颜色 6 4 3" xfId="460"/>
    <cellStyle name="强调文字颜色 6 5" xfId="1715"/>
    <cellStyle name="强调文字颜色 6 5 2" xfId="73"/>
    <cellStyle name="强调文字颜色 6 5 3" xfId="473"/>
    <cellStyle name="适中" xfId="1716" builtinId="28" customBuiltin="1"/>
    <cellStyle name="适中 2" xfId="1717"/>
    <cellStyle name="适中 2 2" xfId="349"/>
    <cellStyle name="适中 2 3" xfId="361"/>
    <cellStyle name="适中 2 4" xfId="171"/>
    <cellStyle name="适中 2 5" xfId="177"/>
    <cellStyle name="适中 2 6" xfId="416"/>
    <cellStyle name="适中 3" xfId="1718"/>
    <cellStyle name="适中 4" xfId="1719"/>
    <cellStyle name="适中 4 2" xfId="652"/>
    <cellStyle name="适中 4 3" xfId="655"/>
    <cellStyle name="适中 5" xfId="1720"/>
    <cellStyle name="适中 5 2" xfId="677"/>
    <cellStyle name="适中 5 3" xfId="682"/>
    <cellStyle name="输出" xfId="96" builtinId="21" customBuiltin="1"/>
    <cellStyle name="输出 2" xfId="1721"/>
    <cellStyle name="输出 2 2" xfId="1722"/>
    <cellStyle name="输出 2 3" xfId="1723"/>
    <cellStyle name="输出 2 4" xfId="1724"/>
    <cellStyle name="输出 2 5" xfId="1725"/>
    <cellStyle name="输出 2 6" xfId="1726"/>
    <cellStyle name="输出 3" xfId="1727"/>
    <cellStyle name="输出 4" xfId="1661"/>
    <cellStyle name="输出 4 2" xfId="914"/>
    <cellStyle name="输出 4 3" xfId="1030"/>
    <cellStyle name="输出 5" xfId="1663"/>
    <cellStyle name="输出 5 2" xfId="1728"/>
    <cellStyle name="输出 5 3" xfId="1729"/>
    <cellStyle name="输入" xfId="1730" builtinId="20" customBuiltin="1"/>
    <cellStyle name="输入 2" xfId="582"/>
    <cellStyle name="输入 2 2" xfId="759"/>
    <cellStyle name="输入 2 3" xfId="761"/>
    <cellStyle name="输入 2 4" xfId="1731"/>
    <cellStyle name="输入 2 5" xfId="1732"/>
    <cellStyle name="输入 2 6" xfId="1733"/>
    <cellStyle name="输入 3" xfId="763"/>
    <cellStyle name="输入 4" xfId="1734"/>
    <cellStyle name="输入 4 2" xfId="1735"/>
    <cellStyle name="输入 4 3" xfId="1736"/>
    <cellStyle name="输入 5" xfId="1737"/>
    <cellStyle name="输入 5 2" xfId="1738"/>
    <cellStyle name="输入 5 3" xfId="1739"/>
    <cellStyle name="注释" xfId="125" builtinId="10" customBuiltin="1"/>
    <cellStyle name="注释 2" xfId="1740"/>
    <cellStyle name="注释 2 2" xfId="1741"/>
    <cellStyle name="注释 2 3" xfId="1742"/>
    <cellStyle name="注释 2 4" xfId="1743"/>
    <cellStyle name="注释 2 5" xfId="1744"/>
    <cellStyle name="注释 2 6" xfId="1745"/>
    <cellStyle name="注释 3" xfId="1746"/>
    <cellStyle name="注释 4" xfId="1747"/>
    <cellStyle name="注释 4 2" xfId="638"/>
    <cellStyle name="注释 4 3" xfId="666"/>
    <cellStyle name="注释 5" xfId="1748"/>
    <cellStyle name="注释 5 2" xfId="1306"/>
    <cellStyle name="注释 5 3" xfId="132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4.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12</xdr:col>
      <xdr:colOff>0</xdr:colOff>
      <xdr:row>29</xdr:row>
      <xdr:rowOff>0</xdr:rowOff>
    </xdr:from>
    <xdr:to>
      <xdr:col>21</xdr:col>
      <xdr:colOff>9525</xdr:colOff>
      <xdr:row>48</xdr:row>
      <xdr:rowOff>142875</xdr:rowOff>
    </xdr:to>
    <xdr:pic>
      <xdr:nvPicPr>
        <xdr:cNvPr id="6481" name="Picture 1"/>
        <xdr:cNvPicPr>
          <a:picLocks noChangeAspect="1" noChangeArrowheads="1"/>
        </xdr:cNvPicPr>
      </xdr:nvPicPr>
      <xdr:blipFill>
        <a:blip xmlns:r="http://schemas.openxmlformats.org/officeDocument/2006/relationships" r:embed="rId1"/>
        <a:srcRect/>
        <a:stretch>
          <a:fillRect/>
        </a:stretch>
      </xdr:blipFill>
      <xdr:spPr bwMode="auto">
        <a:xfrm>
          <a:off x="8115300" y="4981575"/>
          <a:ext cx="6181725" cy="3400425"/>
        </a:xfrm>
        <a:prstGeom prst="rect">
          <a:avLst/>
        </a:prstGeom>
        <a:noFill/>
        <a:ln w="9525" cmpd="sng">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561975</xdr:colOff>
      <xdr:row>51</xdr:row>
      <xdr:rowOff>85725</xdr:rowOff>
    </xdr:from>
    <xdr:to>
      <xdr:col>0</xdr:col>
      <xdr:colOff>790575</xdr:colOff>
      <xdr:row>53</xdr:row>
      <xdr:rowOff>66675</xdr:rowOff>
    </xdr:to>
    <xdr:sp macro="" textlink="">
      <xdr:nvSpPr>
        <xdr:cNvPr id="2" name="AutoShape 169" descr="http://countpvs.light.soufun.com/countpv?v=1.20%5eb=5%5ef=0%5el=http://fdc.soufun.com/index/XinFangIndex.aspx%5er=%5eg=59f54a93-1339403639140-69277a97%5eu=U_1808351b-1345511318281-143dcb2c%5ec=1%5ea=0%5es=nnn/n3_nn%5em=19%5et=%E6%96%B0%E6%88%BF%E4%BB%B7%E6%A0%BC%E6%8C%87%E6%95%B0,%E6%96%B0%E6%88%BF%E4%BB%B7%E6%A0%BC,%E6%96%B0%E6%88%BF%E4%BB%B7%E6%A0%BC%E6%8C%87%E6%95%B0%E8%B5%B0%E5%8A%BF-%E6%8C%87%E6%95%B0%E7%A0%94%E7%A9%B6-%E6%90%9C%E6%88%BF%E4%BA%A7%E4%B8%9A%E7%BD%91%5ei=0%5e1345515118531"/>
        <xdr:cNvSpPr>
          <a:spLocks noChangeAspect="1" noChangeArrowheads="1"/>
        </xdr:cNvSpPr>
      </xdr:nvSpPr>
      <xdr:spPr bwMode="auto">
        <a:xfrm>
          <a:off x="8134350" y="5600700"/>
          <a:ext cx="304800" cy="323850"/>
        </a:xfrm>
        <a:prstGeom prst="rect">
          <a:avLst/>
        </a:prstGeom>
        <a:noFill/>
        <a:ln w="9525">
          <a:noFill/>
          <a:miter lim="800000"/>
          <a:headEnd/>
          <a:tailEnd/>
        </a:ln>
      </xdr:spPr>
    </xdr:sp>
    <xdr:clientData/>
  </xdr:twoCellAnchor>
  <xdr:twoCellAnchor editAs="oneCell">
    <xdr:from>
      <xdr:col>0</xdr:col>
      <xdr:colOff>0</xdr:colOff>
      <xdr:row>53</xdr:row>
      <xdr:rowOff>0</xdr:rowOff>
    </xdr:from>
    <xdr:to>
      <xdr:col>0</xdr:col>
      <xdr:colOff>304800</xdr:colOff>
      <xdr:row>54</xdr:row>
      <xdr:rowOff>19050</xdr:rowOff>
    </xdr:to>
    <xdr:sp macro="" textlink="">
      <xdr:nvSpPr>
        <xdr:cNvPr id="3" name="AutoShape 141" descr="http://countpvs.light.soufun.com/countpv?v=1.20%5eb=5%5ef=0%5el=http://fdc.soufun.com/index/XinFangIndex.aspx%5er=%5eg=59f54a93-1339403639140-69277a97%5eu=U_41f9122c-1342677610718-18f0faf9%5ec=1%5ea=0%5es=nnn/n3_nn%5em=0%5et=%5ei=0%5e1342677610718"/>
        <xdr:cNvSpPr>
          <a:spLocks noChangeAspect="1" noChangeArrowheads="1"/>
        </xdr:cNvSpPr>
      </xdr:nvSpPr>
      <xdr:spPr bwMode="auto">
        <a:xfrm>
          <a:off x="8258175" y="5857875"/>
          <a:ext cx="304800" cy="323850"/>
        </a:xfrm>
        <a:prstGeom prst="rect">
          <a:avLst/>
        </a:prstGeom>
        <a:noFill/>
        <a:ln w="9525">
          <a:noFill/>
          <a:miter lim="800000"/>
          <a:headEnd/>
          <a:tailEnd/>
        </a:ln>
      </xdr:spPr>
    </xdr:sp>
    <xdr:clientData/>
  </xdr:twoCellAnchor>
  <xdr:twoCellAnchor editAs="oneCell">
    <xdr:from>
      <xdr:col>0</xdr:col>
      <xdr:colOff>0</xdr:colOff>
      <xdr:row>53</xdr:row>
      <xdr:rowOff>0</xdr:rowOff>
    </xdr:from>
    <xdr:to>
      <xdr:col>0</xdr:col>
      <xdr:colOff>304800</xdr:colOff>
      <xdr:row>54</xdr:row>
      <xdr:rowOff>152400</xdr:rowOff>
    </xdr:to>
    <xdr:sp macro="" textlink="">
      <xdr:nvSpPr>
        <xdr:cNvPr id="4" name="AutoShape 141" descr="http://countpvs.light.soufun.com/countpv?v=1.20%5eb=5%5ef=0%5el=http://fdc.soufun.com/index/XinFangIndex.aspx%5er=%5eg=59f54a93-1339403639140-69277a97%5eu=U_41f9122c-1342677610718-18f0faf9%5ec=1%5ea=0%5es=nnn/n3_nn%5em=0%5et=%5ei=0%5e1342677610718"/>
        <xdr:cNvSpPr>
          <a:spLocks noChangeAspect="1" noChangeArrowheads="1"/>
        </xdr:cNvSpPr>
      </xdr:nvSpPr>
      <xdr:spPr bwMode="auto">
        <a:xfrm>
          <a:off x="0" y="5857875"/>
          <a:ext cx="304800" cy="323850"/>
        </a:xfrm>
        <a:prstGeom prst="rect">
          <a:avLst/>
        </a:prstGeom>
        <a:noFill/>
        <a:ln w="9525">
          <a:no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141211</xdr:colOff>
      <xdr:row>16</xdr:row>
      <xdr:rowOff>80010</xdr:rowOff>
    </xdr:to>
    <xdr:pic>
      <xdr:nvPicPr>
        <xdr:cNvPr id="5" name="图片 4"/>
        <xdr:cNvPicPr/>
      </xdr:nvPicPr>
      <xdr:blipFill>
        <a:blip xmlns:r="http://schemas.openxmlformats.org/officeDocument/2006/relationships" r:embed="rId1"/>
        <a:stretch>
          <a:fillRect/>
        </a:stretch>
      </xdr:blipFill>
      <xdr:spPr>
        <a:xfrm>
          <a:off x="0" y="0"/>
          <a:ext cx="5278142" cy="2812700"/>
        </a:xfrm>
        <a:prstGeom prst="rect">
          <a:avLst/>
        </a:prstGeom>
      </xdr:spPr>
    </xdr:pic>
    <xdr:clientData/>
  </xdr:twoCellAnchor>
  <xdr:twoCellAnchor editAs="oneCell">
    <xdr:from>
      <xdr:col>0</xdr:col>
      <xdr:colOff>114300</xdr:colOff>
      <xdr:row>17</xdr:row>
      <xdr:rowOff>9525</xdr:rowOff>
    </xdr:from>
    <xdr:to>
      <xdr:col>7</xdr:col>
      <xdr:colOff>135990</xdr:colOff>
      <xdr:row>31</xdr:row>
      <xdr:rowOff>158596</xdr:rowOff>
    </xdr:to>
    <xdr:pic>
      <xdr:nvPicPr>
        <xdr:cNvPr id="3" name="图片 2"/>
        <xdr:cNvPicPr>
          <a:picLocks noChangeAspect="1"/>
        </xdr:cNvPicPr>
      </xdr:nvPicPr>
      <xdr:blipFill>
        <a:blip xmlns:r="http://schemas.openxmlformats.org/officeDocument/2006/relationships" r:embed="rId2"/>
        <a:stretch>
          <a:fillRect/>
        </a:stretch>
      </xdr:blipFill>
      <xdr:spPr>
        <a:xfrm>
          <a:off x="114300" y="2924175"/>
          <a:ext cx="5174715" cy="2549371"/>
        </a:xfrm>
        <a:prstGeom prst="rect">
          <a:avLst/>
        </a:prstGeom>
      </xdr:spPr>
    </xdr:pic>
    <xdr:clientData/>
  </xdr:twoCellAnchor>
  <xdr:twoCellAnchor editAs="oneCell">
    <xdr:from>
      <xdr:col>0</xdr:col>
      <xdr:colOff>0</xdr:colOff>
      <xdr:row>32</xdr:row>
      <xdr:rowOff>79560</xdr:rowOff>
    </xdr:from>
    <xdr:to>
      <xdr:col>7</xdr:col>
      <xdr:colOff>638175</xdr:colOff>
      <xdr:row>50</xdr:row>
      <xdr:rowOff>119569</xdr:rowOff>
    </xdr:to>
    <xdr:pic>
      <xdr:nvPicPr>
        <xdr:cNvPr id="4" name="图片 3"/>
        <xdr:cNvPicPr>
          <a:picLocks noChangeAspect="1"/>
        </xdr:cNvPicPr>
      </xdr:nvPicPr>
      <xdr:blipFill>
        <a:blip xmlns:r="http://schemas.openxmlformats.org/officeDocument/2006/relationships" r:embed="rId3"/>
        <a:stretch>
          <a:fillRect/>
        </a:stretch>
      </xdr:blipFill>
      <xdr:spPr>
        <a:xfrm>
          <a:off x="0" y="5565960"/>
          <a:ext cx="5791200" cy="3126109"/>
        </a:xfrm>
        <a:prstGeom prst="rect">
          <a:avLst/>
        </a:prstGeom>
      </xdr:spPr>
    </xdr:pic>
    <xdr:clientData/>
  </xdr:twoCellAnchor>
  <xdr:twoCellAnchor editAs="oneCell">
    <xdr:from>
      <xdr:col>8</xdr:col>
      <xdr:colOff>400051</xdr:colOff>
      <xdr:row>52</xdr:row>
      <xdr:rowOff>104774</xdr:rowOff>
    </xdr:from>
    <xdr:to>
      <xdr:col>17</xdr:col>
      <xdr:colOff>25937</xdr:colOff>
      <xdr:row>71</xdr:row>
      <xdr:rowOff>34925</xdr:rowOff>
    </xdr:to>
    <xdr:pic>
      <xdr:nvPicPr>
        <xdr:cNvPr id="7" name="图片 6"/>
        <xdr:cNvPicPr>
          <a:picLocks noChangeAspect="1"/>
        </xdr:cNvPicPr>
      </xdr:nvPicPr>
      <xdr:blipFill>
        <a:blip xmlns:r="http://schemas.openxmlformats.org/officeDocument/2006/relationships" r:embed="rId4"/>
        <a:stretch>
          <a:fillRect/>
        </a:stretch>
      </xdr:blipFill>
      <xdr:spPr>
        <a:xfrm>
          <a:off x="6238876" y="9020174"/>
          <a:ext cx="5798086" cy="3606801"/>
        </a:xfrm>
        <a:prstGeom prst="rect">
          <a:avLst/>
        </a:prstGeom>
      </xdr:spPr>
    </xdr:pic>
    <xdr:clientData/>
  </xdr:twoCellAnchor>
  <xdr:twoCellAnchor editAs="oneCell">
    <xdr:from>
      <xdr:col>0</xdr:col>
      <xdr:colOff>0</xdr:colOff>
      <xdr:row>105</xdr:row>
      <xdr:rowOff>0</xdr:rowOff>
    </xdr:from>
    <xdr:to>
      <xdr:col>12</xdr:col>
      <xdr:colOff>266255</xdr:colOff>
      <xdr:row>149</xdr:row>
      <xdr:rowOff>142247</xdr:rowOff>
    </xdr:to>
    <xdr:pic>
      <xdr:nvPicPr>
        <xdr:cNvPr id="11" name="图片 10"/>
        <xdr:cNvPicPr>
          <a:picLocks noChangeAspect="1"/>
        </xdr:cNvPicPr>
      </xdr:nvPicPr>
      <xdr:blipFill>
        <a:blip xmlns:r="http://schemas.openxmlformats.org/officeDocument/2006/relationships" r:embed="rId5"/>
        <a:stretch>
          <a:fillRect/>
        </a:stretch>
      </xdr:blipFill>
      <xdr:spPr>
        <a:xfrm>
          <a:off x="0" y="18379966"/>
          <a:ext cx="8819048" cy="7657143"/>
        </a:xfrm>
        <a:prstGeom prst="rect">
          <a:avLst/>
        </a:prstGeom>
      </xdr:spPr>
    </xdr:pic>
    <xdr:clientData/>
  </xdr:twoCellAnchor>
  <xdr:twoCellAnchor editAs="oneCell">
    <xdr:from>
      <xdr:col>0</xdr:col>
      <xdr:colOff>466397</xdr:colOff>
      <xdr:row>71</xdr:row>
      <xdr:rowOff>142875</xdr:rowOff>
    </xdr:from>
    <xdr:to>
      <xdr:col>6</xdr:col>
      <xdr:colOff>104776</xdr:colOff>
      <xdr:row>91</xdr:row>
      <xdr:rowOff>75447</xdr:rowOff>
    </xdr:to>
    <xdr:pic>
      <xdr:nvPicPr>
        <xdr:cNvPr id="12" name="图片 11"/>
        <xdr:cNvPicPr>
          <a:picLocks noChangeAspect="1"/>
        </xdr:cNvPicPr>
      </xdr:nvPicPr>
      <xdr:blipFill>
        <a:blip xmlns:r="http://schemas.openxmlformats.org/officeDocument/2006/relationships" r:embed="rId6"/>
        <a:stretch>
          <a:fillRect/>
        </a:stretch>
      </xdr:blipFill>
      <xdr:spPr>
        <a:xfrm>
          <a:off x="466397" y="12734925"/>
          <a:ext cx="4105604" cy="336157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AppData/Roaming/Microsoft/Excel/&#12304;&#27979;&#31639;&#34920;&#12305;2013.11.13&#32456;(&#19978;&#25253;&#29256;&#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ony/&#27491;&#22312;&#36827;&#34892;&#30340;&#25253;&#21578;/2013-1-B-1-0463&#20013;&#24247;&#22269;&#38469;&#37202;&#24215;/&#27979;&#31639;-&#20013;&#24247;&#37202;&#24215;&#65288;&#20108;&#23457;&#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9640;&#40664;&#28085;/&#24037;&#20316;/&#39033;&#30446;/&#35810;&#20215;/&#23815;&#25991;&#38376;&#35810;&#20215;/&#23457;&#12304;&#27979;&#31639;&#34920;&#12305;&#35810;&#20215;-&#26032;&#19990;&#3002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9640;&#40664;&#28085;/&#24037;&#20316;/&#39033;&#30446;/&#21271;&#33489;&#26032;&#26102;&#20195;/7.13hanye/&#12304;&#27979;&#31639;&#34920;&#12305;&#21271;&#33489;%20&#26032;&#22478;&#24066;&#24191;&#22330;2013071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dministrator/AppData/Roaming/Microsoft/Excel/&#26124;&#24179;&#21830;&#19994;/&#26368;&#32456;/A1&#22320;&#22359;&#21830;&#19994;&#27004;-&#22312;&#24314;&#24037;&#31243;(2)&#19968;&#2345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权属依据"/>
      <sheetName val="面积依据"/>
      <sheetName val="结果汇总"/>
      <sheetName val="建筑物部分"/>
      <sheetName val="收益法（公寓用房）"/>
      <sheetName val="收益法（经营性用房）"/>
      <sheetName val="公寓市场比较法"/>
      <sheetName val="商业市场比较法"/>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成本法"/>
      <sheetName val="收益法"/>
      <sheetName val="市场比较法（土地）"/>
      <sheetName val="面积"/>
      <sheetName val="权属依据"/>
      <sheetName val="面积表"/>
      <sheetName val="结果汇总"/>
    </sheetNames>
    <sheetDataSet>
      <sheetData sheetId="0">
        <row r="42">
          <cell r="B42" t="str">
            <v>1.1.1</v>
          </cell>
        </row>
        <row r="43">
          <cell r="B43" t="str">
            <v>1.1.2</v>
          </cell>
          <cell r="C43" t="str">
            <v>地下非配套公建</v>
          </cell>
          <cell r="E43">
            <v>0</v>
          </cell>
          <cell r="F43">
            <v>0</v>
          </cell>
        </row>
        <row r="44">
          <cell r="B44" t="str">
            <v>1.1.3</v>
          </cell>
          <cell r="C44" t="str">
            <v>地下车库及其他用房</v>
          </cell>
          <cell r="E44">
            <v>0</v>
          </cell>
          <cell r="F44">
            <v>0</v>
          </cell>
        </row>
        <row r="53">
          <cell r="G53">
            <v>6.1499999999999999E-2</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总价"/>
      <sheetName val="面积明细表"/>
      <sheetName val="市场（商业）"/>
      <sheetName val="收益（商业）"/>
      <sheetName val="市（商）"/>
      <sheetName val="收（商）"/>
      <sheetName val="市场 (车位)"/>
      <sheetName val="收益 (车位)"/>
      <sheetName val="系数修正表"/>
      <sheetName val="Sheet3"/>
      <sheetName val="商业系数表"/>
      <sheetName val="市场（办公）"/>
      <sheetName val="收益（办公）"/>
      <sheetName val="办公系数表 (2)"/>
      <sheetName val="Sheet1"/>
    </sheetNames>
    <sheetDataSet>
      <sheetData sheetId="0"/>
      <sheetData sheetId="1">
        <row r="5">
          <cell r="D5">
            <v>12609.27</v>
          </cell>
        </row>
        <row r="6">
          <cell r="D6">
            <v>9144.66</v>
          </cell>
        </row>
        <row r="8">
          <cell r="D8">
            <v>12002.22</v>
          </cell>
        </row>
        <row r="10">
          <cell r="D10">
            <v>12210.2</v>
          </cell>
        </row>
      </sheetData>
      <sheetData sheetId="2">
        <row r="33">
          <cell r="E33">
            <v>1</v>
          </cell>
        </row>
      </sheetData>
      <sheetData sheetId="3">
        <row r="49">
          <cell r="D49">
            <v>58446</v>
          </cell>
          <cell r="G49">
            <v>4416</v>
          </cell>
        </row>
        <row r="50">
          <cell r="G50">
            <v>4038</v>
          </cell>
        </row>
      </sheetData>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总价"/>
      <sheetName val="面积明细表"/>
      <sheetName val="市场（商业）"/>
      <sheetName val="收益（商业）"/>
      <sheetName val="市（商）"/>
      <sheetName val="收（商）"/>
      <sheetName val="市场 (车位)"/>
      <sheetName val="收益 (车位)"/>
      <sheetName val="系数修正表"/>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成本法 (2)"/>
      <sheetName val="成本法（在建）"/>
      <sheetName val="成本法"/>
      <sheetName val="假设开发法(在建)"/>
      <sheetName val="假开"/>
      <sheetName val="汇总"/>
      <sheetName val="税费"/>
      <sheetName val="市场（商业）"/>
      <sheetName val="市场法修正系数表"/>
      <sheetName val="收益法（地上商业）"/>
      <sheetName val="收益法（地下商业）"/>
      <sheetName val="成本法（现房） (2)"/>
      <sheetName val="市场比较法（土地）"/>
      <sheetName val="市场 (车位) "/>
      <sheetName val="收益法（车库） "/>
      <sheetName val="面积"/>
      <sheetName val="Sheet1"/>
    </sheetNames>
    <sheetDataSet>
      <sheetData sheetId="0"/>
      <sheetData sheetId="1"/>
      <sheetData sheetId="2"/>
      <sheetData sheetId="3"/>
      <sheetData sheetId="4"/>
      <sheetData sheetId="5"/>
      <sheetData sheetId="6"/>
      <sheetData sheetId="7"/>
      <sheetData sheetId="8"/>
      <sheetData sheetId="9">
        <row r="5">
          <cell r="D5">
            <v>84511.650000000009</v>
          </cell>
        </row>
      </sheetData>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5"/>
  <sheetViews>
    <sheetView view="pageBreakPreview" zoomScale="85" workbookViewId="0">
      <selection activeCell="B41" sqref="B41"/>
    </sheetView>
  </sheetViews>
  <sheetFormatPr defaultColWidth="16.5" defaultRowHeight="14.25"/>
  <cols>
    <col min="1" max="1" width="19" style="341" customWidth="1"/>
    <col min="2" max="3" width="16.5" style="341"/>
    <col min="4" max="4" width="17.5" style="341" customWidth="1"/>
    <col min="5" max="6" width="16.5" style="341"/>
    <col min="7" max="7" width="17.625" style="341" customWidth="1"/>
    <col min="8" max="16384" width="16.5" style="341"/>
  </cols>
  <sheetData>
    <row r="1" spans="1:10" ht="20.25">
      <c r="A1" s="831" t="s">
        <v>0</v>
      </c>
      <c r="B1" s="832"/>
      <c r="C1" s="832"/>
      <c r="D1" s="832"/>
      <c r="E1" s="832"/>
      <c r="F1" s="832"/>
      <c r="G1" s="832"/>
      <c r="H1" s="832"/>
      <c r="I1" s="832"/>
    </row>
    <row r="2" spans="1:10">
      <c r="A2" s="343" t="s">
        <v>1</v>
      </c>
      <c r="B2" s="1178" t="s">
        <v>2</v>
      </c>
      <c r="C2" s="1178"/>
      <c r="D2" s="343" t="s">
        <v>1</v>
      </c>
      <c r="E2" s="1178" t="s">
        <v>3</v>
      </c>
      <c r="F2" s="1178"/>
      <c r="G2" s="343" t="s">
        <v>1</v>
      </c>
      <c r="H2" s="1178" t="s">
        <v>4</v>
      </c>
      <c r="I2" s="1178"/>
    </row>
    <row r="3" spans="1:10">
      <c r="A3" s="343" t="s">
        <v>5</v>
      </c>
      <c r="B3" s="1178" t="s">
        <v>6</v>
      </c>
      <c r="C3" s="1178"/>
      <c r="D3" s="343" t="s">
        <v>5</v>
      </c>
      <c r="E3" s="1178" t="s">
        <v>6</v>
      </c>
      <c r="F3" s="1178"/>
      <c r="G3" s="343" t="s">
        <v>5</v>
      </c>
      <c r="H3" s="1178" t="s">
        <v>6</v>
      </c>
      <c r="I3" s="1178"/>
    </row>
    <row r="4" spans="1:10">
      <c r="A4" s="343" t="s">
        <v>7</v>
      </c>
      <c r="B4" s="1178" t="s">
        <v>8</v>
      </c>
      <c r="C4" s="1178"/>
      <c r="D4" s="343" t="s">
        <v>7</v>
      </c>
      <c r="E4" s="1178" t="s">
        <v>8</v>
      </c>
      <c r="F4" s="1178"/>
      <c r="G4" s="343" t="s">
        <v>7</v>
      </c>
      <c r="H4" s="1178" t="s">
        <v>9</v>
      </c>
      <c r="I4" s="1178"/>
    </row>
    <row r="5" spans="1:10">
      <c r="A5" s="343" t="s">
        <v>10</v>
      </c>
      <c r="B5" s="1178" t="s">
        <v>11</v>
      </c>
      <c r="C5" s="1178"/>
      <c r="D5" s="343" t="s">
        <v>10</v>
      </c>
      <c r="E5" s="1178" t="s">
        <v>11</v>
      </c>
      <c r="F5" s="1178"/>
      <c r="G5" s="343" t="s">
        <v>10</v>
      </c>
      <c r="H5" s="1178" t="s">
        <v>11</v>
      </c>
      <c r="I5" s="1178"/>
    </row>
    <row r="6" spans="1:10">
      <c r="A6" s="343" t="s">
        <v>12</v>
      </c>
      <c r="B6" s="1178" t="s">
        <v>13</v>
      </c>
      <c r="C6" s="1178"/>
      <c r="D6" s="343" t="s">
        <v>12</v>
      </c>
      <c r="E6" s="1178" t="s">
        <v>13</v>
      </c>
      <c r="F6" s="1178"/>
      <c r="G6" s="343" t="s">
        <v>12</v>
      </c>
      <c r="H6" s="1178" t="s">
        <v>13</v>
      </c>
      <c r="I6" s="1178"/>
    </row>
    <row r="7" spans="1:10">
      <c r="A7" s="343" t="s">
        <v>14</v>
      </c>
      <c r="B7" s="1178" t="s">
        <v>15</v>
      </c>
      <c r="C7" s="1178"/>
      <c r="D7" s="343" t="s">
        <v>14</v>
      </c>
      <c r="E7" s="1178" t="s">
        <v>16</v>
      </c>
      <c r="F7" s="1178"/>
      <c r="G7" s="343" t="s">
        <v>14</v>
      </c>
      <c r="H7" s="1178" t="s">
        <v>15</v>
      </c>
      <c r="I7" s="1178"/>
    </row>
    <row r="8" spans="1:10">
      <c r="A8" s="343" t="s">
        <v>17</v>
      </c>
      <c r="B8" s="1178" t="s">
        <v>18</v>
      </c>
      <c r="C8" s="1178"/>
      <c r="D8" s="343" t="s">
        <v>17</v>
      </c>
      <c r="E8" s="1178" t="s">
        <v>18</v>
      </c>
      <c r="F8" s="1178"/>
      <c r="G8" s="343" t="s">
        <v>17</v>
      </c>
      <c r="H8" s="1178" t="s">
        <v>18</v>
      </c>
      <c r="I8" s="1178"/>
    </row>
    <row r="9" spans="1:10">
      <c r="A9" s="343" t="s">
        <v>19</v>
      </c>
      <c r="B9" s="1179" t="s">
        <v>20</v>
      </c>
      <c r="C9" s="1179"/>
      <c r="D9" s="343" t="s">
        <v>19</v>
      </c>
      <c r="E9" s="1179" t="s">
        <v>21</v>
      </c>
      <c r="F9" s="1179"/>
      <c r="G9" s="343" t="s">
        <v>19</v>
      </c>
      <c r="H9" s="1179" t="s">
        <v>22</v>
      </c>
      <c r="I9" s="1179"/>
      <c r="J9" s="341">
        <f>B10+E10</f>
        <v>24000.86</v>
      </c>
    </row>
    <row r="10" spans="1:10">
      <c r="A10" s="343" t="s">
        <v>23</v>
      </c>
      <c r="B10" s="1180">
        <f>12671.07-127.33</f>
        <v>12543.74</v>
      </c>
      <c r="C10" s="1180"/>
      <c r="D10" s="343" t="s">
        <v>23</v>
      </c>
      <c r="E10" s="1178">
        <v>11457.12</v>
      </c>
      <c r="F10" s="1178"/>
      <c r="G10" s="343" t="s">
        <v>23</v>
      </c>
      <c r="H10" s="1178">
        <v>3026.76</v>
      </c>
      <c r="I10" s="1178"/>
      <c r="J10" s="341">
        <f>B10+E10+H10</f>
        <v>27027.620000000003</v>
      </c>
    </row>
    <row r="11" spans="1:10">
      <c r="A11" s="343" t="s">
        <v>24</v>
      </c>
      <c r="B11" s="1181"/>
      <c r="C11" s="1181"/>
      <c r="D11" s="1181"/>
      <c r="E11" s="1181"/>
      <c r="F11" s="1181"/>
      <c r="G11" s="1181"/>
      <c r="H11" s="1181"/>
      <c r="I11" s="1181"/>
    </row>
    <row r="13" spans="1:10" ht="20.25">
      <c r="A13" s="831" t="s">
        <v>25</v>
      </c>
      <c r="B13" s="832"/>
      <c r="C13" s="832"/>
      <c r="D13" s="832"/>
      <c r="E13" s="832"/>
      <c r="F13" s="832"/>
      <c r="G13" s="832"/>
      <c r="H13" s="832"/>
      <c r="I13" s="832"/>
    </row>
    <row r="14" spans="1:10">
      <c r="A14" s="834" t="s">
        <v>1</v>
      </c>
      <c r="B14" s="1181" t="s">
        <v>26</v>
      </c>
      <c r="C14" s="1181"/>
      <c r="D14" s="834" t="s">
        <v>1</v>
      </c>
      <c r="E14" s="1181" t="s">
        <v>27</v>
      </c>
      <c r="F14" s="1181"/>
      <c r="G14" s="834" t="s">
        <v>1</v>
      </c>
      <c r="H14" s="1181" t="s">
        <v>28</v>
      </c>
      <c r="I14" s="1181"/>
    </row>
    <row r="15" spans="1:10">
      <c r="A15" s="834" t="s">
        <v>29</v>
      </c>
      <c r="B15" s="1178" t="s">
        <v>6</v>
      </c>
      <c r="C15" s="1178"/>
      <c r="D15" s="834" t="s">
        <v>29</v>
      </c>
      <c r="E15" s="1178" t="s">
        <v>6</v>
      </c>
      <c r="F15" s="1178"/>
      <c r="G15" s="834" t="s">
        <v>29</v>
      </c>
      <c r="H15" s="1178" t="s">
        <v>6</v>
      </c>
      <c r="I15" s="1178"/>
    </row>
    <row r="16" spans="1:10">
      <c r="A16" s="834" t="s">
        <v>30</v>
      </c>
      <c r="B16" s="1181" t="s">
        <v>31</v>
      </c>
      <c r="C16" s="1181"/>
      <c r="D16" s="834" t="s">
        <v>30</v>
      </c>
      <c r="E16" s="1181" t="s">
        <v>31</v>
      </c>
      <c r="F16" s="1181"/>
      <c r="G16" s="834" t="s">
        <v>30</v>
      </c>
      <c r="H16" s="1181" t="s">
        <v>31</v>
      </c>
      <c r="I16" s="1181"/>
    </row>
    <row r="17" spans="1:9">
      <c r="A17" s="834" t="s">
        <v>32</v>
      </c>
      <c r="B17" s="1178" t="s">
        <v>33</v>
      </c>
      <c r="C17" s="1178"/>
      <c r="D17" s="834" t="s">
        <v>32</v>
      </c>
      <c r="E17" s="1178" t="s">
        <v>33</v>
      </c>
      <c r="F17" s="1178"/>
      <c r="G17" s="834" t="s">
        <v>32</v>
      </c>
      <c r="H17" s="1178" t="s">
        <v>34</v>
      </c>
      <c r="I17" s="1178"/>
    </row>
    <row r="18" spans="1:9">
      <c r="A18" s="834" t="s">
        <v>35</v>
      </c>
      <c r="B18" s="1182">
        <v>40215</v>
      </c>
      <c r="C18" s="1182"/>
      <c r="D18" s="834" t="s">
        <v>35</v>
      </c>
      <c r="E18" s="1182">
        <v>40214</v>
      </c>
      <c r="F18" s="1182"/>
      <c r="G18" s="834" t="s">
        <v>35</v>
      </c>
      <c r="H18" s="1182">
        <v>40214</v>
      </c>
      <c r="I18" s="1182"/>
    </row>
    <row r="19" spans="1:9">
      <c r="A19" s="834" t="s">
        <v>36</v>
      </c>
      <c r="B19" s="1181" t="s">
        <v>37</v>
      </c>
      <c r="C19" s="1181"/>
      <c r="D19" s="834" t="s">
        <v>36</v>
      </c>
      <c r="E19" s="1181" t="s">
        <v>37</v>
      </c>
      <c r="F19" s="1181"/>
      <c r="G19" s="834" t="s">
        <v>36</v>
      </c>
      <c r="H19" s="1181" t="s">
        <v>37</v>
      </c>
      <c r="I19" s="1181"/>
    </row>
    <row r="20" spans="1:9">
      <c r="A20" s="834" t="s">
        <v>38</v>
      </c>
      <c r="B20" s="1181" t="s">
        <v>39</v>
      </c>
      <c r="C20" s="1181"/>
      <c r="D20" s="834" t="s">
        <v>38</v>
      </c>
      <c r="E20" s="1181" t="s">
        <v>16</v>
      </c>
      <c r="F20" s="1181"/>
      <c r="G20" s="834" t="s">
        <v>38</v>
      </c>
      <c r="H20" s="1181" t="s">
        <v>40</v>
      </c>
      <c r="I20" s="1181"/>
    </row>
    <row r="21" spans="1:9">
      <c r="A21" s="834" t="s">
        <v>41</v>
      </c>
      <c r="B21" s="1181">
        <v>89051.88</v>
      </c>
      <c r="C21" s="1181"/>
      <c r="D21" s="834" t="s">
        <v>41</v>
      </c>
      <c r="E21" s="1181">
        <v>95534.55</v>
      </c>
      <c r="F21" s="1181"/>
      <c r="G21" s="834" t="s">
        <v>41</v>
      </c>
      <c r="H21" s="1181">
        <v>11521.12</v>
      </c>
      <c r="I21" s="1181"/>
    </row>
    <row r="22" spans="1:9">
      <c r="A22" s="834" t="s">
        <v>42</v>
      </c>
      <c r="B22" s="1181" t="s">
        <v>43</v>
      </c>
      <c r="C22" s="1181"/>
      <c r="D22" s="834" t="s">
        <v>42</v>
      </c>
      <c r="E22" s="1181" t="s">
        <v>44</v>
      </c>
      <c r="F22" s="1181"/>
      <c r="G22" s="834" t="s">
        <v>42</v>
      </c>
      <c r="H22" s="1181" t="s">
        <v>40</v>
      </c>
      <c r="I22" s="1181"/>
    </row>
    <row r="23" spans="1:9">
      <c r="A23" s="835" t="s">
        <v>45</v>
      </c>
      <c r="B23" s="1181"/>
      <c r="C23" s="1181"/>
      <c r="D23" s="835" t="s">
        <v>45</v>
      </c>
      <c r="E23" s="1183"/>
      <c r="F23" s="1183"/>
      <c r="G23" s="835" t="s">
        <v>45</v>
      </c>
      <c r="H23" s="1181"/>
      <c r="I23" s="1181"/>
    </row>
    <row r="26" spans="1:9" ht="20.25">
      <c r="A26" s="831" t="s">
        <v>46</v>
      </c>
    </row>
    <row r="27" spans="1:9">
      <c r="A27" s="835" t="s">
        <v>1</v>
      </c>
      <c r="B27" s="1181"/>
      <c r="C27" s="1181"/>
      <c r="D27" s="835" t="s">
        <v>47</v>
      </c>
      <c r="E27" s="836"/>
      <c r="F27" s="837"/>
    </row>
    <row r="28" spans="1:9">
      <c r="A28" s="835" t="s">
        <v>48</v>
      </c>
      <c r="B28" s="1181"/>
      <c r="C28" s="1181"/>
      <c r="D28" s="834" t="s">
        <v>49</v>
      </c>
      <c r="E28" s="1181"/>
      <c r="F28" s="1181"/>
    </row>
    <row r="29" spans="1:9">
      <c r="A29" s="835" t="s">
        <v>50</v>
      </c>
      <c r="B29" s="1181"/>
      <c r="C29" s="1181"/>
      <c r="D29" s="834" t="s">
        <v>51</v>
      </c>
      <c r="E29" s="1181"/>
      <c r="F29" s="1181"/>
    </row>
    <row r="30" spans="1:9">
      <c r="A30" s="835" t="s">
        <v>52</v>
      </c>
      <c r="B30" s="1181"/>
      <c r="C30" s="1181"/>
      <c r="D30" s="834" t="s">
        <v>53</v>
      </c>
      <c r="E30" s="1181"/>
      <c r="F30" s="1181"/>
    </row>
    <row r="31" spans="1:9">
      <c r="A31" s="835" t="s">
        <v>54</v>
      </c>
      <c r="B31" s="1181"/>
      <c r="C31" s="1181"/>
      <c r="D31" s="834" t="s">
        <v>55</v>
      </c>
      <c r="E31" s="1181"/>
      <c r="F31" s="1181"/>
    </row>
    <row r="32" spans="1:9">
      <c r="A32" s="838" t="s">
        <v>56</v>
      </c>
      <c r="B32" s="1181"/>
      <c r="C32" s="1181"/>
      <c r="D32" s="343"/>
      <c r="E32" s="1181"/>
      <c r="F32" s="1181"/>
    </row>
    <row r="33" spans="1:9">
      <c r="A33" s="838" t="s">
        <v>57</v>
      </c>
      <c r="B33" s="1181"/>
      <c r="C33" s="1181"/>
      <c r="D33" s="343"/>
      <c r="E33" s="1181"/>
      <c r="F33" s="1181"/>
    </row>
    <row r="34" spans="1:9">
      <c r="A34" s="835" t="s">
        <v>58</v>
      </c>
      <c r="B34" s="1181"/>
      <c r="C34" s="1181"/>
      <c r="D34" s="343"/>
      <c r="E34" s="1181"/>
      <c r="F34" s="1181"/>
    </row>
    <row r="38" spans="1:9" ht="20.25">
      <c r="A38" s="831" t="s">
        <v>59</v>
      </c>
      <c r="B38" s="832"/>
      <c r="C38" s="832"/>
      <c r="D38" s="832"/>
      <c r="E38" s="832"/>
      <c r="F38" s="832"/>
      <c r="G38" s="832"/>
      <c r="H38" s="832"/>
      <c r="I38" s="832"/>
    </row>
    <row r="39" spans="1:9">
      <c r="A39" s="343" t="s">
        <v>60</v>
      </c>
      <c r="B39" s="343" t="s">
        <v>61</v>
      </c>
      <c r="C39" s="343" t="s">
        <v>62</v>
      </c>
      <c r="D39" s="343" t="s">
        <v>63</v>
      </c>
      <c r="E39" s="343" t="s">
        <v>64</v>
      </c>
      <c r="F39" s="343" t="s">
        <v>65</v>
      </c>
      <c r="G39" s="343" t="s">
        <v>66</v>
      </c>
      <c r="H39" s="343" t="s">
        <v>67</v>
      </c>
      <c r="I39" s="835" t="s">
        <v>68</v>
      </c>
    </row>
    <row r="40" spans="1:9">
      <c r="A40" s="343"/>
      <c r="B40" s="343"/>
      <c r="C40" s="343"/>
      <c r="D40" s="343"/>
      <c r="E40" s="343"/>
      <c r="F40" s="343"/>
      <c r="G40" s="343"/>
      <c r="H40" s="343"/>
      <c r="I40" s="343"/>
    </row>
    <row r="41" spans="1:9">
      <c r="A41" s="343"/>
      <c r="B41" s="343"/>
      <c r="C41" s="343"/>
      <c r="D41" s="343"/>
      <c r="E41" s="343"/>
      <c r="F41" s="343"/>
      <c r="G41" s="343"/>
      <c r="H41" s="343"/>
      <c r="I41" s="343"/>
    </row>
    <row r="42" spans="1:9">
      <c r="A42" s="343"/>
      <c r="B42" s="343"/>
      <c r="C42" s="343"/>
      <c r="D42" s="343"/>
      <c r="E42" s="343"/>
      <c r="F42" s="343"/>
      <c r="G42" s="343"/>
      <c r="H42" s="343"/>
      <c r="I42" s="343"/>
    </row>
    <row r="43" spans="1:9">
      <c r="A43" s="343"/>
      <c r="B43" s="343"/>
      <c r="C43" s="343"/>
      <c r="D43" s="343"/>
      <c r="E43" s="343"/>
      <c r="F43" s="343"/>
      <c r="G43" s="343"/>
      <c r="H43" s="343"/>
      <c r="I43" s="343"/>
    </row>
    <row r="44" spans="1:9">
      <c r="A44" s="343"/>
      <c r="B44" s="343"/>
      <c r="C44" s="343"/>
      <c r="D44" s="343"/>
      <c r="E44" s="343"/>
      <c r="F44" s="343"/>
      <c r="G44" s="343"/>
      <c r="H44" s="343"/>
      <c r="I44" s="343"/>
    </row>
    <row r="45" spans="1:9">
      <c r="A45" s="343"/>
      <c r="B45" s="343"/>
      <c r="C45" s="343"/>
      <c r="D45" s="343"/>
      <c r="E45" s="343"/>
      <c r="F45" s="343"/>
      <c r="G45" s="343"/>
      <c r="H45" s="343"/>
      <c r="I45" s="343"/>
    </row>
  </sheetData>
  <mergeCells count="73">
    <mergeCell ref="B32:C32"/>
    <mergeCell ref="E32:F32"/>
    <mergeCell ref="B33:C33"/>
    <mergeCell ref="E33:F33"/>
    <mergeCell ref="B34:C34"/>
    <mergeCell ref="E34:F34"/>
    <mergeCell ref="B29:C29"/>
    <mergeCell ref="E29:F29"/>
    <mergeCell ref="B30:C30"/>
    <mergeCell ref="E30:F30"/>
    <mergeCell ref="B31:C31"/>
    <mergeCell ref="E31:F31"/>
    <mergeCell ref="B23:C23"/>
    <mergeCell ref="E23:F23"/>
    <mergeCell ref="H23:I23"/>
    <mergeCell ref="B27:C27"/>
    <mergeCell ref="B28:C28"/>
    <mergeCell ref="E28:F28"/>
    <mergeCell ref="B21:C21"/>
    <mergeCell ref="E21:F21"/>
    <mergeCell ref="H21:I21"/>
    <mergeCell ref="B22:C22"/>
    <mergeCell ref="E22:F22"/>
    <mergeCell ref="H22:I22"/>
    <mergeCell ref="B19:C19"/>
    <mergeCell ref="E19:F19"/>
    <mergeCell ref="H19:I19"/>
    <mergeCell ref="B20:C20"/>
    <mergeCell ref="E20:F20"/>
    <mergeCell ref="H20:I20"/>
    <mergeCell ref="B17:C17"/>
    <mergeCell ref="E17:F17"/>
    <mergeCell ref="H17:I17"/>
    <mergeCell ref="B18:C18"/>
    <mergeCell ref="E18:F18"/>
    <mergeCell ref="H18:I18"/>
    <mergeCell ref="B15:C15"/>
    <mergeCell ref="E15:F15"/>
    <mergeCell ref="H15:I15"/>
    <mergeCell ref="B16:C16"/>
    <mergeCell ref="E16:F16"/>
    <mergeCell ref="H16:I16"/>
    <mergeCell ref="B10:C10"/>
    <mergeCell ref="E10:F10"/>
    <mergeCell ref="H10:I10"/>
    <mergeCell ref="B11:I11"/>
    <mergeCell ref="B14:C14"/>
    <mergeCell ref="E14:F14"/>
    <mergeCell ref="H14:I14"/>
    <mergeCell ref="B8:C8"/>
    <mergeCell ref="E8:F8"/>
    <mergeCell ref="H8:I8"/>
    <mergeCell ref="B9:C9"/>
    <mergeCell ref="E9:F9"/>
    <mergeCell ref="H9:I9"/>
    <mergeCell ref="B6:C6"/>
    <mergeCell ref="E6:F6"/>
    <mergeCell ref="H6:I6"/>
    <mergeCell ref="B7:C7"/>
    <mergeCell ref="E7:F7"/>
    <mergeCell ref="H7:I7"/>
    <mergeCell ref="B4:C4"/>
    <mergeCell ref="E4:F4"/>
    <mergeCell ref="H4:I4"/>
    <mergeCell ref="B5:C5"/>
    <mergeCell ref="E5:F5"/>
    <mergeCell ref="H5:I5"/>
    <mergeCell ref="B2:C2"/>
    <mergeCell ref="E2:F2"/>
    <mergeCell ref="H2:I2"/>
    <mergeCell ref="B3:C3"/>
    <mergeCell ref="E3:F3"/>
    <mergeCell ref="H3:I3"/>
  </mergeCells>
  <phoneticPr fontId="93" type="noConversion"/>
  <pageMargins left="0.69861111111111107" right="0.69861111111111107" top="0.75" bottom="0.75" header="0.3" footer="0.3"/>
  <pageSetup paperSize="9" scale="52"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55"/>
  <sheetViews>
    <sheetView tabSelected="1" view="pageBreakPreview" topLeftCell="E1" zoomScaleNormal="100" zoomScaleSheetLayoutView="100" workbookViewId="0">
      <selection activeCell="E16" sqref="E16:J16"/>
    </sheetView>
  </sheetViews>
  <sheetFormatPr defaultColWidth="12.625" defaultRowHeight="13.5"/>
  <cols>
    <col min="1" max="1" width="4.5" customWidth="1"/>
    <col min="11" max="11" width="3.375" customWidth="1"/>
    <col min="14" max="14" width="90" customWidth="1"/>
    <col min="15" max="16" width="9.25" customWidth="1"/>
    <col min="257" max="257" width="4.5" customWidth="1"/>
    <col min="267" max="267" width="3.375" customWidth="1"/>
    <col min="270" max="270" width="90" customWidth="1"/>
    <col min="271" max="272" width="9.25" customWidth="1"/>
    <col min="513" max="513" width="4.5" customWidth="1"/>
    <col min="523" max="523" width="3.375" customWidth="1"/>
    <col min="526" max="526" width="90" customWidth="1"/>
    <col min="527" max="528" width="9.25" customWidth="1"/>
    <col min="769" max="769" width="4.5" customWidth="1"/>
    <col min="779" max="779" width="3.375" customWidth="1"/>
    <col min="782" max="782" width="90" customWidth="1"/>
    <col min="783" max="784" width="9.25" customWidth="1"/>
    <col min="1025" max="1025" width="4.5" customWidth="1"/>
    <col min="1035" max="1035" width="3.375" customWidth="1"/>
    <col min="1038" max="1038" width="90" customWidth="1"/>
    <col min="1039" max="1040" width="9.25" customWidth="1"/>
    <col min="1281" max="1281" width="4.5" customWidth="1"/>
    <col min="1291" max="1291" width="3.375" customWidth="1"/>
    <col min="1294" max="1294" width="90" customWidth="1"/>
    <col min="1295" max="1296" width="9.25" customWidth="1"/>
    <col min="1537" max="1537" width="4.5" customWidth="1"/>
    <col min="1547" max="1547" width="3.375" customWidth="1"/>
    <col min="1550" max="1550" width="90" customWidth="1"/>
    <col min="1551" max="1552" width="9.25" customWidth="1"/>
    <col min="1793" max="1793" width="4.5" customWidth="1"/>
    <col min="1803" max="1803" width="3.375" customWidth="1"/>
    <col min="1806" max="1806" width="90" customWidth="1"/>
    <col min="1807" max="1808" width="9.25" customWidth="1"/>
    <col min="2049" max="2049" width="4.5" customWidth="1"/>
    <col min="2059" max="2059" width="3.375" customWidth="1"/>
    <col min="2062" max="2062" width="90" customWidth="1"/>
    <col min="2063" max="2064" width="9.25" customWidth="1"/>
    <col min="2305" max="2305" width="4.5" customWidth="1"/>
    <col min="2315" max="2315" width="3.375" customWidth="1"/>
    <col min="2318" max="2318" width="90" customWidth="1"/>
    <col min="2319" max="2320" width="9.25" customWidth="1"/>
    <col min="2561" max="2561" width="4.5" customWidth="1"/>
    <col min="2571" max="2571" width="3.375" customWidth="1"/>
    <col min="2574" max="2574" width="90" customWidth="1"/>
    <col min="2575" max="2576" width="9.25" customWidth="1"/>
    <col min="2817" max="2817" width="4.5" customWidth="1"/>
    <col min="2827" max="2827" width="3.375" customWidth="1"/>
    <col min="2830" max="2830" width="90" customWidth="1"/>
    <col min="2831" max="2832" width="9.25" customWidth="1"/>
    <col min="3073" max="3073" width="4.5" customWidth="1"/>
    <col min="3083" max="3083" width="3.375" customWidth="1"/>
    <col min="3086" max="3086" width="90" customWidth="1"/>
    <col min="3087" max="3088" width="9.25" customWidth="1"/>
    <col min="3329" max="3329" width="4.5" customWidth="1"/>
    <col min="3339" max="3339" width="3.375" customWidth="1"/>
    <col min="3342" max="3342" width="90" customWidth="1"/>
    <col min="3343" max="3344" width="9.25" customWidth="1"/>
    <col min="3585" max="3585" width="4.5" customWidth="1"/>
    <col min="3595" max="3595" width="3.375" customWidth="1"/>
    <col min="3598" max="3598" width="90" customWidth="1"/>
    <col min="3599" max="3600" width="9.25" customWidth="1"/>
    <col min="3841" max="3841" width="4.5" customWidth="1"/>
    <col min="3851" max="3851" width="3.375" customWidth="1"/>
    <col min="3854" max="3854" width="90" customWidth="1"/>
    <col min="3855" max="3856" width="9.25" customWidth="1"/>
    <col min="4097" max="4097" width="4.5" customWidth="1"/>
    <col min="4107" max="4107" width="3.375" customWidth="1"/>
    <col min="4110" max="4110" width="90" customWidth="1"/>
    <col min="4111" max="4112" width="9.25" customWidth="1"/>
    <col min="4353" max="4353" width="4.5" customWidth="1"/>
    <col min="4363" max="4363" width="3.375" customWidth="1"/>
    <col min="4366" max="4366" width="90" customWidth="1"/>
    <col min="4367" max="4368" width="9.25" customWidth="1"/>
    <col min="4609" max="4609" width="4.5" customWidth="1"/>
    <col min="4619" max="4619" width="3.375" customWidth="1"/>
    <col min="4622" max="4622" width="90" customWidth="1"/>
    <col min="4623" max="4624" width="9.25" customWidth="1"/>
    <col min="4865" max="4865" width="4.5" customWidth="1"/>
    <col min="4875" max="4875" width="3.375" customWidth="1"/>
    <col min="4878" max="4878" width="90" customWidth="1"/>
    <col min="4879" max="4880" width="9.25" customWidth="1"/>
    <col min="5121" max="5121" width="4.5" customWidth="1"/>
    <col min="5131" max="5131" width="3.375" customWidth="1"/>
    <col min="5134" max="5134" width="90" customWidth="1"/>
    <col min="5135" max="5136" width="9.25" customWidth="1"/>
    <col min="5377" max="5377" width="4.5" customWidth="1"/>
    <col min="5387" max="5387" width="3.375" customWidth="1"/>
    <col min="5390" max="5390" width="90" customWidth="1"/>
    <col min="5391" max="5392" width="9.25" customWidth="1"/>
    <col min="5633" max="5633" width="4.5" customWidth="1"/>
    <col min="5643" max="5643" width="3.375" customWidth="1"/>
    <col min="5646" max="5646" width="90" customWidth="1"/>
    <col min="5647" max="5648" width="9.25" customWidth="1"/>
    <col min="5889" max="5889" width="4.5" customWidth="1"/>
    <col min="5899" max="5899" width="3.375" customWidth="1"/>
    <col min="5902" max="5902" width="90" customWidth="1"/>
    <col min="5903" max="5904" width="9.25" customWidth="1"/>
    <col min="6145" max="6145" width="4.5" customWidth="1"/>
    <col min="6155" max="6155" width="3.375" customWidth="1"/>
    <col min="6158" max="6158" width="90" customWidth="1"/>
    <col min="6159" max="6160" width="9.25" customWidth="1"/>
    <col min="6401" max="6401" width="4.5" customWidth="1"/>
    <col min="6411" max="6411" width="3.375" customWidth="1"/>
    <col min="6414" max="6414" width="90" customWidth="1"/>
    <col min="6415" max="6416" width="9.25" customWidth="1"/>
    <col min="6657" max="6657" width="4.5" customWidth="1"/>
    <col min="6667" max="6667" width="3.375" customWidth="1"/>
    <col min="6670" max="6670" width="90" customWidth="1"/>
    <col min="6671" max="6672" width="9.25" customWidth="1"/>
    <col min="6913" max="6913" width="4.5" customWidth="1"/>
    <col min="6923" max="6923" width="3.375" customWidth="1"/>
    <col min="6926" max="6926" width="90" customWidth="1"/>
    <col min="6927" max="6928" width="9.25" customWidth="1"/>
    <col min="7169" max="7169" width="4.5" customWidth="1"/>
    <col min="7179" max="7179" width="3.375" customWidth="1"/>
    <col min="7182" max="7182" width="90" customWidth="1"/>
    <col min="7183" max="7184" width="9.25" customWidth="1"/>
    <col min="7425" max="7425" width="4.5" customWidth="1"/>
    <col min="7435" max="7435" width="3.375" customWidth="1"/>
    <col min="7438" max="7438" width="90" customWidth="1"/>
    <col min="7439" max="7440" width="9.25" customWidth="1"/>
    <col min="7681" max="7681" width="4.5" customWidth="1"/>
    <col min="7691" max="7691" width="3.375" customWidth="1"/>
    <col min="7694" max="7694" width="90" customWidth="1"/>
    <col min="7695" max="7696" width="9.25" customWidth="1"/>
    <col min="7937" max="7937" width="4.5" customWidth="1"/>
    <col min="7947" max="7947" width="3.375" customWidth="1"/>
    <col min="7950" max="7950" width="90" customWidth="1"/>
    <col min="7951" max="7952" width="9.25" customWidth="1"/>
    <col min="8193" max="8193" width="4.5" customWidth="1"/>
    <col min="8203" max="8203" width="3.375" customWidth="1"/>
    <col min="8206" max="8206" width="90" customWidth="1"/>
    <col min="8207" max="8208" width="9.25" customWidth="1"/>
    <col min="8449" max="8449" width="4.5" customWidth="1"/>
    <col min="8459" max="8459" width="3.375" customWidth="1"/>
    <col min="8462" max="8462" width="90" customWidth="1"/>
    <col min="8463" max="8464" width="9.25" customWidth="1"/>
    <col min="8705" max="8705" width="4.5" customWidth="1"/>
    <col min="8715" max="8715" width="3.375" customWidth="1"/>
    <col min="8718" max="8718" width="90" customWidth="1"/>
    <col min="8719" max="8720" width="9.25" customWidth="1"/>
    <col min="8961" max="8961" width="4.5" customWidth="1"/>
    <col min="8971" max="8971" width="3.375" customWidth="1"/>
    <col min="8974" max="8974" width="90" customWidth="1"/>
    <col min="8975" max="8976" width="9.25" customWidth="1"/>
    <col min="9217" max="9217" width="4.5" customWidth="1"/>
    <col min="9227" max="9227" width="3.375" customWidth="1"/>
    <col min="9230" max="9230" width="90" customWidth="1"/>
    <col min="9231" max="9232" width="9.25" customWidth="1"/>
    <col min="9473" max="9473" width="4.5" customWidth="1"/>
    <col min="9483" max="9483" width="3.375" customWidth="1"/>
    <col min="9486" max="9486" width="90" customWidth="1"/>
    <col min="9487" max="9488" width="9.25" customWidth="1"/>
    <col min="9729" max="9729" width="4.5" customWidth="1"/>
    <col min="9739" max="9739" width="3.375" customWidth="1"/>
    <col min="9742" max="9742" width="90" customWidth="1"/>
    <col min="9743" max="9744" width="9.25" customWidth="1"/>
    <col min="9985" max="9985" width="4.5" customWidth="1"/>
    <col min="9995" max="9995" width="3.375" customWidth="1"/>
    <col min="9998" max="9998" width="90" customWidth="1"/>
    <col min="9999" max="10000" width="9.25" customWidth="1"/>
    <col min="10241" max="10241" width="4.5" customWidth="1"/>
    <col min="10251" max="10251" width="3.375" customWidth="1"/>
    <col min="10254" max="10254" width="90" customWidth="1"/>
    <col min="10255" max="10256" width="9.25" customWidth="1"/>
    <col min="10497" max="10497" width="4.5" customWidth="1"/>
    <col min="10507" max="10507" width="3.375" customWidth="1"/>
    <col min="10510" max="10510" width="90" customWidth="1"/>
    <col min="10511" max="10512" width="9.25" customWidth="1"/>
    <col min="10753" max="10753" width="4.5" customWidth="1"/>
    <col min="10763" max="10763" width="3.375" customWidth="1"/>
    <col min="10766" max="10766" width="90" customWidth="1"/>
    <col min="10767" max="10768" width="9.25" customWidth="1"/>
    <col min="11009" max="11009" width="4.5" customWidth="1"/>
    <col min="11019" max="11019" width="3.375" customWidth="1"/>
    <col min="11022" max="11022" width="90" customWidth="1"/>
    <col min="11023" max="11024" width="9.25" customWidth="1"/>
    <col min="11265" max="11265" width="4.5" customWidth="1"/>
    <col min="11275" max="11275" width="3.375" customWidth="1"/>
    <col min="11278" max="11278" width="90" customWidth="1"/>
    <col min="11279" max="11280" width="9.25" customWidth="1"/>
    <col min="11521" max="11521" width="4.5" customWidth="1"/>
    <col min="11531" max="11531" width="3.375" customWidth="1"/>
    <col min="11534" max="11534" width="90" customWidth="1"/>
    <col min="11535" max="11536" width="9.25" customWidth="1"/>
    <col min="11777" max="11777" width="4.5" customWidth="1"/>
    <col min="11787" max="11787" width="3.375" customWidth="1"/>
    <col min="11790" max="11790" width="90" customWidth="1"/>
    <col min="11791" max="11792" width="9.25" customWidth="1"/>
    <col min="12033" max="12033" width="4.5" customWidth="1"/>
    <col min="12043" max="12043" width="3.375" customWidth="1"/>
    <col min="12046" max="12046" width="90" customWidth="1"/>
    <col min="12047" max="12048" width="9.25" customWidth="1"/>
    <col min="12289" max="12289" width="4.5" customWidth="1"/>
    <col min="12299" max="12299" width="3.375" customWidth="1"/>
    <col min="12302" max="12302" width="90" customWidth="1"/>
    <col min="12303" max="12304" width="9.25" customWidth="1"/>
    <col min="12545" max="12545" width="4.5" customWidth="1"/>
    <col min="12555" max="12555" width="3.375" customWidth="1"/>
    <col min="12558" max="12558" width="90" customWidth="1"/>
    <col min="12559" max="12560" width="9.25" customWidth="1"/>
    <col min="12801" max="12801" width="4.5" customWidth="1"/>
    <col min="12811" max="12811" width="3.375" customWidth="1"/>
    <col min="12814" max="12814" width="90" customWidth="1"/>
    <col min="12815" max="12816" width="9.25" customWidth="1"/>
    <col min="13057" max="13057" width="4.5" customWidth="1"/>
    <col min="13067" max="13067" width="3.375" customWidth="1"/>
    <col min="13070" max="13070" width="90" customWidth="1"/>
    <col min="13071" max="13072" width="9.25" customWidth="1"/>
    <col min="13313" max="13313" width="4.5" customWidth="1"/>
    <col min="13323" max="13323" width="3.375" customWidth="1"/>
    <col min="13326" max="13326" width="90" customWidth="1"/>
    <col min="13327" max="13328" width="9.25" customWidth="1"/>
    <col min="13569" max="13569" width="4.5" customWidth="1"/>
    <col min="13579" max="13579" width="3.375" customWidth="1"/>
    <col min="13582" max="13582" width="90" customWidth="1"/>
    <col min="13583" max="13584" width="9.25" customWidth="1"/>
    <col min="13825" max="13825" width="4.5" customWidth="1"/>
    <col min="13835" max="13835" width="3.375" customWidth="1"/>
    <col min="13838" max="13838" width="90" customWidth="1"/>
    <col min="13839" max="13840" width="9.25" customWidth="1"/>
    <col min="14081" max="14081" width="4.5" customWidth="1"/>
    <col min="14091" max="14091" width="3.375" customWidth="1"/>
    <col min="14094" max="14094" width="90" customWidth="1"/>
    <col min="14095" max="14096" width="9.25" customWidth="1"/>
    <col min="14337" max="14337" width="4.5" customWidth="1"/>
    <col min="14347" max="14347" width="3.375" customWidth="1"/>
    <col min="14350" max="14350" width="90" customWidth="1"/>
    <col min="14351" max="14352" width="9.25" customWidth="1"/>
    <col min="14593" max="14593" width="4.5" customWidth="1"/>
    <col min="14603" max="14603" width="3.375" customWidth="1"/>
    <col min="14606" max="14606" width="90" customWidth="1"/>
    <col min="14607" max="14608" width="9.25" customWidth="1"/>
    <col min="14849" max="14849" width="4.5" customWidth="1"/>
    <col min="14859" max="14859" width="3.375" customWidth="1"/>
    <col min="14862" max="14862" width="90" customWidth="1"/>
    <col min="14863" max="14864" width="9.25" customWidth="1"/>
    <col min="15105" max="15105" width="4.5" customWidth="1"/>
    <col min="15115" max="15115" width="3.375" customWidth="1"/>
    <col min="15118" max="15118" width="90" customWidth="1"/>
    <col min="15119" max="15120" width="9.25" customWidth="1"/>
    <col min="15361" max="15361" width="4.5" customWidth="1"/>
    <col min="15371" max="15371" width="3.375" customWidth="1"/>
    <col min="15374" max="15374" width="90" customWidth="1"/>
    <col min="15375" max="15376" width="9.25" customWidth="1"/>
    <col min="15617" max="15617" width="4.5" customWidth="1"/>
    <col min="15627" max="15627" width="3.375" customWidth="1"/>
    <col min="15630" max="15630" width="90" customWidth="1"/>
    <col min="15631" max="15632" width="9.25" customWidth="1"/>
    <col min="15873" max="15873" width="4.5" customWidth="1"/>
    <col min="15883" max="15883" width="3.375" customWidth="1"/>
    <col min="15886" max="15886" width="90" customWidth="1"/>
    <col min="15887" max="15888" width="9.25" customWidth="1"/>
    <col min="16129" max="16129" width="4.5" customWidth="1"/>
    <col min="16139" max="16139" width="3.375" customWidth="1"/>
    <col min="16142" max="16142" width="90" customWidth="1"/>
    <col min="16143" max="16144" width="9.25" customWidth="1"/>
  </cols>
  <sheetData>
    <row r="1" spans="2:16" ht="20.25" customHeight="1"/>
    <row r="2" spans="2:16" ht="20.25" customHeight="1" thickBot="1">
      <c r="B2" s="1293" t="s">
        <v>1469</v>
      </c>
      <c r="C2" s="1293"/>
      <c r="D2" s="1293"/>
      <c r="E2" s="1293"/>
      <c r="F2" s="1293"/>
      <c r="G2" s="1293"/>
      <c r="H2" s="1293"/>
      <c r="L2" s="1294" t="s">
        <v>1470</v>
      </c>
      <c r="M2" s="1295"/>
      <c r="N2" s="1295"/>
      <c r="O2" s="1295"/>
      <c r="P2" s="1295"/>
    </row>
    <row r="3" spans="2:16" ht="20.25" customHeight="1">
      <c r="B3" s="1296" t="s">
        <v>1471</v>
      </c>
      <c r="C3" s="974" t="s">
        <v>1472</v>
      </c>
      <c r="D3" s="974" t="s">
        <v>1473</v>
      </c>
      <c r="E3" s="974" t="s">
        <v>1474</v>
      </c>
      <c r="F3" s="974" t="s">
        <v>1475</v>
      </c>
      <c r="G3" s="974" t="s">
        <v>1476</v>
      </c>
      <c r="H3" s="975" t="s">
        <v>1477</v>
      </c>
      <c r="L3" s="1295" t="s">
        <v>1478</v>
      </c>
      <c r="M3" s="1295" t="s">
        <v>1479</v>
      </c>
      <c r="N3" s="1295" t="s">
        <v>1480</v>
      </c>
      <c r="O3" s="1294" t="s">
        <v>1481</v>
      </c>
      <c r="P3" s="1295"/>
    </row>
    <row r="4" spans="2:16" ht="20.25" customHeight="1" thickBot="1">
      <c r="B4" s="1297"/>
      <c r="C4" s="1080" t="s">
        <v>1056</v>
      </c>
      <c r="D4" s="1080">
        <f>ROUND(E4*比较!E51/10000,0)</f>
        <v>47241</v>
      </c>
      <c r="E4" s="892">
        <f>比较!C38</f>
        <v>65345</v>
      </c>
      <c r="F4" s="976">
        <v>0.5</v>
      </c>
      <c r="G4" s="1299">
        <f>ROUND(H4*比较!C30/10000,0)</f>
        <v>49237</v>
      </c>
      <c r="H4" s="1301">
        <f>ROUND(F4*E4+E5*F5,0)</f>
        <v>68105</v>
      </c>
      <c r="I4">
        <f>(D4-D5)/D4</f>
        <v>-8.44605321648568E-2</v>
      </c>
      <c r="J4">
        <f>(E4-E5)/E4</f>
        <v>-8.4459407758818578E-2</v>
      </c>
      <c r="L4" s="1225"/>
      <c r="M4" s="1225"/>
      <c r="N4" s="1225"/>
      <c r="O4" s="1077" t="s">
        <v>1483</v>
      </c>
      <c r="P4" s="1077" t="s">
        <v>1484</v>
      </c>
    </row>
    <row r="5" spans="2:16" ht="20.25" customHeight="1" thickBot="1">
      <c r="B5" s="1298"/>
      <c r="C5" s="1081" t="s">
        <v>1536</v>
      </c>
      <c r="D5" s="1081">
        <f>'收益法 '!D43</f>
        <v>51231</v>
      </c>
      <c r="E5" s="977">
        <f>'收益法 '!D44</f>
        <v>70864</v>
      </c>
      <c r="F5" s="1081">
        <f>1-F4</f>
        <v>0.5</v>
      </c>
      <c r="G5" s="1300"/>
      <c r="H5" s="1302"/>
      <c r="I5">
        <f>(D4-D5)/D5</f>
        <v>-7.7882532060666393E-2</v>
      </c>
      <c r="J5">
        <f>(E4-E5)/E5</f>
        <v>-7.7881575976518402E-2</v>
      </c>
      <c r="L5" s="1303" t="s">
        <v>1486</v>
      </c>
      <c r="M5" s="1306">
        <v>25</v>
      </c>
      <c r="N5" s="1166" t="s">
        <v>1487</v>
      </c>
      <c r="O5" s="1309">
        <v>23</v>
      </c>
      <c r="P5" s="1309">
        <v>23</v>
      </c>
    </row>
    <row r="6" spans="2:16" ht="20.25" customHeight="1">
      <c r="B6" s="1296" t="s">
        <v>1488</v>
      </c>
      <c r="C6" s="974" t="s">
        <v>1489</v>
      </c>
      <c r="D6" s="974" t="s">
        <v>1490</v>
      </c>
      <c r="E6" s="974" t="s">
        <v>1491</v>
      </c>
      <c r="F6" s="974" t="s">
        <v>1492</v>
      </c>
      <c r="G6" s="974" t="s">
        <v>1493</v>
      </c>
      <c r="H6" s="975" t="s">
        <v>1491</v>
      </c>
      <c r="L6" s="1304"/>
      <c r="M6" s="1307"/>
      <c r="N6" s="1167" t="s">
        <v>1494</v>
      </c>
      <c r="O6" s="1310"/>
      <c r="P6" s="1310"/>
    </row>
    <row r="7" spans="2:16" ht="20.25" customHeight="1">
      <c r="B7" s="1297"/>
      <c r="C7" s="1080" t="s">
        <v>1482</v>
      </c>
      <c r="D7" s="1080"/>
      <c r="E7" s="892"/>
      <c r="F7" s="976">
        <v>0.5</v>
      </c>
      <c r="G7" s="1299">
        <f>ROUND(F7*D7+D8*F8,0)</f>
        <v>0</v>
      </c>
      <c r="H7" s="1301" t="e">
        <f>ROUND(G7/G30*10000,0)</f>
        <v>#DIV/0!</v>
      </c>
      <c r="I7" t="e">
        <f>(D7-D8)/D7</f>
        <v>#DIV/0!</v>
      </c>
      <c r="J7" t="e">
        <f>(E7-E8)/E7</f>
        <v>#DIV/0!</v>
      </c>
      <c r="L7" s="1304"/>
      <c r="M7" s="1307"/>
      <c r="N7" s="1167" t="s">
        <v>1495</v>
      </c>
      <c r="O7" s="1310"/>
      <c r="P7" s="1310"/>
    </row>
    <row r="8" spans="2:16" ht="20.25" customHeight="1" thickBot="1">
      <c r="B8" s="1298"/>
      <c r="C8" s="1081" t="s">
        <v>1485</v>
      </c>
      <c r="D8" s="1081"/>
      <c r="E8" s="977"/>
      <c r="F8" s="1081">
        <f>1-F7</f>
        <v>0.5</v>
      </c>
      <c r="G8" s="1300"/>
      <c r="H8" s="1302"/>
      <c r="I8" t="e">
        <f>(D7-D8)/D8</f>
        <v>#DIV/0!</v>
      </c>
      <c r="J8" t="e">
        <f>(E7-E8)/E8</f>
        <v>#DIV/0!</v>
      </c>
      <c r="L8" s="1304"/>
      <c r="M8" s="1307"/>
      <c r="N8" s="1167" t="s">
        <v>1496</v>
      </c>
      <c r="O8" s="1310"/>
      <c r="P8" s="1310"/>
    </row>
    <row r="9" spans="2:16" ht="20.25" customHeight="1" thickBot="1">
      <c r="B9" s="1296" t="s">
        <v>1497</v>
      </c>
      <c r="C9" s="974" t="s">
        <v>1489</v>
      </c>
      <c r="D9" s="974" t="s">
        <v>1490</v>
      </c>
      <c r="E9" s="974" t="s">
        <v>1491</v>
      </c>
      <c r="F9" s="974" t="s">
        <v>1492</v>
      </c>
      <c r="G9" s="974" t="s">
        <v>1493</v>
      </c>
      <c r="H9" s="975" t="s">
        <v>1491</v>
      </c>
      <c r="L9" s="1305"/>
      <c r="M9" s="1308"/>
      <c r="N9" s="1168" t="s">
        <v>1498</v>
      </c>
      <c r="O9" s="1311"/>
      <c r="P9" s="1311"/>
    </row>
    <row r="10" spans="2:16" ht="20.25" customHeight="1">
      <c r="B10" s="1297"/>
      <c r="C10" s="1080" t="s">
        <v>1499</v>
      </c>
      <c r="D10" s="1080"/>
      <c r="E10" s="892"/>
      <c r="F10" s="976">
        <v>0.5</v>
      </c>
      <c r="G10" s="1299">
        <f>ROUND(F10*D10+D11*F11,0)</f>
        <v>0</v>
      </c>
      <c r="H10" s="1301" t="e">
        <f>ROUND(G10/#REF!*10000,0)</f>
        <v>#REF!</v>
      </c>
      <c r="I10" t="e">
        <f>(D10-D11)/D10</f>
        <v>#DIV/0!</v>
      </c>
      <c r="J10" t="e">
        <f>(E10-E11)/E10</f>
        <v>#DIV/0!</v>
      </c>
      <c r="L10" s="1312" t="s">
        <v>1500</v>
      </c>
      <c r="M10" s="1319">
        <v>15</v>
      </c>
      <c r="N10" s="1166" t="s">
        <v>1501</v>
      </c>
      <c r="O10" s="1315">
        <v>12</v>
      </c>
      <c r="P10" s="1315">
        <v>12</v>
      </c>
    </row>
    <row r="11" spans="2:16" ht="20.25" customHeight="1" thickBot="1">
      <c r="B11" s="1298"/>
      <c r="C11" s="1081" t="s">
        <v>1502</v>
      </c>
      <c r="D11" s="1081"/>
      <c r="E11" s="977"/>
      <c r="F11" s="1081">
        <f>1-F10</f>
        <v>0.5</v>
      </c>
      <c r="G11" s="1300"/>
      <c r="H11" s="1302"/>
      <c r="I11" t="e">
        <f>(D10-D11)/D11</f>
        <v>#DIV/0!</v>
      </c>
      <c r="J11" t="e">
        <f>(E10-E11)/E11</f>
        <v>#DIV/0!</v>
      </c>
      <c r="L11" s="1313"/>
      <c r="M11" s="1320"/>
      <c r="N11" s="1167" t="s">
        <v>1503</v>
      </c>
      <c r="O11" s="1316"/>
      <c r="P11" s="1316"/>
    </row>
    <row r="12" spans="2:16" ht="20.25" customHeight="1" thickBot="1">
      <c r="L12" s="1314"/>
      <c r="M12" s="1321"/>
      <c r="N12" s="1168" t="s">
        <v>1504</v>
      </c>
      <c r="O12" s="1317"/>
      <c r="P12" s="1317"/>
    </row>
    <row r="13" spans="2:16" ht="20.25" customHeight="1">
      <c r="B13" s="1318" t="s">
        <v>1505</v>
      </c>
      <c r="C13" s="1318"/>
      <c r="D13" s="1318"/>
      <c r="E13" s="1318"/>
      <c r="F13" s="1318"/>
      <c r="G13" s="1318"/>
      <c r="H13" s="1318"/>
      <c r="I13" s="1318"/>
      <c r="J13" s="1318"/>
      <c r="L13" s="1312" t="s">
        <v>1506</v>
      </c>
      <c r="M13" s="1319">
        <v>15</v>
      </c>
      <c r="N13" s="1166" t="s">
        <v>1507</v>
      </c>
      <c r="O13" s="1315">
        <v>13</v>
      </c>
      <c r="P13" s="1315">
        <v>13</v>
      </c>
    </row>
    <row r="14" spans="2:16" ht="20.25" customHeight="1">
      <c r="B14" s="1322" t="s">
        <v>79</v>
      </c>
      <c r="C14" s="1322" t="s">
        <v>1055</v>
      </c>
      <c r="D14" s="1322" t="s">
        <v>1508</v>
      </c>
      <c r="E14" s="1322" t="s">
        <v>1509</v>
      </c>
      <c r="F14" s="1322"/>
      <c r="G14" s="1322" t="s">
        <v>80</v>
      </c>
      <c r="H14" s="1322"/>
      <c r="I14" s="1322" t="s">
        <v>81</v>
      </c>
      <c r="J14" s="1322"/>
      <c r="L14" s="1313"/>
      <c r="M14" s="1320"/>
      <c r="N14" s="1167" t="s">
        <v>1510</v>
      </c>
      <c r="O14" s="1316"/>
      <c r="P14" s="1316"/>
    </row>
    <row r="15" spans="2:16" ht="20.25" customHeight="1" thickBot="1">
      <c r="B15" s="1322"/>
      <c r="C15" s="1322"/>
      <c r="D15" s="1322"/>
      <c r="E15" s="1079" t="s">
        <v>82</v>
      </c>
      <c r="F15" s="1079" t="s">
        <v>76</v>
      </c>
      <c r="G15" s="1079" t="s">
        <v>82</v>
      </c>
      <c r="H15" s="1079" t="s">
        <v>76</v>
      </c>
      <c r="I15" s="1079" t="s">
        <v>82</v>
      </c>
      <c r="J15" s="1079" t="s">
        <v>76</v>
      </c>
      <c r="L15" s="1314"/>
      <c r="M15" s="1321"/>
      <c r="N15" s="1168" t="s">
        <v>1511</v>
      </c>
      <c r="O15" s="1317"/>
      <c r="P15" s="1317"/>
    </row>
    <row r="16" spans="2:16" ht="20.25" customHeight="1">
      <c r="B16" s="1079"/>
      <c r="C16" s="1079">
        <f>面积!E22</f>
        <v>41051.1</v>
      </c>
      <c r="D16" s="1079">
        <f>面积!F22</f>
        <v>14031.55</v>
      </c>
      <c r="E16" s="1079">
        <f>'收益法 '!K41</f>
        <v>139959</v>
      </c>
      <c r="F16" s="1175">
        <f>'收益法 '!L41</f>
        <v>34094</v>
      </c>
      <c r="G16" s="1175">
        <f>'收益法 '!M41</f>
        <v>52718</v>
      </c>
      <c r="H16" s="1175">
        <f>'收益法 '!N41</f>
        <v>12842</v>
      </c>
      <c r="I16" s="1079">
        <f>比较!L57</f>
        <v>192677</v>
      </c>
      <c r="J16" s="1079">
        <f>比较!K57</f>
        <v>46936</v>
      </c>
      <c r="L16" s="1312" t="s">
        <v>1512</v>
      </c>
      <c r="M16" s="1319">
        <v>15</v>
      </c>
      <c r="N16" s="1166" t="s">
        <v>1513</v>
      </c>
      <c r="O16" s="1315">
        <v>14</v>
      </c>
      <c r="P16" s="1315">
        <v>14</v>
      </c>
    </row>
    <row r="17" spans="2:16" ht="20.25" customHeight="1">
      <c r="B17" s="1079"/>
      <c r="C17" s="1079"/>
      <c r="D17" s="1079"/>
      <c r="E17" s="1079"/>
      <c r="F17" s="1079"/>
      <c r="G17" s="1079"/>
      <c r="H17" s="1079"/>
      <c r="I17" s="1079"/>
      <c r="J17" s="1079"/>
      <c r="L17" s="1313"/>
      <c r="M17" s="1320"/>
      <c r="N17" s="1167" t="s">
        <v>1514</v>
      </c>
      <c r="O17" s="1316"/>
      <c r="P17" s="1316"/>
    </row>
    <row r="18" spans="2:16" ht="20.25" customHeight="1" thickBot="1">
      <c r="B18" s="1079"/>
      <c r="C18" s="1079"/>
      <c r="D18" s="1079"/>
      <c r="E18" s="1169"/>
      <c r="F18" s="1169"/>
      <c r="G18" s="1169"/>
      <c r="H18" s="1169"/>
      <c r="I18" s="1082"/>
      <c r="J18" s="1169"/>
      <c r="L18" s="1314"/>
      <c r="M18" s="1321"/>
      <c r="N18" s="1168" t="s">
        <v>1515</v>
      </c>
      <c r="O18" s="1317"/>
      <c r="P18" s="1317"/>
    </row>
    <row r="19" spans="2:16" ht="20.25" customHeight="1">
      <c r="B19" s="1079" t="s">
        <v>1516</v>
      </c>
      <c r="C19" s="1079">
        <f>C16</f>
        <v>41051.1</v>
      </c>
      <c r="D19" s="1079">
        <f>D16</f>
        <v>14031.55</v>
      </c>
      <c r="E19" s="1334">
        <f>E16</f>
        <v>139959</v>
      </c>
      <c r="F19" s="1335"/>
      <c r="G19" s="1334">
        <f>G16</f>
        <v>52718</v>
      </c>
      <c r="H19" s="1335"/>
      <c r="I19" s="1336">
        <f>I16</f>
        <v>192677</v>
      </c>
      <c r="J19" s="1337"/>
      <c r="L19" s="1323" t="s">
        <v>1517</v>
      </c>
      <c r="M19" s="1326">
        <v>20</v>
      </c>
      <c r="N19" s="1166" t="s">
        <v>1518</v>
      </c>
      <c r="O19" s="1315">
        <v>18</v>
      </c>
      <c r="P19" s="1315">
        <v>18</v>
      </c>
    </row>
    <row r="20" spans="2:16" ht="20.25" customHeight="1">
      <c r="B20" s="1322" t="s">
        <v>84</v>
      </c>
      <c r="C20" s="1322"/>
      <c r="D20" s="1322"/>
      <c r="E20" s="1330">
        <f>E19*10000</f>
        <v>1399590000</v>
      </c>
      <c r="F20" s="1330"/>
      <c r="G20" s="1330">
        <f>G19*10000</f>
        <v>527180000</v>
      </c>
      <c r="H20" s="1330"/>
      <c r="I20" s="1330">
        <f>I16*10000</f>
        <v>1926770000</v>
      </c>
      <c r="J20" s="1330"/>
      <c r="L20" s="1324"/>
      <c r="M20" s="1327"/>
      <c r="N20" s="1167" t="s">
        <v>1519</v>
      </c>
      <c r="O20" s="1316"/>
      <c r="P20" s="1316"/>
    </row>
    <row r="21" spans="2:16" ht="20.25" customHeight="1">
      <c r="B21" s="1332" t="s">
        <v>85</v>
      </c>
      <c r="C21" s="1332"/>
      <c r="D21" s="1332"/>
      <c r="E21" s="1333">
        <v>100000</v>
      </c>
      <c r="F21" s="1333"/>
      <c r="G21" s="1333"/>
      <c r="H21" s="1333"/>
      <c r="I21" s="1333"/>
      <c r="J21" s="1333"/>
      <c r="L21" s="1324"/>
      <c r="M21" s="1327"/>
      <c r="N21" s="1167" t="s">
        <v>1520</v>
      </c>
      <c r="O21" s="1316"/>
      <c r="P21" s="1316"/>
    </row>
    <row r="22" spans="2:16" ht="20.25" customHeight="1" thickBot="1">
      <c r="B22" s="1322" t="s">
        <v>84</v>
      </c>
      <c r="C22" s="1322"/>
      <c r="D22" s="1322"/>
      <c r="E22" s="1330">
        <f>E21*10000</f>
        <v>1000000000</v>
      </c>
      <c r="F22" s="1330"/>
      <c r="G22" s="1330"/>
      <c r="H22" s="1330"/>
      <c r="I22" s="1330"/>
      <c r="J22" s="1330"/>
      <c r="L22" s="1325"/>
      <c r="M22" s="1328"/>
      <c r="N22" s="1168" t="s">
        <v>1521</v>
      </c>
      <c r="O22" s="1317"/>
      <c r="P22" s="1317"/>
    </row>
    <row r="23" spans="2:16" ht="20.25" customHeight="1">
      <c r="B23" s="1332" t="s">
        <v>86</v>
      </c>
      <c r="C23" s="1332"/>
      <c r="D23" s="1332"/>
      <c r="E23" s="1333">
        <f>I19-E21</f>
        <v>92677</v>
      </c>
      <c r="F23" s="1333"/>
      <c r="G23" s="1333"/>
      <c r="H23" s="1333"/>
      <c r="I23" s="1333"/>
      <c r="J23" s="1333"/>
      <c r="L23" s="1329" t="s">
        <v>1522</v>
      </c>
      <c r="M23" s="1329"/>
      <c r="N23" s="1329"/>
      <c r="O23" s="1078">
        <f>SUM(O5:O22)</f>
        <v>80</v>
      </c>
      <c r="P23" s="1078">
        <f>SUM(P5:P22)</f>
        <v>80</v>
      </c>
    </row>
    <row r="24" spans="2:16" ht="20.25" customHeight="1">
      <c r="B24" s="1322" t="s">
        <v>84</v>
      </c>
      <c r="C24" s="1322"/>
      <c r="D24" s="1322"/>
      <c r="E24" s="1330">
        <f>E23*10000</f>
        <v>926770000</v>
      </c>
      <c r="F24" s="1330"/>
      <c r="G24" s="1330"/>
      <c r="H24" s="1330"/>
      <c r="I24" s="1330"/>
      <c r="J24" s="1330"/>
      <c r="L24" s="1331" t="s">
        <v>1475</v>
      </c>
      <c r="M24" s="1331"/>
      <c r="N24" s="1331"/>
      <c r="O24" s="1170">
        <f>O23/(O23+P23)</f>
        <v>0.5</v>
      </c>
      <c r="P24" s="1170">
        <f>P23/(O23+P23)</f>
        <v>0.5</v>
      </c>
    </row>
    <row r="25" spans="2:16" ht="20.25" customHeight="1">
      <c r="H25">
        <f>ROUND(E23*10000/C16,0)</f>
        <v>22576</v>
      </c>
    </row>
    <row r="26" spans="2:16" ht="20.25" customHeight="1">
      <c r="B26" s="1318" t="s">
        <v>1523</v>
      </c>
      <c r="C26" s="1318"/>
      <c r="D26" s="1318"/>
      <c r="E26" s="1318"/>
      <c r="F26" s="1318"/>
      <c r="G26" s="1318"/>
      <c r="H26" s="1318"/>
      <c r="I26" s="1318"/>
      <c r="J26" s="1318"/>
      <c r="L26" s="1173"/>
    </row>
    <row r="27" spans="2:16" ht="20.25" customHeight="1">
      <c r="B27" s="1295" t="s">
        <v>1524</v>
      </c>
      <c r="C27" s="1295"/>
      <c r="D27" s="1295"/>
      <c r="E27" s="1078" t="s">
        <v>1490</v>
      </c>
      <c r="F27" s="1295" t="s">
        <v>1525</v>
      </c>
      <c r="G27" s="1295"/>
      <c r="H27" s="1295"/>
      <c r="I27" s="1295"/>
      <c r="J27" s="1295"/>
      <c r="L27">
        <v>192280</v>
      </c>
      <c r="M27">
        <f>L27-I19</f>
        <v>-397</v>
      </c>
    </row>
    <row r="28" spans="2:16" ht="20.25" customHeight="1">
      <c r="B28" s="1338" t="s">
        <v>1526</v>
      </c>
      <c r="C28" s="1338"/>
      <c r="D28" s="1338"/>
      <c r="E28" s="1078"/>
      <c r="F28" s="1295"/>
      <c r="G28" s="1295"/>
      <c r="H28" s="1295"/>
      <c r="I28" s="1295"/>
      <c r="J28" s="1295"/>
    </row>
    <row r="29" spans="2:16" ht="20.25" customHeight="1">
      <c r="B29" s="1338" t="s">
        <v>1527</v>
      </c>
      <c r="C29" s="1338"/>
      <c r="D29" s="1338"/>
      <c r="E29" s="1078"/>
      <c r="F29" s="1295"/>
      <c r="G29" s="1295"/>
      <c r="H29" s="1295"/>
      <c r="I29" s="1295"/>
      <c r="J29" s="1295"/>
    </row>
    <row r="30" spans="2:16" ht="20.25" customHeight="1">
      <c r="B30" s="1338" t="s">
        <v>1528</v>
      </c>
      <c r="C30" s="1338"/>
      <c r="D30" s="1338"/>
      <c r="E30" s="1078"/>
      <c r="F30" s="1295"/>
      <c r="G30" s="1295"/>
      <c r="H30" s="1295"/>
      <c r="I30" s="1295"/>
      <c r="J30" s="1295"/>
    </row>
    <row r="31" spans="2:16" ht="20.25" customHeight="1">
      <c r="B31" s="1338" t="s">
        <v>1529</v>
      </c>
      <c r="C31" s="1338"/>
      <c r="D31" s="1338"/>
      <c r="E31" s="1078"/>
      <c r="F31" s="1295"/>
      <c r="G31" s="1295"/>
      <c r="H31" s="1295"/>
      <c r="I31" s="1295"/>
      <c r="J31" s="1295"/>
      <c r="L31" s="891"/>
    </row>
    <row r="32" spans="2:16" ht="20.25" customHeight="1">
      <c r="B32" s="1340"/>
      <c r="C32" s="1340"/>
      <c r="D32" s="1340"/>
    </row>
    <row r="33" spans="2:10" ht="20.25" customHeight="1"/>
    <row r="34" spans="2:10" ht="39.75" customHeight="1">
      <c r="B34" s="1339" t="s">
        <v>1530</v>
      </c>
      <c r="C34" s="1339"/>
      <c r="D34" s="978"/>
      <c r="E34" s="1339" t="s">
        <v>1531</v>
      </c>
      <c r="F34" s="1339"/>
      <c r="G34" s="979"/>
    </row>
    <row r="35" spans="2:10" ht="39.75" customHeight="1">
      <c r="B35" s="1339" t="s">
        <v>1532</v>
      </c>
      <c r="C35" s="1339"/>
      <c r="D35" s="979"/>
      <c r="E35" s="1339" t="s">
        <v>1531</v>
      </c>
      <c r="F35" s="1339"/>
      <c r="G35" s="979"/>
    </row>
    <row r="36" spans="2:10" ht="39.75" customHeight="1">
      <c r="B36" s="1339" t="s">
        <v>1533</v>
      </c>
      <c r="C36" s="1339"/>
      <c r="E36" s="1339" t="s">
        <v>1531</v>
      </c>
      <c r="F36" s="1339"/>
    </row>
    <row r="37" spans="2:10" ht="20.25" customHeight="1"/>
    <row r="38" spans="2:10" ht="20.25" customHeight="1"/>
    <row r="39" spans="2:10" ht="20.25" customHeight="1">
      <c r="B39" t="s">
        <v>79</v>
      </c>
      <c r="C39" t="s">
        <v>1055</v>
      </c>
      <c r="D39" t="s">
        <v>71</v>
      </c>
      <c r="E39" t="s">
        <v>1535</v>
      </c>
      <c r="G39" t="s">
        <v>80</v>
      </c>
      <c r="I39" t="s">
        <v>81</v>
      </c>
    </row>
    <row r="40" spans="2:10" ht="20.25" customHeight="1">
      <c r="E40" t="s">
        <v>82</v>
      </c>
      <c r="F40" t="s">
        <v>76</v>
      </c>
      <c r="G40" t="s">
        <v>82</v>
      </c>
      <c r="H40" t="s">
        <v>76</v>
      </c>
      <c r="I40" t="s">
        <v>82</v>
      </c>
      <c r="J40" t="s">
        <v>76</v>
      </c>
    </row>
    <row r="41" spans="2:10" ht="20.25" customHeight="1">
      <c r="B41" t="s">
        <v>1534</v>
      </c>
      <c r="C41">
        <v>41051.1</v>
      </c>
      <c r="D41">
        <v>14031.55</v>
      </c>
      <c r="E41">
        <v>165542</v>
      </c>
      <c r="F41">
        <v>40325</v>
      </c>
      <c r="G41">
        <v>26353</v>
      </c>
      <c r="H41">
        <v>6420</v>
      </c>
      <c r="I41">
        <v>191895</v>
      </c>
      <c r="J41">
        <v>46745</v>
      </c>
    </row>
    <row r="42" spans="2:10" ht="20.25" customHeight="1"/>
    <row r="43" spans="2:10" ht="20.25" customHeight="1"/>
    <row r="44" spans="2:10" ht="20.25" customHeight="1"/>
    <row r="45" spans="2:10" ht="20.25" customHeight="1"/>
    <row r="46" spans="2:10" ht="20.25" customHeight="1"/>
    <row r="47" spans="2:10" ht="20.25" customHeight="1"/>
    <row r="48" spans="2:10" ht="20.25" customHeight="1"/>
    <row r="49" ht="20.25" customHeight="1"/>
    <row r="50" ht="20.25" customHeight="1"/>
    <row r="51" ht="20.25" customHeight="1"/>
    <row r="52" ht="20.25" customHeight="1"/>
    <row r="53" ht="20.25" customHeight="1"/>
    <row r="54" ht="20.25" customHeight="1"/>
    <row r="55" ht="20.25" customHeight="1"/>
  </sheetData>
  <mergeCells count="77">
    <mergeCell ref="B35:C35"/>
    <mergeCell ref="E35:F35"/>
    <mergeCell ref="B36:C36"/>
    <mergeCell ref="E36:F36"/>
    <mergeCell ref="B30:D30"/>
    <mergeCell ref="F30:J30"/>
    <mergeCell ref="B31:D31"/>
    <mergeCell ref="F31:J31"/>
    <mergeCell ref="B32:D32"/>
    <mergeCell ref="B34:C34"/>
    <mergeCell ref="E34:F34"/>
    <mergeCell ref="B29:D29"/>
    <mergeCell ref="F29:J29"/>
    <mergeCell ref="B22:D22"/>
    <mergeCell ref="E22:J22"/>
    <mergeCell ref="B23:D23"/>
    <mergeCell ref="E23:J23"/>
    <mergeCell ref="B26:J26"/>
    <mergeCell ref="B27:D27"/>
    <mergeCell ref="F27:J27"/>
    <mergeCell ref="B28:D28"/>
    <mergeCell ref="F28:J28"/>
    <mergeCell ref="O19:O22"/>
    <mergeCell ref="P19:P22"/>
    <mergeCell ref="M16:M18"/>
    <mergeCell ref="L23:N23"/>
    <mergeCell ref="B24:D24"/>
    <mergeCell ref="E24:J24"/>
    <mergeCell ref="L24:N24"/>
    <mergeCell ref="B20:D20"/>
    <mergeCell ref="E20:F20"/>
    <mergeCell ref="G20:H20"/>
    <mergeCell ref="I20:J20"/>
    <mergeCell ref="B21:D21"/>
    <mergeCell ref="E21:J21"/>
    <mergeCell ref="E19:F19"/>
    <mergeCell ref="G19:H19"/>
    <mergeCell ref="I19:J19"/>
    <mergeCell ref="L19:L22"/>
    <mergeCell ref="M19:M22"/>
    <mergeCell ref="G10:G11"/>
    <mergeCell ref="H10:H11"/>
    <mergeCell ref="L16:L18"/>
    <mergeCell ref="I14:J14"/>
    <mergeCell ref="M10:M12"/>
    <mergeCell ref="O16:O18"/>
    <mergeCell ref="P16:P18"/>
    <mergeCell ref="P5:P9"/>
    <mergeCell ref="B6:B8"/>
    <mergeCell ref="O10:O12"/>
    <mergeCell ref="P10:P12"/>
    <mergeCell ref="B13:J13"/>
    <mergeCell ref="L13:L15"/>
    <mergeCell ref="M13:M15"/>
    <mergeCell ref="O13:O15"/>
    <mergeCell ref="P13:P15"/>
    <mergeCell ref="B14:B15"/>
    <mergeCell ref="C14:C15"/>
    <mergeCell ref="D14:D15"/>
    <mergeCell ref="E14:F14"/>
    <mergeCell ref="G14:H14"/>
    <mergeCell ref="B2:H2"/>
    <mergeCell ref="L2:P2"/>
    <mergeCell ref="B3:B5"/>
    <mergeCell ref="L3:L4"/>
    <mergeCell ref="M3:M4"/>
    <mergeCell ref="N3:N4"/>
    <mergeCell ref="O3:P3"/>
    <mergeCell ref="G4:G5"/>
    <mergeCell ref="H4:H5"/>
    <mergeCell ref="L5:L9"/>
    <mergeCell ref="M5:M9"/>
    <mergeCell ref="O5:O9"/>
    <mergeCell ref="B9:B11"/>
    <mergeCell ref="G7:G8"/>
    <mergeCell ref="H7:H8"/>
    <mergeCell ref="L10:L12"/>
  </mergeCells>
  <phoneticPr fontId="89" type="noConversion"/>
  <pageMargins left="0.7" right="0.7" top="0.75" bottom="0.75" header="0.3" footer="0.3"/>
  <pageSetup paperSize="9" scale="65" orientation="portrait" r:id="rId1"/>
  <colBreaks count="1" manualBreakCount="1">
    <brk id="10"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O24"/>
  <sheetViews>
    <sheetView view="pageBreakPreview" topLeftCell="A13" zoomScale="130" zoomScaleSheetLayoutView="130" workbookViewId="0">
      <selection activeCell="I5" sqref="I5"/>
    </sheetView>
  </sheetViews>
  <sheetFormatPr defaultRowHeight="13.5"/>
  <cols>
    <col min="5" max="5" width="9.375" bestFit="1" customWidth="1"/>
    <col min="6" max="6" width="13.375" customWidth="1"/>
  </cols>
  <sheetData>
    <row r="1" spans="1:249" s="980" customFormat="1" ht="36.950000000000003" customHeight="1">
      <c r="A1" s="1341" t="s">
        <v>1057</v>
      </c>
      <c r="B1" s="1341"/>
      <c r="C1" s="1341"/>
      <c r="D1" s="1341"/>
      <c r="E1" s="1341"/>
      <c r="F1" s="1341"/>
    </row>
    <row r="2" spans="1:249" s="45" customFormat="1" ht="21" customHeight="1">
      <c r="A2" s="981" t="s">
        <v>69</v>
      </c>
      <c r="B2" s="981" t="s">
        <v>1058</v>
      </c>
      <c r="C2" s="981" t="s">
        <v>668</v>
      </c>
      <c r="D2" s="982" t="s">
        <v>1059</v>
      </c>
      <c r="E2" s="982" t="s">
        <v>1060</v>
      </c>
      <c r="F2" s="981" t="s">
        <v>693</v>
      </c>
      <c r="G2" s="983"/>
      <c r="H2" s="996" t="s">
        <v>1069</v>
      </c>
      <c r="I2" s="983"/>
      <c r="J2" s="983"/>
      <c r="K2" s="983"/>
      <c r="L2" s="983"/>
      <c r="M2" s="983"/>
      <c r="N2" s="983"/>
      <c r="O2" s="983"/>
      <c r="P2" s="983"/>
      <c r="Q2" s="983"/>
      <c r="R2" s="983"/>
      <c r="S2" s="983"/>
      <c r="T2" s="983"/>
      <c r="U2" s="983"/>
      <c r="V2" s="983"/>
      <c r="W2" s="983"/>
      <c r="X2" s="983"/>
      <c r="Y2" s="983"/>
      <c r="Z2" s="983"/>
      <c r="AA2" s="983"/>
      <c r="AB2" s="983"/>
      <c r="AC2" s="983"/>
      <c r="AD2" s="983"/>
      <c r="AE2" s="983"/>
      <c r="AF2" s="983"/>
      <c r="AG2" s="983"/>
      <c r="AH2" s="983"/>
      <c r="AI2" s="983"/>
      <c r="AJ2" s="983"/>
      <c r="AK2" s="983"/>
      <c r="AL2" s="983"/>
      <c r="AM2" s="983"/>
      <c r="AN2" s="983"/>
      <c r="AO2" s="983"/>
      <c r="AP2" s="983"/>
      <c r="AQ2" s="983"/>
      <c r="AR2" s="983"/>
      <c r="AS2" s="983"/>
      <c r="AT2" s="983"/>
      <c r="AU2" s="983"/>
      <c r="AV2" s="983"/>
      <c r="AW2" s="983"/>
      <c r="AX2" s="983"/>
      <c r="AY2" s="983"/>
      <c r="AZ2" s="983"/>
      <c r="BA2" s="983"/>
      <c r="BB2" s="983"/>
      <c r="BC2" s="983"/>
      <c r="BD2" s="983"/>
      <c r="BE2" s="983"/>
      <c r="BF2" s="983"/>
      <c r="BG2" s="983"/>
      <c r="BH2" s="983"/>
      <c r="BI2" s="983"/>
      <c r="BJ2" s="983"/>
      <c r="BK2" s="983"/>
      <c r="BL2" s="983"/>
      <c r="BM2" s="983"/>
      <c r="BN2" s="983"/>
      <c r="BO2" s="983"/>
      <c r="BP2" s="983"/>
      <c r="BQ2" s="983"/>
      <c r="BR2" s="983"/>
      <c r="BS2" s="983"/>
      <c r="BT2" s="983"/>
      <c r="BU2" s="983"/>
      <c r="BV2" s="983"/>
      <c r="BW2" s="983"/>
      <c r="BX2" s="983"/>
      <c r="BY2" s="983"/>
      <c r="BZ2" s="983"/>
      <c r="CA2" s="983"/>
      <c r="CB2" s="983"/>
      <c r="CC2" s="983"/>
      <c r="CD2" s="983"/>
      <c r="CE2" s="983"/>
      <c r="CF2" s="983"/>
      <c r="CG2" s="983"/>
      <c r="CH2" s="983"/>
      <c r="CI2" s="983"/>
      <c r="CJ2" s="983"/>
      <c r="CK2" s="983"/>
      <c r="CL2" s="983"/>
      <c r="CM2" s="983"/>
      <c r="CN2" s="983"/>
      <c r="CO2" s="983"/>
      <c r="CP2" s="983"/>
      <c r="CQ2" s="983"/>
      <c r="CR2" s="983"/>
      <c r="CS2" s="983"/>
      <c r="CT2" s="983"/>
      <c r="CU2" s="983"/>
      <c r="CV2" s="983"/>
      <c r="CW2" s="983"/>
      <c r="CX2" s="983"/>
      <c r="CY2" s="983"/>
      <c r="CZ2" s="983"/>
      <c r="DA2" s="983"/>
      <c r="DB2" s="983"/>
      <c r="DC2" s="983"/>
      <c r="DD2" s="983"/>
      <c r="DE2" s="983"/>
      <c r="DF2" s="983"/>
      <c r="DG2" s="983"/>
      <c r="DH2" s="983"/>
      <c r="DI2" s="983"/>
      <c r="DJ2" s="983"/>
      <c r="DK2" s="983"/>
      <c r="DL2" s="983"/>
      <c r="DM2" s="983"/>
      <c r="DN2" s="983"/>
      <c r="DO2" s="983"/>
      <c r="DP2" s="983"/>
      <c r="DQ2" s="983"/>
      <c r="DR2" s="983"/>
      <c r="DS2" s="983"/>
      <c r="DT2" s="983"/>
      <c r="DU2" s="983"/>
      <c r="DV2" s="983"/>
      <c r="DW2" s="983"/>
      <c r="DX2" s="983"/>
      <c r="DY2" s="983"/>
      <c r="DZ2" s="983"/>
      <c r="EA2" s="983"/>
      <c r="EB2" s="983"/>
      <c r="EC2" s="983"/>
      <c r="ED2" s="983"/>
      <c r="EE2" s="983"/>
      <c r="EF2" s="983"/>
      <c r="EG2" s="983"/>
      <c r="EH2" s="983"/>
      <c r="EI2" s="983"/>
      <c r="EJ2" s="983"/>
      <c r="EK2" s="983"/>
      <c r="EL2" s="983"/>
      <c r="EM2" s="983"/>
      <c r="EN2" s="983"/>
      <c r="EO2" s="983"/>
      <c r="EP2" s="983"/>
      <c r="EQ2" s="983"/>
      <c r="ER2" s="983"/>
      <c r="ES2" s="983"/>
      <c r="ET2" s="983"/>
      <c r="EU2" s="983"/>
      <c r="EV2" s="983"/>
      <c r="EW2" s="983"/>
      <c r="EX2" s="983"/>
      <c r="EY2" s="983"/>
      <c r="EZ2" s="983"/>
      <c r="FA2" s="983"/>
      <c r="FB2" s="983"/>
      <c r="FC2" s="983"/>
      <c r="FD2" s="983"/>
      <c r="FE2" s="983"/>
      <c r="FF2" s="983"/>
      <c r="FG2" s="983"/>
      <c r="FH2" s="983"/>
      <c r="FI2" s="983"/>
      <c r="FJ2" s="983"/>
      <c r="FK2" s="983"/>
      <c r="FL2" s="983"/>
      <c r="FM2" s="983"/>
      <c r="FN2" s="983"/>
      <c r="FO2" s="983"/>
      <c r="FP2" s="983"/>
      <c r="FQ2" s="983"/>
      <c r="FR2" s="983"/>
      <c r="FS2" s="983"/>
      <c r="FT2" s="983"/>
      <c r="FU2" s="983"/>
      <c r="FV2" s="983"/>
      <c r="FW2" s="983"/>
      <c r="FX2" s="983"/>
      <c r="FY2" s="983"/>
      <c r="FZ2" s="983"/>
      <c r="GA2" s="983"/>
      <c r="GB2" s="983"/>
      <c r="GC2" s="983"/>
      <c r="GD2" s="983"/>
      <c r="GE2" s="983"/>
      <c r="GF2" s="983"/>
      <c r="GG2" s="983"/>
      <c r="GH2" s="983"/>
      <c r="GI2" s="983"/>
      <c r="GJ2" s="983"/>
      <c r="GK2" s="983"/>
      <c r="GL2" s="983"/>
      <c r="GM2" s="983"/>
      <c r="GN2" s="983"/>
      <c r="GO2" s="983"/>
      <c r="GP2" s="983"/>
      <c r="GQ2" s="983"/>
      <c r="GR2" s="983"/>
      <c r="GS2" s="983"/>
      <c r="GT2" s="983"/>
      <c r="GU2" s="983"/>
      <c r="GV2" s="983"/>
      <c r="GW2" s="983"/>
      <c r="GX2" s="983"/>
      <c r="GY2" s="983"/>
      <c r="GZ2" s="983"/>
      <c r="HA2" s="983"/>
      <c r="HB2" s="983"/>
      <c r="HC2" s="983"/>
      <c r="HD2" s="983"/>
      <c r="HE2" s="983"/>
      <c r="HF2" s="983"/>
      <c r="HG2" s="983"/>
      <c r="HH2" s="983"/>
      <c r="HI2" s="983"/>
      <c r="HJ2" s="983"/>
      <c r="HK2" s="983"/>
      <c r="HL2" s="983"/>
      <c r="HM2" s="983"/>
      <c r="HN2" s="983"/>
      <c r="HO2" s="983"/>
      <c r="HP2" s="983"/>
      <c r="HQ2" s="983"/>
      <c r="HR2" s="983"/>
      <c r="HS2" s="983"/>
      <c r="HT2" s="983"/>
      <c r="HU2" s="983"/>
      <c r="HV2" s="983"/>
      <c r="HW2" s="983"/>
      <c r="HX2" s="983"/>
      <c r="HY2" s="983"/>
      <c r="HZ2" s="983"/>
      <c r="IA2" s="983"/>
      <c r="IB2" s="983"/>
      <c r="IC2" s="983"/>
      <c r="ID2" s="983"/>
      <c r="IE2" s="983"/>
      <c r="IF2" s="983"/>
      <c r="IG2" s="983"/>
      <c r="IH2" s="983"/>
      <c r="II2" s="983"/>
      <c r="IJ2" s="983"/>
      <c r="IK2" s="983"/>
      <c r="IL2" s="983"/>
      <c r="IM2" s="983"/>
      <c r="IN2" s="983"/>
      <c r="IO2" s="983"/>
    </row>
    <row r="3" spans="1:249" s="983" customFormat="1" ht="32.1" customHeight="1">
      <c r="A3" s="984">
        <v>1</v>
      </c>
      <c r="B3" s="985" t="s">
        <v>1061</v>
      </c>
      <c r="C3" s="985" t="s">
        <v>1061</v>
      </c>
      <c r="D3" s="984">
        <v>1</v>
      </c>
      <c r="E3" s="986">
        <v>507.69</v>
      </c>
      <c r="F3" s="987" t="s">
        <v>1062</v>
      </c>
      <c r="H3" s="983">
        <v>14455.4</v>
      </c>
    </row>
    <row r="4" spans="1:249" s="983" customFormat="1" ht="21" customHeight="1">
      <c r="A4" s="988">
        <v>2</v>
      </c>
      <c r="B4" s="989" t="s">
        <v>1061</v>
      </c>
      <c r="C4" s="989" t="s">
        <v>1061</v>
      </c>
      <c r="D4" s="988">
        <v>2</v>
      </c>
      <c r="E4" s="990">
        <v>7229.5</v>
      </c>
      <c r="F4" s="991"/>
    </row>
    <row r="5" spans="1:249" s="983" customFormat="1" ht="39" customHeight="1">
      <c r="A5" s="988">
        <v>3</v>
      </c>
      <c r="B5" s="989" t="s">
        <v>1061</v>
      </c>
      <c r="C5" s="989" t="s">
        <v>1063</v>
      </c>
      <c r="D5" s="988">
        <v>1</v>
      </c>
      <c r="E5" s="990">
        <v>732.35</v>
      </c>
      <c r="F5" s="991" t="s">
        <v>1062</v>
      </c>
    </row>
    <row r="6" spans="1:249" s="983" customFormat="1" ht="21" customHeight="1">
      <c r="A6" s="988">
        <v>4</v>
      </c>
      <c r="B6" s="989" t="s">
        <v>1061</v>
      </c>
      <c r="C6" s="989" t="s">
        <v>1063</v>
      </c>
      <c r="D6" s="988">
        <v>2</v>
      </c>
      <c r="E6" s="990">
        <v>6516.18</v>
      </c>
      <c r="F6" s="992"/>
    </row>
    <row r="7" spans="1:249" s="983" customFormat="1" ht="21" customHeight="1">
      <c r="A7" s="988">
        <v>5</v>
      </c>
      <c r="B7" s="989" t="s">
        <v>1061</v>
      </c>
      <c r="C7" s="989" t="s">
        <v>1064</v>
      </c>
      <c r="D7" s="988">
        <v>1</v>
      </c>
      <c r="E7" s="990">
        <v>6950.5</v>
      </c>
      <c r="F7" s="992"/>
    </row>
    <row r="8" spans="1:249" s="983" customFormat="1" ht="21" customHeight="1">
      <c r="A8" s="988">
        <v>6</v>
      </c>
      <c r="B8" s="989" t="s">
        <v>1061</v>
      </c>
      <c r="C8" s="989" t="s">
        <v>1065</v>
      </c>
      <c r="D8" s="988">
        <v>1</v>
      </c>
      <c r="E8" s="990">
        <v>6949.11</v>
      </c>
      <c r="F8" s="992"/>
    </row>
    <row r="9" spans="1:249" s="983" customFormat="1" ht="21" customHeight="1">
      <c r="A9" s="988">
        <v>7</v>
      </c>
      <c r="B9" s="989" t="s">
        <v>1061</v>
      </c>
      <c r="C9" s="989" t="s">
        <v>1066</v>
      </c>
      <c r="D9" s="988">
        <v>1</v>
      </c>
      <c r="E9" s="990">
        <v>7551.63</v>
      </c>
      <c r="F9" s="992"/>
    </row>
    <row r="10" spans="1:249" s="983" customFormat="1" ht="21" customHeight="1">
      <c r="A10" s="988">
        <v>8</v>
      </c>
      <c r="B10" s="989" t="s">
        <v>1061</v>
      </c>
      <c r="C10" s="989" t="s">
        <v>1067</v>
      </c>
      <c r="D10" s="988">
        <v>1</v>
      </c>
      <c r="E10" s="990">
        <v>5854.18</v>
      </c>
      <c r="F10" s="992"/>
    </row>
    <row r="11" spans="1:249" s="995" customFormat="1" ht="21" customHeight="1">
      <c r="A11" s="982" t="s">
        <v>83</v>
      </c>
      <c r="B11" s="982"/>
      <c r="C11" s="982"/>
      <c r="D11" s="982"/>
      <c r="E11" s="993">
        <f>SUM(E3:E10)</f>
        <v>42291.14</v>
      </c>
      <c r="F11" s="994"/>
    </row>
    <row r="14" spans="1:249">
      <c r="A14" s="891" t="s">
        <v>1068</v>
      </c>
    </row>
    <row r="15" spans="1:249" ht="22.5">
      <c r="A15" s="981" t="s">
        <v>69</v>
      </c>
      <c r="B15" s="981" t="s">
        <v>1058</v>
      </c>
      <c r="C15" s="981" t="s">
        <v>668</v>
      </c>
      <c r="D15" s="982" t="s">
        <v>1059</v>
      </c>
      <c r="E15" s="982" t="s">
        <v>1060</v>
      </c>
      <c r="F15" s="981" t="s">
        <v>1070</v>
      </c>
    </row>
    <row r="16" spans="1:249">
      <c r="A16" s="988">
        <v>1</v>
      </c>
      <c r="B16" s="989" t="s">
        <v>1061</v>
      </c>
      <c r="C16" s="989" t="s">
        <v>1061</v>
      </c>
      <c r="D16" s="988">
        <v>2</v>
      </c>
      <c r="E16" s="990">
        <v>7229.5</v>
      </c>
      <c r="F16" s="993">
        <f>ROUND(E16/$E$11*$H$3,2)</f>
        <v>2471.09</v>
      </c>
    </row>
    <row r="17" spans="1:6">
      <c r="A17" s="988">
        <v>2</v>
      </c>
      <c r="B17" s="989" t="s">
        <v>1061</v>
      </c>
      <c r="C17" s="989" t="s">
        <v>1063</v>
      </c>
      <c r="D17" s="988">
        <v>2</v>
      </c>
      <c r="E17" s="990">
        <v>6516.18</v>
      </c>
      <c r="F17" s="993">
        <f t="shared" ref="F17:F20" si="0">ROUND(E17/$E$11*$H$3,2)</f>
        <v>2227.27</v>
      </c>
    </row>
    <row r="18" spans="1:6">
      <c r="A18" s="988">
        <v>3</v>
      </c>
      <c r="B18" s="989" t="s">
        <v>1061</v>
      </c>
      <c r="C18" s="989" t="s">
        <v>1064</v>
      </c>
      <c r="D18" s="988">
        <v>1</v>
      </c>
      <c r="E18" s="990">
        <v>6950.5</v>
      </c>
      <c r="F18" s="993">
        <f t="shared" si="0"/>
        <v>2375.73</v>
      </c>
    </row>
    <row r="19" spans="1:6">
      <c r="A19" s="988">
        <v>4</v>
      </c>
      <c r="B19" s="989" t="s">
        <v>1061</v>
      </c>
      <c r="C19" s="989" t="s">
        <v>1065</v>
      </c>
      <c r="D19" s="988">
        <v>1</v>
      </c>
      <c r="E19" s="990">
        <v>6949.11</v>
      </c>
      <c r="F19" s="993">
        <f t="shared" si="0"/>
        <v>2375.25</v>
      </c>
    </row>
    <row r="20" spans="1:6">
      <c r="A20" s="988">
        <v>5</v>
      </c>
      <c r="B20" s="989" t="s">
        <v>1061</v>
      </c>
      <c r="C20" s="989" t="s">
        <v>1066</v>
      </c>
      <c r="D20" s="988">
        <v>1</v>
      </c>
      <c r="E20" s="990">
        <v>7551.63</v>
      </c>
      <c r="F20" s="993">
        <f t="shared" si="0"/>
        <v>2581.1999999999998</v>
      </c>
    </row>
    <row r="21" spans="1:6">
      <c r="A21" s="988">
        <v>6</v>
      </c>
      <c r="B21" s="989" t="s">
        <v>1061</v>
      </c>
      <c r="C21" s="989" t="s">
        <v>1067</v>
      </c>
      <c r="D21" s="988">
        <v>1</v>
      </c>
      <c r="E21" s="990">
        <v>5854.18</v>
      </c>
      <c r="F21" s="993">
        <f>F22-SUM(F16:F20)</f>
        <v>2001.0099999999984</v>
      </c>
    </row>
    <row r="22" spans="1:6">
      <c r="A22" s="982" t="s">
        <v>83</v>
      </c>
      <c r="B22" s="982"/>
      <c r="C22" s="982"/>
      <c r="D22" s="982"/>
      <c r="E22" s="993">
        <f>SUM(E16:E21)</f>
        <v>41051.1</v>
      </c>
      <c r="F22" s="993">
        <f>ROUND(E22/$E$11*$H$3,2)</f>
        <v>14031.55</v>
      </c>
    </row>
    <row r="24" spans="1:6">
      <c r="A24" s="891" t="s">
        <v>1071</v>
      </c>
      <c r="B24">
        <f>E22/F22</f>
        <v>2.9256283161874492</v>
      </c>
    </row>
  </sheetData>
  <mergeCells count="1">
    <mergeCell ref="A1:F1"/>
  </mergeCells>
  <phoneticPr fontId="89" type="noConversion"/>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indexed="40"/>
  </sheetPr>
  <dimension ref="A1:X46"/>
  <sheetViews>
    <sheetView view="pageBreakPreview" topLeftCell="A18" workbookViewId="0">
      <selection activeCell="C27" sqref="C27:M27"/>
    </sheetView>
  </sheetViews>
  <sheetFormatPr defaultRowHeight="13.5"/>
  <cols>
    <col min="1" max="1" width="9" style="302"/>
    <col min="2" max="2" width="11" style="302" customWidth="1"/>
    <col min="3" max="3" width="10.75" style="302" customWidth="1"/>
    <col min="4" max="4" width="12" style="302" customWidth="1"/>
    <col min="5" max="6" width="12.25" style="302" customWidth="1"/>
    <col min="7" max="7" width="11.875" style="302" customWidth="1"/>
    <col min="8" max="16" width="12" style="302" customWidth="1"/>
    <col min="17" max="17" width="10.125" style="302" customWidth="1"/>
    <col min="18" max="18" width="10.5" style="302" bestFit="1" customWidth="1"/>
    <col min="19" max="19" width="26.5" style="302" customWidth="1"/>
    <col min="20" max="20" width="25.625" style="302" customWidth="1"/>
    <col min="21" max="16384" width="9" style="302"/>
  </cols>
  <sheetData>
    <row r="1" spans="1:18" ht="14.25">
      <c r="A1" s="1255" t="s">
        <v>273</v>
      </c>
      <c r="B1" s="1255"/>
      <c r="C1" s="302">
        <v>2013</v>
      </c>
      <c r="D1" s="302">
        <v>11</v>
      </c>
      <c r="E1" s="302">
        <v>20</v>
      </c>
      <c r="N1" s="341"/>
      <c r="O1" s="342" t="s">
        <v>237</v>
      </c>
      <c r="P1" s="342">
        <v>1999</v>
      </c>
      <c r="Q1" s="341" t="s">
        <v>274</v>
      </c>
      <c r="R1" s="361">
        <v>0</v>
      </c>
    </row>
    <row r="2" spans="1:18" ht="14.25">
      <c r="A2" s="1267" t="s">
        <v>275</v>
      </c>
      <c r="B2" s="1255"/>
      <c r="N2" s="341"/>
      <c r="O2" s="342" t="s">
        <v>276</v>
      </c>
      <c r="P2" s="342">
        <v>60</v>
      </c>
      <c r="Q2" s="341" t="s">
        <v>277</v>
      </c>
      <c r="R2" s="302">
        <v>14</v>
      </c>
    </row>
    <row r="3" spans="1:18" ht="14.25">
      <c r="A3" s="1255"/>
      <c r="B3" s="1255"/>
      <c r="K3" s="302">
        <f>1-14/60</f>
        <v>0.76666666666666661</v>
      </c>
      <c r="N3" s="343"/>
      <c r="O3" s="197" t="s">
        <v>278</v>
      </c>
      <c r="P3" s="197" t="s">
        <v>279</v>
      </c>
    </row>
    <row r="4" spans="1:18" ht="14.25">
      <c r="A4" s="1255" t="s">
        <v>280</v>
      </c>
      <c r="B4" s="1255"/>
      <c r="D4" s="302" t="s">
        <v>281</v>
      </c>
      <c r="E4" s="303"/>
      <c r="F4" s="304"/>
      <c r="N4" s="197" t="s">
        <v>282</v>
      </c>
      <c r="O4" s="344">
        <f>ROUND(1-(1-$R$1)*14/$P$2,2)</f>
        <v>0.77</v>
      </c>
      <c r="P4" s="345">
        <f>ROUND('建筑（办）'!$D$29*O4,0)</f>
        <v>4628</v>
      </c>
    </row>
    <row r="5" spans="1:18" ht="14.25">
      <c r="A5" s="1256" t="s">
        <v>283</v>
      </c>
      <c r="B5" s="1256"/>
      <c r="D5" s="302" t="s">
        <v>281</v>
      </c>
      <c r="E5" s="304"/>
      <c r="N5" s="197" t="s">
        <v>284</v>
      </c>
      <c r="O5" s="344">
        <f>ROUND(1-(1-$R$1)*15/$P$2,2)</f>
        <v>0.75</v>
      </c>
      <c r="P5" s="345">
        <f>ROUND('建筑（办）'!$D$29*O5,0)</f>
        <v>4508</v>
      </c>
    </row>
    <row r="6" spans="1:18" ht="14.25">
      <c r="A6" s="1255" t="s">
        <v>285</v>
      </c>
      <c r="B6" s="1255"/>
      <c r="C6" s="301"/>
      <c r="D6" s="302" t="s">
        <v>281</v>
      </c>
      <c r="N6" s="197" t="s">
        <v>286</v>
      </c>
      <c r="O6" s="344">
        <f>ROUND(1-(1-$R$1)*16/$P$2,2)</f>
        <v>0.73</v>
      </c>
      <c r="P6" s="345">
        <f>ROUND('建筑（办）'!$D$29*O6,0)</f>
        <v>4387</v>
      </c>
    </row>
    <row r="7" spans="1:18" ht="14.25">
      <c r="B7" s="305"/>
      <c r="E7" s="302">
        <f>ROUND(C9+C9*D33,2)</f>
        <v>9.65</v>
      </c>
      <c r="K7" s="302">
        <f>ROUND(I9+I9*D33,2)</f>
        <v>10.7</v>
      </c>
      <c r="N7" s="197" t="s">
        <v>287</v>
      </c>
      <c r="O7" s="344">
        <f>ROUND(1-(1-$R$1)*17/$P$2,2)</f>
        <v>0.72</v>
      </c>
      <c r="P7" s="345">
        <f>ROUND('建筑（办）'!$D$29*O7,0)</f>
        <v>4327</v>
      </c>
    </row>
    <row r="8" spans="1:18" ht="42">
      <c r="A8" s="306" t="s">
        <v>288</v>
      </c>
      <c r="B8" s="307" t="s">
        <v>676</v>
      </c>
      <c r="C8" s="307" t="s">
        <v>677</v>
      </c>
      <c r="D8" s="308" t="s">
        <v>529</v>
      </c>
      <c r="E8" s="308" t="s">
        <v>678</v>
      </c>
      <c r="F8" s="309" t="s">
        <v>679</v>
      </c>
      <c r="G8" s="309" t="s">
        <v>680</v>
      </c>
      <c r="H8" s="310" t="s">
        <v>681</v>
      </c>
      <c r="I8" s="310" t="s">
        <v>682</v>
      </c>
      <c r="J8" s="346" t="s">
        <v>683</v>
      </c>
      <c r="K8" s="346" t="s">
        <v>684</v>
      </c>
      <c r="L8" s="347" t="s">
        <v>293</v>
      </c>
      <c r="N8" s="197" t="s">
        <v>294</v>
      </c>
      <c r="O8" s="344">
        <f>ROUND(1-(1-$R$1)*18/$P$2,2)</f>
        <v>0.7</v>
      </c>
      <c r="P8" s="345">
        <f>ROUND('建筑（办）'!$D$29*O8,0)</f>
        <v>4207</v>
      </c>
    </row>
    <row r="9" spans="1:18" ht="14.25">
      <c r="A9" s="306" t="s">
        <v>88</v>
      </c>
      <c r="B9" s="311">
        <f>ROUND(B11*10000/B10/365,2)</f>
        <v>4.47</v>
      </c>
      <c r="C9" s="311">
        <f>ROUND(L9+L9*D33,2)</f>
        <v>9.32</v>
      </c>
      <c r="D9" s="311">
        <f>ROUND(D11*10000/D10/365,2)</f>
        <v>7.72</v>
      </c>
      <c r="E9" s="311">
        <f>ROUND(E7+E7*D33,2)</f>
        <v>9.99</v>
      </c>
      <c r="F9" s="311">
        <f>ROUND(F11*10000/F10/365,2)</f>
        <v>3.73</v>
      </c>
      <c r="G9" s="311">
        <f>E9</f>
        <v>9.99</v>
      </c>
      <c r="H9" s="311">
        <f>ROUND(H11*10000/H10/365,2)</f>
        <v>3.38</v>
      </c>
      <c r="I9" s="311">
        <f>ROUND(G9+G9*D33,2)</f>
        <v>10.34</v>
      </c>
      <c r="J9" s="311">
        <f>ROUND(J11*10000/J10/365,2)</f>
        <v>3.96</v>
      </c>
      <c r="K9" s="311">
        <f>ROUND(K7+K7*D33,2)</f>
        <v>11.07</v>
      </c>
      <c r="L9" s="348">
        <v>9</v>
      </c>
      <c r="N9" s="197" t="s">
        <v>295</v>
      </c>
      <c r="O9" s="344">
        <f>ROUND(1-(1-$R$1)*19/$P$2,2)</f>
        <v>0.68</v>
      </c>
      <c r="P9" s="345">
        <f>ROUND('建筑（办）'!$D$29*O9,0)</f>
        <v>4087</v>
      </c>
    </row>
    <row r="10" spans="1:18" ht="14.25">
      <c r="A10" s="306" t="s">
        <v>296</v>
      </c>
      <c r="B10" s="311">
        <f>办租约!D23</f>
        <v>13342.850000000002</v>
      </c>
      <c r="C10" s="311">
        <f>B10</f>
        <v>13342.850000000002</v>
      </c>
      <c r="D10" s="311">
        <f>办租约!D49</f>
        <v>12808.729999999996</v>
      </c>
      <c r="E10" s="311">
        <f>D10</f>
        <v>12808.729999999996</v>
      </c>
      <c r="F10" s="311">
        <f>办租约!D53</f>
        <v>14201.960000000001</v>
      </c>
      <c r="G10" s="311">
        <f>F10</f>
        <v>14201.960000000001</v>
      </c>
      <c r="H10" s="311">
        <f>办租约!D57</f>
        <v>4934.8599999999997</v>
      </c>
      <c r="I10" s="311">
        <f>H10</f>
        <v>4934.8599999999997</v>
      </c>
      <c r="J10" s="311">
        <f>办租约!D59</f>
        <v>588.36</v>
      </c>
      <c r="K10" s="311">
        <f>J10</f>
        <v>588.36</v>
      </c>
      <c r="L10" s="315" t="e">
        <f>#REF!-办租约!D23-办租约!D49-办租约!D53-办租约!D57-办租约!D59</f>
        <v>#REF!</v>
      </c>
      <c r="N10" s="197" t="s">
        <v>541</v>
      </c>
      <c r="O10" s="344">
        <f>ROUND(1-(1-$R$1)*20/$P$2,2)</f>
        <v>0.67</v>
      </c>
      <c r="P10" s="345">
        <f>ROUND('建筑（办）'!$D$29*O10,0)</f>
        <v>4027</v>
      </c>
    </row>
    <row r="11" spans="1:18" ht="14.25">
      <c r="A11" s="306" t="s">
        <v>297</v>
      </c>
      <c r="B11" s="312">
        <f>ROUND(办租约!N23*12/10000,0)</f>
        <v>2175</v>
      </c>
      <c r="C11" s="312">
        <f>ROUND(C9*C10*365*(1-D21)/10000,0)</f>
        <v>4312</v>
      </c>
      <c r="D11" s="313">
        <f>ROUND(办租约!N49*12/10000,0)</f>
        <v>3608</v>
      </c>
      <c r="E11" s="312">
        <f>ROUND(E9*365*E10*(1-F21)/10000,0)</f>
        <v>4437</v>
      </c>
      <c r="F11" s="312">
        <f>ROUND(办租约!N53*12/10000,0)</f>
        <v>1933</v>
      </c>
      <c r="G11" s="312">
        <f>ROUND(G9*G10*365*(1-H21)/10000,0)</f>
        <v>4920</v>
      </c>
      <c r="H11" s="312">
        <f>ROUND(办租约!N57*12/10000,0)</f>
        <v>608</v>
      </c>
      <c r="I11" s="312">
        <f>ROUND(I9*I10*365*(1-J21)/10000,0)</f>
        <v>1769</v>
      </c>
      <c r="J11" s="312">
        <f>ROUND(办租约!N59*12/10000,0)</f>
        <v>85</v>
      </c>
      <c r="K11" s="312">
        <f>ROUND(K9*K10*365*(1-L21)/10000,0)</f>
        <v>226</v>
      </c>
      <c r="L11" s="314" t="e">
        <f>ROUND(L9*L10*(1-M21)*365/10000,0)</f>
        <v>#REF!</v>
      </c>
      <c r="N11" s="197" t="s">
        <v>542</v>
      </c>
      <c r="O11" s="344">
        <f>ROUND(1-(1-$R$1)*21/$P$2,2)</f>
        <v>0.65</v>
      </c>
      <c r="P11" s="345">
        <f>ROUND('建筑（办）'!$D$29*O11,0)</f>
        <v>3907</v>
      </c>
    </row>
    <row r="12" spans="1:18" ht="14.25">
      <c r="A12" s="306" t="s">
        <v>298</v>
      </c>
      <c r="B12" s="314">
        <v>1.03</v>
      </c>
      <c r="C12" s="314">
        <f>L12-B12</f>
        <v>29.09</v>
      </c>
      <c r="D12" s="314">
        <v>2.11</v>
      </c>
      <c r="E12" s="314">
        <f>L12-D12</f>
        <v>28.01</v>
      </c>
      <c r="F12" s="314">
        <v>2.4</v>
      </c>
      <c r="G12" s="314">
        <f>L12-F12</f>
        <v>27.720000000000002</v>
      </c>
      <c r="H12" s="314">
        <v>3.2</v>
      </c>
      <c r="I12" s="314">
        <f>L12-H12</f>
        <v>26.92</v>
      </c>
      <c r="J12" s="314">
        <v>1.03</v>
      </c>
      <c r="K12" s="314">
        <f>L12-J12</f>
        <v>29.09</v>
      </c>
      <c r="L12" s="314">
        <f>'建筑（办）'!D45</f>
        <v>30.12</v>
      </c>
      <c r="N12" s="197" t="s">
        <v>299</v>
      </c>
      <c r="O12" s="344">
        <f>ROUND(1-(1-$R$1)*22/$P$2,2)</f>
        <v>0.63</v>
      </c>
      <c r="P12" s="345">
        <f>ROUND('建筑（办）'!$D$29*O12,0)</f>
        <v>3786</v>
      </c>
    </row>
    <row r="13" spans="1:18" ht="14.25">
      <c r="A13" s="306" t="s">
        <v>71</v>
      </c>
      <c r="B13" s="311" t="e">
        <f>ROUND(B10/#REF!*(权属依据!B10+权属依据!E10),2)</f>
        <v>#REF!</v>
      </c>
      <c r="C13" s="315" t="e">
        <f>B13</f>
        <v>#REF!</v>
      </c>
      <c r="D13" s="315" t="e">
        <f>ROUND(D10/#REF!*(权属依据!B10+权属依据!E10),2)</f>
        <v>#REF!</v>
      </c>
      <c r="E13" s="315" t="e">
        <f>D13</f>
        <v>#REF!</v>
      </c>
      <c r="F13" s="315" t="e">
        <f>ROUND(F10/#REF!*(权属依据!B10+权属依据!E10),2)</f>
        <v>#REF!</v>
      </c>
      <c r="G13" s="315" t="e">
        <f>F13</f>
        <v>#REF!</v>
      </c>
      <c r="H13" s="315" t="e">
        <f>ROUND(H10/#REF!*(权属依据!B10+权属依据!E10),2)</f>
        <v>#REF!</v>
      </c>
      <c r="I13" s="315" t="e">
        <f>H13</f>
        <v>#REF!</v>
      </c>
      <c r="J13" s="315" t="e">
        <f>ROUND(J10/#REF!*(权属依据!B10+权属依据!E10),2)</f>
        <v>#REF!</v>
      </c>
      <c r="K13" s="315" t="e">
        <f>J13</f>
        <v>#REF!</v>
      </c>
      <c r="L13" s="315" t="e">
        <f>ROUND(L10/#REF!*(权属依据!B10+权属依据!E10),2)</f>
        <v>#REF!</v>
      </c>
      <c r="N13" s="197" t="s">
        <v>300</v>
      </c>
      <c r="O13" s="344">
        <f>ROUND(1-(1-$R$1)*23/$P$2,2)</f>
        <v>0.62</v>
      </c>
      <c r="P13" s="345">
        <f>ROUND('建筑（办）'!$D$29*O13,0)</f>
        <v>3726</v>
      </c>
    </row>
    <row r="14" spans="1:18" ht="14.25">
      <c r="A14" s="316"/>
      <c r="N14" s="197" t="s">
        <v>301</v>
      </c>
      <c r="O14" s="344">
        <f>ROUND(1-(1-$R$1)*24/$P$2,2)</f>
        <v>0.6</v>
      </c>
      <c r="P14" s="345">
        <f>ROUND('建筑（办）'!$D$29*O14,0)</f>
        <v>3606</v>
      </c>
    </row>
    <row r="15" spans="1:18" ht="14.25">
      <c r="A15" s="316"/>
      <c r="B15" s="317"/>
      <c r="C15" s="317"/>
      <c r="D15" s="317"/>
      <c r="G15" s="304"/>
      <c r="P15" s="345">
        <f>ROUND('建筑（办）'!$D$29*O15,0)</f>
        <v>0</v>
      </c>
    </row>
    <row r="16" spans="1:18" ht="14.25">
      <c r="A16" s="316"/>
      <c r="B16" s="318"/>
      <c r="C16" s="318"/>
      <c r="D16" s="317">
        <f>B10+D10+F10+H10+J10</f>
        <v>45876.76</v>
      </c>
      <c r="N16" s="197" t="s">
        <v>302</v>
      </c>
      <c r="O16" s="349">
        <v>0.72</v>
      </c>
      <c r="P16" s="345">
        <f>ROUND('建筑（办）'!$D$29*O16,0)</f>
        <v>4327</v>
      </c>
    </row>
    <row r="17" spans="1:16" ht="14.25">
      <c r="A17" s="316"/>
      <c r="B17" s="316"/>
      <c r="N17" s="197"/>
      <c r="O17" s="349"/>
      <c r="P17" s="345"/>
    </row>
    <row r="18" spans="1:16" ht="42" customHeight="1">
      <c r="A18" s="319" t="s">
        <v>69</v>
      </c>
      <c r="B18" s="320" t="s">
        <v>87</v>
      </c>
      <c r="C18" s="321" t="str">
        <f>B8</f>
        <v>2014年租期租约期内（2013.11.20至2014.11.30）</v>
      </c>
      <c r="D18" s="321" t="str">
        <f>C8</f>
        <v>2014年租期租约期外（2014.12.1至2044.1.3）</v>
      </c>
      <c r="E18" s="321" t="str">
        <f>D8</f>
        <v>2015租约期内（2013.11.20至2015.12.31）</v>
      </c>
      <c r="F18" s="321" t="str">
        <f>E8</f>
        <v>2015租约期外（2016.1.1至2044.1.3）</v>
      </c>
      <c r="G18" s="321" t="str">
        <f t="shared" ref="G18:M18" si="0">F8</f>
        <v>2016租约期内（2013.11.20至2016.4.14）</v>
      </c>
      <c r="H18" s="321" t="str">
        <f t="shared" si="0"/>
        <v>2016租约期外（2016.4.15至2044.1.3）</v>
      </c>
      <c r="I18" s="321" t="str">
        <f t="shared" si="0"/>
        <v>2017租约期内（2013.11.20至2017.1.31）</v>
      </c>
      <c r="J18" s="321" t="str">
        <f t="shared" si="0"/>
        <v>2017租约期外（2017.2.1至2044.1.3）</v>
      </c>
      <c r="K18" s="321" t="str">
        <f t="shared" si="0"/>
        <v>2019租约期内（2013.11.20至2019.6.30）</v>
      </c>
      <c r="L18" s="321" t="str">
        <f t="shared" si="0"/>
        <v>2019租约期外（2019.7.1至2044.1.3）</v>
      </c>
      <c r="M18" s="321" t="str">
        <f t="shared" si="0"/>
        <v>租约期外</v>
      </c>
      <c r="N18" s="321"/>
      <c r="O18" s="230" t="s">
        <v>303</v>
      </c>
      <c r="P18" s="230" t="s">
        <v>304</v>
      </c>
    </row>
    <row r="19" spans="1:16">
      <c r="A19" s="229" t="s">
        <v>305</v>
      </c>
      <c r="B19" s="230" t="s">
        <v>306</v>
      </c>
      <c r="C19" s="231">
        <f>B10</f>
        <v>13342.850000000002</v>
      </c>
      <c r="D19" s="231">
        <f>C10</f>
        <v>13342.850000000002</v>
      </c>
      <c r="E19" s="231">
        <f>D10</f>
        <v>12808.729999999996</v>
      </c>
      <c r="F19" s="231">
        <f>E10</f>
        <v>12808.729999999996</v>
      </c>
      <c r="G19" s="231">
        <f t="shared" ref="G19:M19" si="1">F10</f>
        <v>14201.960000000001</v>
      </c>
      <c r="H19" s="231">
        <f t="shared" si="1"/>
        <v>14201.960000000001</v>
      </c>
      <c r="I19" s="231">
        <f t="shared" si="1"/>
        <v>4934.8599999999997</v>
      </c>
      <c r="J19" s="231">
        <f t="shared" si="1"/>
        <v>4934.8599999999997</v>
      </c>
      <c r="K19" s="231">
        <f t="shared" si="1"/>
        <v>588.36</v>
      </c>
      <c r="L19" s="231">
        <f t="shared" si="1"/>
        <v>588.36</v>
      </c>
      <c r="M19" s="231" t="e">
        <f t="shared" si="1"/>
        <v>#REF!</v>
      </c>
      <c r="N19" s="231"/>
      <c r="O19" s="230"/>
      <c r="P19" s="350"/>
    </row>
    <row r="20" spans="1:16">
      <c r="A20" s="229" t="s">
        <v>307</v>
      </c>
      <c r="B20" s="232" t="s">
        <v>88</v>
      </c>
      <c r="C20" s="322">
        <f>B9</f>
        <v>4.47</v>
      </c>
      <c r="D20" s="322">
        <f>C9</f>
        <v>9.32</v>
      </c>
      <c r="E20" s="322">
        <f>D9</f>
        <v>7.72</v>
      </c>
      <c r="F20" s="322">
        <f>E9</f>
        <v>9.99</v>
      </c>
      <c r="G20" s="322">
        <f t="shared" ref="G20:M20" si="2">F9</f>
        <v>3.73</v>
      </c>
      <c r="H20" s="322">
        <f t="shared" si="2"/>
        <v>9.99</v>
      </c>
      <c r="I20" s="322">
        <f t="shared" si="2"/>
        <v>3.38</v>
      </c>
      <c r="J20" s="322">
        <f t="shared" si="2"/>
        <v>10.34</v>
      </c>
      <c r="K20" s="322">
        <f t="shared" si="2"/>
        <v>3.96</v>
      </c>
      <c r="L20" s="322">
        <f t="shared" si="2"/>
        <v>11.07</v>
      </c>
      <c r="M20" s="351">
        <f t="shared" si="2"/>
        <v>9</v>
      </c>
      <c r="N20" s="322"/>
      <c r="O20" s="230"/>
      <c r="P20" s="350"/>
    </row>
    <row r="21" spans="1:16">
      <c r="A21" s="229" t="s">
        <v>308</v>
      </c>
      <c r="B21" s="232" t="s">
        <v>309</v>
      </c>
      <c r="C21" s="323" t="s">
        <v>239</v>
      </c>
      <c r="D21" s="324">
        <v>0.05</v>
      </c>
      <c r="E21" s="323" t="s">
        <v>239</v>
      </c>
      <c r="F21" s="324">
        <f t="shared" ref="F21:L21" si="3">D21</f>
        <v>0.05</v>
      </c>
      <c r="G21" s="324" t="str">
        <f t="shared" si="3"/>
        <v>——</v>
      </c>
      <c r="H21" s="324">
        <f t="shared" si="3"/>
        <v>0.05</v>
      </c>
      <c r="I21" s="324" t="str">
        <f t="shared" si="3"/>
        <v>——</v>
      </c>
      <c r="J21" s="324">
        <f t="shared" si="3"/>
        <v>0.05</v>
      </c>
      <c r="K21" s="324" t="str">
        <f t="shared" si="3"/>
        <v>——</v>
      </c>
      <c r="L21" s="324">
        <f t="shared" si="3"/>
        <v>0.05</v>
      </c>
      <c r="M21" s="324">
        <f>F21</f>
        <v>0.05</v>
      </c>
      <c r="N21" s="324"/>
      <c r="O21" s="230"/>
      <c r="P21" s="350"/>
    </row>
    <row r="22" spans="1:16" s="300" customFormat="1" ht="21.75" customHeight="1">
      <c r="A22" s="325">
        <v>1</v>
      </c>
      <c r="B22" s="233" t="s">
        <v>310</v>
      </c>
      <c r="C22" s="326">
        <f>B11</f>
        <v>2175</v>
      </c>
      <c r="D22" s="326">
        <f>C11</f>
        <v>4312</v>
      </c>
      <c r="E22" s="326">
        <f>D11</f>
        <v>3608</v>
      </c>
      <c r="F22" s="326">
        <f>E11</f>
        <v>4437</v>
      </c>
      <c r="G22" s="326">
        <f t="shared" ref="G22:M22" si="4">F11</f>
        <v>1933</v>
      </c>
      <c r="H22" s="326">
        <f t="shared" si="4"/>
        <v>4920</v>
      </c>
      <c r="I22" s="326">
        <f t="shared" si="4"/>
        <v>608</v>
      </c>
      <c r="J22" s="326">
        <f t="shared" si="4"/>
        <v>1769</v>
      </c>
      <c r="K22" s="326">
        <f t="shared" si="4"/>
        <v>85</v>
      </c>
      <c r="L22" s="326">
        <f t="shared" si="4"/>
        <v>226</v>
      </c>
      <c r="M22" s="326" t="e">
        <f t="shared" si="4"/>
        <v>#REF!</v>
      </c>
      <c r="N22" s="326"/>
      <c r="O22" s="1257" t="s">
        <v>311</v>
      </c>
      <c r="P22" s="1258"/>
    </row>
    <row r="23" spans="1:16" ht="22.5" customHeight="1">
      <c r="A23" s="229" t="s">
        <v>312</v>
      </c>
      <c r="B23" s="234" t="s">
        <v>313</v>
      </c>
      <c r="C23" s="327">
        <f>ROUND(C22*$O$23,2)</f>
        <v>121.8</v>
      </c>
      <c r="D23" s="327">
        <f>ROUND(D22*$O$23,2)</f>
        <v>241.47</v>
      </c>
      <c r="E23" s="327">
        <f>ROUND(E22*$O$23,2)</f>
        <v>202.05</v>
      </c>
      <c r="F23" s="327">
        <f>ROUND(F22*$O$23,2)</f>
        <v>248.47</v>
      </c>
      <c r="G23" s="327">
        <f t="shared" ref="G23:M23" si="5">ROUND(G22*$O$23,2)</f>
        <v>108.25</v>
      </c>
      <c r="H23" s="327">
        <f t="shared" si="5"/>
        <v>275.52</v>
      </c>
      <c r="I23" s="327">
        <f t="shared" si="5"/>
        <v>34.049999999999997</v>
      </c>
      <c r="J23" s="327">
        <f t="shared" si="5"/>
        <v>99.06</v>
      </c>
      <c r="K23" s="327">
        <f t="shared" si="5"/>
        <v>4.76</v>
      </c>
      <c r="L23" s="327">
        <f t="shared" si="5"/>
        <v>12.66</v>
      </c>
      <c r="M23" s="327" t="e">
        <f t="shared" si="5"/>
        <v>#REF!</v>
      </c>
      <c r="N23" s="327"/>
      <c r="O23" s="243">
        <v>5.6000000000000001E-2</v>
      </c>
      <c r="P23" s="240" t="s">
        <v>314</v>
      </c>
    </row>
    <row r="24" spans="1:16" ht="22.9" customHeight="1">
      <c r="A24" s="229" t="s">
        <v>315</v>
      </c>
      <c r="B24" s="328" t="s">
        <v>316</v>
      </c>
      <c r="C24" s="329">
        <f>ROUND(('建筑（办）'!$D$29*(1-'建筑（办）'!$D$27)-'建筑（办）'!$D$26)*70%*1.2%*C19/10000,2)</f>
        <v>55.51</v>
      </c>
      <c r="D24" s="329">
        <f>ROUND(('建筑（办）'!$D$29*(1-'建筑（办）'!$D$27)-'建筑（办）'!$D$26)*70%*1.2%*D19/10000,2)</f>
        <v>55.51</v>
      </c>
      <c r="E24" s="329">
        <f>ROUND(('建筑（办）'!$D$29*(1-'建筑（办）'!$D$27)-'建筑（办）'!$D$26)*70%*1.2%*E19/10000,2)</f>
        <v>53.29</v>
      </c>
      <c r="F24" s="329">
        <f>ROUND(('建筑（办）'!$D$29*(1-'建筑（办）'!$D$27)-'建筑（办）'!$D$26)*70%*1.2%*F19/10000,2)</f>
        <v>53.29</v>
      </c>
      <c r="G24" s="329">
        <f>ROUND(('建筑（办）'!$D$29*(1-'建筑（办）'!$D$27)-'建筑（办）'!$D$26)*70%*1.2%*G19/10000,2)</f>
        <v>59.09</v>
      </c>
      <c r="H24" s="329">
        <f>ROUND(('建筑（办）'!$D$29*(1-'建筑（办）'!$D$27)-'建筑（办）'!$D$26)*70%*1.2%*H19/10000,2)</f>
        <v>59.09</v>
      </c>
      <c r="I24" s="329">
        <f>ROUND(('建筑（办）'!$D$29*(1-'建筑（办）'!$D$27)-'建筑（办）'!$D$26)*70%*1.2%*I19/10000,2)</f>
        <v>20.53</v>
      </c>
      <c r="J24" s="329">
        <f>ROUND(('建筑（办）'!$D$29*(1-'建筑（办）'!$D$27)-'建筑（办）'!$D$26)*70%*1.2%*J19/10000,2)</f>
        <v>20.53</v>
      </c>
      <c r="K24" s="329">
        <f>ROUND(('建筑（办）'!$D$29*(1-'建筑（办）'!$D$27)-'建筑（办）'!$D$26)*70%*1.2%*K19/10000,2)</f>
        <v>2.4500000000000002</v>
      </c>
      <c r="L24" s="329">
        <f>ROUND(('建筑（办）'!$D$29*(1-'建筑（办）'!$D$27)-'建筑（办）'!$D$26)*70%*1.2%*L19/10000,2)</f>
        <v>2.4500000000000002</v>
      </c>
      <c r="M24" s="329" t="e">
        <f>ROUND(('建筑（办）'!$D$29*(1-'建筑（办）'!$D$27)-'建筑（办）'!$D$26)*70%*1.2%*M19/10000,2)</f>
        <v>#REF!</v>
      </c>
      <c r="N24" s="329"/>
      <c r="O24" s="243">
        <v>1.2E-2</v>
      </c>
      <c r="P24" s="240" t="s">
        <v>317</v>
      </c>
    </row>
    <row r="25" spans="1:16" ht="22.9" customHeight="1">
      <c r="A25" s="229" t="s">
        <v>318</v>
      </c>
      <c r="B25" s="328" t="s">
        <v>319</v>
      </c>
      <c r="C25" s="329" t="e">
        <f t="shared" ref="C25:M25" si="6">ROUND(B13*$O$25/10000,2)</f>
        <v>#REF!</v>
      </c>
      <c r="D25" s="329" t="e">
        <f t="shared" si="6"/>
        <v>#REF!</v>
      </c>
      <c r="E25" s="329" t="e">
        <f t="shared" si="6"/>
        <v>#REF!</v>
      </c>
      <c r="F25" s="329" t="e">
        <f t="shared" si="6"/>
        <v>#REF!</v>
      </c>
      <c r="G25" s="329" t="e">
        <f t="shared" si="6"/>
        <v>#REF!</v>
      </c>
      <c r="H25" s="329" t="e">
        <f t="shared" si="6"/>
        <v>#REF!</v>
      </c>
      <c r="I25" s="329" t="e">
        <f t="shared" si="6"/>
        <v>#REF!</v>
      </c>
      <c r="J25" s="329" t="e">
        <f t="shared" si="6"/>
        <v>#REF!</v>
      </c>
      <c r="K25" s="329" t="e">
        <f t="shared" si="6"/>
        <v>#REF!</v>
      </c>
      <c r="L25" s="329" t="e">
        <f t="shared" si="6"/>
        <v>#REF!</v>
      </c>
      <c r="M25" s="329" t="e">
        <f t="shared" si="6"/>
        <v>#REF!</v>
      </c>
      <c r="N25" s="352"/>
      <c r="O25" s="244">
        <v>24</v>
      </c>
      <c r="P25" s="353" t="s">
        <v>320</v>
      </c>
    </row>
    <row r="26" spans="1:16" ht="24" customHeight="1">
      <c r="A26" s="235" t="s">
        <v>321</v>
      </c>
      <c r="B26" s="330" t="s">
        <v>322</v>
      </c>
      <c r="C26" s="326" t="e">
        <f t="shared" ref="C26:M26" si="7">ROUND(SUM(C23:C25,0),0)</f>
        <v>#REF!</v>
      </c>
      <c r="D26" s="326" t="e">
        <f t="shared" si="7"/>
        <v>#REF!</v>
      </c>
      <c r="E26" s="326" t="e">
        <f t="shared" si="7"/>
        <v>#REF!</v>
      </c>
      <c r="F26" s="326" t="e">
        <f t="shared" si="7"/>
        <v>#REF!</v>
      </c>
      <c r="G26" s="326" t="e">
        <f t="shared" si="7"/>
        <v>#REF!</v>
      </c>
      <c r="H26" s="326" t="e">
        <f t="shared" si="7"/>
        <v>#REF!</v>
      </c>
      <c r="I26" s="326" t="e">
        <f t="shared" si="7"/>
        <v>#REF!</v>
      </c>
      <c r="J26" s="326" t="e">
        <f t="shared" si="7"/>
        <v>#REF!</v>
      </c>
      <c r="K26" s="326" t="e">
        <f t="shared" si="7"/>
        <v>#REF!</v>
      </c>
      <c r="L26" s="326" t="e">
        <f t="shared" si="7"/>
        <v>#REF!</v>
      </c>
      <c r="M26" s="326" t="e">
        <f t="shared" si="7"/>
        <v>#REF!</v>
      </c>
      <c r="N26" s="326"/>
      <c r="O26" s="354"/>
      <c r="P26" s="355" t="s">
        <v>323</v>
      </c>
    </row>
    <row r="27" spans="1:16" ht="19.899999999999999" customHeight="1">
      <c r="A27" s="229" t="s">
        <v>324</v>
      </c>
      <c r="B27" s="236" t="s">
        <v>325</v>
      </c>
      <c r="C27" s="327">
        <f>ROUND('建筑（办）'!$D$29*$O$27*C19/10000,2)</f>
        <v>16.04</v>
      </c>
      <c r="D27" s="327">
        <f>ROUND('建筑（办）'!$D$29*$O$27*D19/10000,2)</f>
        <v>16.04</v>
      </c>
      <c r="E27" s="327">
        <f>ROUND('建筑（办）'!$D$29*$O$27*E19/10000,2)</f>
        <v>15.4</v>
      </c>
      <c r="F27" s="327">
        <f>ROUND('建筑（办）'!$D$29*$O$27*F19/10000,2)</f>
        <v>15.4</v>
      </c>
      <c r="G27" s="327">
        <f>ROUND('建筑（办）'!$D$29*$O$27*G19/10000,2)</f>
        <v>17.07</v>
      </c>
      <c r="H27" s="327">
        <f>ROUND('建筑（办）'!$D$29*$O$27*H19/10000,2)</f>
        <v>17.07</v>
      </c>
      <c r="I27" s="327">
        <f>ROUND('建筑（办）'!$D$29*$O$27*I19/10000,2)</f>
        <v>5.93</v>
      </c>
      <c r="J27" s="327">
        <f>ROUND('建筑（办）'!$D$29*$O$27*J19/10000,2)</f>
        <v>5.93</v>
      </c>
      <c r="K27" s="327">
        <f>ROUND('建筑（办）'!$D$29*$O$27*K19/10000,2)</f>
        <v>0.71</v>
      </c>
      <c r="L27" s="327">
        <f>ROUND('建筑（办）'!$D$29*$O$27*L19/10000,2)</f>
        <v>0.71</v>
      </c>
      <c r="M27" s="327" t="e">
        <f>ROUND('建筑（办）'!$D$29*$O$27*M19/10000,2)</f>
        <v>#REF!</v>
      </c>
      <c r="N27" s="327"/>
      <c r="O27" s="245">
        <v>2E-3</v>
      </c>
      <c r="P27" s="353" t="s">
        <v>326</v>
      </c>
    </row>
    <row r="28" spans="1:16" ht="19.899999999999999" customHeight="1">
      <c r="A28" s="229" t="s">
        <v>327</v>
      </c>
      <c r="B28" s="236" t="s">
        <v>328</v>
      </c>
      <c r="C28" s="327">
        <f>ROUND(P4*C19*$O$28/10000,2)</f>
        <v>1.54</v>
      </c>
      <c r="D28" s="327">
        <f>ROUND(P5*D19*$O$28/10000,2)</f>
        <v>1.5</v>
      </c>
      <c r="E28" s="327">
        <f>ROUND(P4*E19*$O$28/10000,5)</f>
        <v>1.48197</v>
      </c>
      <c r="F28" s="327">
        <f>ROUND(P7*F19*$O$28/10000,2)</f>
        <v>1.39</v>
      </c>
      <c r="G28" s="327">
        <f>ROUND(P4*G19*$O$28/10000,5)</f>
        <v>1.64317</v>
      </c>
      <c r="H28" s="327">
        <f>ROUND(P7*H19*$O$28/10000,2)</f>
        <v>1.54</v>
      </c>
      <c r="I28" s="327">
        <f>ROUND(P4*I19*$O$28/10000,5)</f>
        <v>0.57096000000000002</v>
      </c>
      <c r="J28" s="327">
        <f>ROUND(P8*J19*$O$28/10000,2)</f>
        <v>0.52</v>
      </c>
      <c r="K28" s="327">
        <f>ROUND(P4*K19*$O$28/10000,2)</f>
        <v>7.0000000000000007E-2</v>
      </c>
      <c r="L28" s="327">
        <f>ROUND(P10*L19*$O$28/10000,2)</f>
        <v>0.06</v>
      </c>
      <c r="M28" s="327" t="e">
        <f>ROUND(P4*M19*$O$28/10000,2)</f>
        <v>#REF!</v>
      </c>
      <c r="N28" s="327"/>
      <c r="O28" s="246">
        <v>2.5000000000000001E-4</v>
      </c>
      <c r="P28" s="247" t="s">
        <v>329</v>
      </c>
    </row>
    <row r="29" spans="1:16" ht="19.899999999999999" customHeight="1">
      <c r="A29" s="229" t="s">
        <v>330</v>
      </c>
      <c r="B29" s="236" t="s">
        <v>331</v>
      </c>
      <c r="C29" s="327">
        <f t="shared" ref="C29:M29" si="8">ROUND(C22*$O$29,2)</f>
        <v>43.5</v>
      </c>
      <c r="D29" s="327">
        <f t="shared" si="8"/>
        <v>86.24</v>
      </c>
      <c r="E29" s="327">
        <f t="shared" si="8"/>
        <v>72.16</v>
      </c>
      <c r="F29" s="327">
        <f t="shared" si="8"/>
        <v>88.74</v>
      </c>
      <c r="G29" s="327">
        <f t="shared" si="8"/>
        <v>38.659999999999997</v>
      </c>
      <c r="H29" s="327">
        <f t="shared" si="8"/>
        <v>98.4</v>
      </c>
      <c r="I29" s="327">
        <f t="shared" si="8"/>
        <v>12.16</v>
      </c>
      <c r="J29" s="327">
        <f t="shared" si="8"/>
        <v>35.380000000000003</v>
      </c>
      <c r="K29" s="327">
        <f t="shared" si="8"/>
        <v>1.7</v>
      </c>
      <c r="L29" s="327">
        <f t="shared" si="8"/>
        <v>4.5199999999999996</v>
      </c>
      <c r="M29" s="327" t="e">
        <f t="shared" si="8"/>
        <v>#REF!</v>
      </c>
      <c r="N29" s="327"/>
      <c r="O29" s="248">
        <v>0.02</v>
      </c>
      <c r="P29" s="242" t="s">
        <v>314</v>
      </c>
    </row>
    <row r="30" spans="1:16" ht="24">
      <c r="A30" s="229">
        <v>2</v>
      </c>
      <c r="B30" s="232" t="s">
        <v>332</v>
      </c>
      <c r="C30" s="331" t="e">
        <f t="shared" ref="C30:M30" si="9">ROUND(SUM(C26:C29),0)</f>
        <v>#REF!</v>
      </c>
      <c r="D30" s="331" t="e">
        <f t="shared" si="9"/>
        <v>#REF!</v>
      </c>
      <c r="E30" s="331" t="e">
        <f t="shared" si="9"/>
        <v>#REF!</v>
      </c>
      <c r="F30" s="331" t="e">
        <f t="shared" si="9"/>
        <v>#REF!</v>
      </c>
      <c r="G30" s="331" t="e">
        <f t="shared" si="9"/>
        <v>#REF!</v>
      </c>
      <c r="H30" s="331" t="e">
        <f t="shared" si="9"/>
        <v>#REF!</v>
      </c>
      <c r="I30" s="331" t="e">
        <f t="shared" si="9"/>
        <v>#REF!</v>
      </c>
      <c r="J30" s="331" t="e">
        <f t="shared" si="9"/>
        <v>#REF!</v>
      </c>
      <c r="K30" s="331" t="e">
        <f t="shared" si="9"/>
        <v>#REF!</v>
      </c>
      <c r="L30" s="331" t="e">
        <f t="shared" si="9"/>
        <v>#REF!</v>
      </c>
      <c r="M30" s="331" t="e">
        <f t="shared" si="9"/>
        <v>#REF!</v>
      </c>
      <c r="N30" s="331"/>
      <c r="O30" s="232"/>
      <c r="P30" s="356" t="s">
        <v>333</v>
      </c>
    </row>
    <row r="31" spans="1:16" ht="24">
      <c r="A31" s="229" t="s">
        <v>334</v>
      </c>
      <c r="B31" s="232" t="s">
        <v>335</v>
      </c>
      <c r="C31" s="331" t="e">
        <f>ROUND(C22-C30,0)</f>
        <v>#REF!</v>
      </c>
      <c r="D31" s="331" t="e">
        <f>ROUND(D22-D30,0)</f>
        <v>#REF!</v>
      </c>
      <c r="E31" s="331" t="e">
        <f>ROUND(E22-E30,0)</f>
        <v>#REF!</v>
      </c>
      <c r="F31" s="331" t="e">
        <f>ROUND(F22-F30,0)</f>
        <v>#REF!</v>
      </c>
      <c r="G31" s="331" t="e">
        <f t="shared" ref="G31:M31" si="10">ROUND(G22-G30,0)</f>
        <v>#REF!</v>
      </c>
      <c r="H31" s="331" t="e">
        <f t="shared" si="10"/>
        <v>#REF!</v>
      </c>
      <c r="I31" s="331" t="e">
        <f t="shared" si="10"/>
        <v>#REF!</v>
      </c>
      <c r="J31" s="331" t="e">
        <f t="shared" si="10"/>
        <v>#REF!</v>
      </c>
      <c r="K31" s="331" t="e">
        <f t="shared" si="10"/>
        <v>#REF!</v>
      </c>
      <c r="L31" s="331" t="e">
        <f t="shared" si="10"/>
        <v>#REF!</v>
      </c>
      <c r="M31" s="331" t="e">
        <f t="shared" si="10"/>
        <v>#REF!</v>
      </c>
      <c r="N31" s="331"/>
      <c r="O31" s="232"/>
      <c r="P31" s="249" t="s">
        <v>307</v>
      </c>
    </row>
    <row r="32" spans="1:16" ht="60">
      <c r="A32" s="229" t="s">
        <v>336</v>
      </c>
      <c r="B32" s="237" t="s">
        <v>337</v>
      </c>
      <c r="C32" s="332">
        <v>6.5000000000000002E-2</v>
      </c>
      <c r="D32" s="332">
        <f>C32</f>
        <v>6.5000000000000002E-2</v>
      </c>
      <c r="E32" s="332">
        <f>D32</f>
        <v>6.5000000000000002E-2</v>
      </c>
      <c r="F32" s="332">
        <f>E32</f>
        <v>6.5000000000000002E-2</v>
      </c>
      <c r="G32" s="332">
        <f t="shared" ref="G32:L32" si="11">F32</f>
        <v>6.5000000000000002E-2</v>
      </c>
      <c r="H32" s="332">
        <f t="shared" si="11"/>
        <v>6.5000000000000002E-2</v>
      </c>
      <c r="I32" s="332">
        <f t="shared" si="11"/>
        <v>6.5000000000000002E-2</v>
      </c>
      <c r="J32" s="332">
        <f t="shared" si="11"/>
        <v>6.5000000000000002E-2</v>
      </c>
      <c r="K32" s="332">
        <f t="shared" si="11"/>
        <v>6.5000000000000002E-2</v>
      </c>
      <c r="L32" s="332">
        <f t="shared" si="11"/>
        <v>6.5000000000000002E-2</v>
      </c>
      <c r="M32" s="332">
        <f>F32</f>
        <v>6.5000000000000002E-2</v>
      </c>
      <c r="N32" s="332"/>
      <c r="O32" s="250"/>
      <c r="P32" s="357" t="s">
        <v>338</v>
      </c>
    </row>
    <row r="33" spans="1:24" ht="19.5" customHeight="1">
      <c r="A33" s="229" t="s">
        <v>339</v>
      </c>
      <c r="B33" s="237" t="s">
        <v>340</v>
      </c>
      <c r="C33" s="332" t="s">
        <v>239</v>
      </c>
      <c r="D33" s="332">
        <v>3.5000000000000003E-2</v>
      </c>
      <c r="E33" s="332" t="s">
        <v>239</v>
      </c>
      <c r="F33" s="332">
        <v>3.5000000000000003E-2</v>
      </c>
      <c r="G33" s="332" t="s">
        <v>239</v>
      </c>
      <c r="H33" s="332">
        <v>3.5000000000000003E-2</v>
      </c>
      <c r="I33" s="332" t="s">
        <v>239</v>
      </c>
      <c r="J33" s="332">
        <f>H33</f>
        <v>3.5000000000000003E-2</v>
      </c>
      <c r="K33" s="332" t="s">
        <v>239</v>
      </c>
      <c r="L33" s="332">
        <f>J33</f>
        <v>3.5000000000000003E-2</v>
      </c>
      <c r="M33" s="332">
        <f>F33</f>
        <v>3.5000000000000003E-2</v>
      </c>
      <c r="N33" s="332"/>
      <c r="O33" s="238" t="s">
        <v>239</v>
      </c>
      <c r="P33" s="238"/>
      <c r="Q33" s="250"/>
      <c r="R33" s="362"/>
    </row>
    <row r="34" spans="1:24" ht="24">
      <c r="A34" s="229" t="s">
        <v>341</v>
      </c>
      <c r="B34" s="237" t="s">
        <v>342</v>
      </c>
      <c r="C34" s="333">
        <f t="shared" ref="C34:M34" si="12">B12</f>
        <v>1.03</v>
      </c>
      <c r="D34" s="333">
        <f t="shared" si="12"/>
        <v>29.09</v>
      </c>
      <c r="E34" s="333">
        <f t="shared" si="12"/>
        <v>2.11</v>
      </c>
      <c r="F34" s="333">
        <f t="shared" si="12"/>
        <v>28.01</v>
      </c>
      <c r="G34" s="333">
        <f t="shared" si="12"/>
        <v>2.4</v>
      </c>
      <c r="H34" s="333">
        <f t="shared" si="12"/>
        <v>27.720000000000002</v>
      </c>
      <c r="I34" s="333">
        <f t="shared" si="12"/>
        <v>3.2</v>
      </c>
      <c r="J34" s="333">
        <f t="shared" si="12"/>
        <v>26.92</v>
      </c>
      <c r="K34" s="333">
        <f t="shared" si="12"/>
        <v>1.03</v>
      </c>
      <c r="L34" s="333">
        <f t="shared" si="12"/>
        <v>29.09</v>
      </c>
      <c r="M34" s="333">
        <f t="shared" si="12"/>
        <v>30.12</v>
      </c>
      <c r="N34" s="333"/>
      <c r="O34" s="237" t="e">
        <f>#REF!</f>
        <v>#REF!</v>
      </c>
      <c r="P34" s="237"/>
      <c r="Q34" s="251"/>
      <c r="R34" s="362"/>
    </row>
    <row r="35" spans="1:24">
      <c r="A35" s="229" t="s">
        <v>343</v>
      </c>
      <c r="B35" s="230" t="s">
        <v>81</v>
      </c>
      <c r="C35" s="334" t="e">
        <f>ROUND(C31/C32*(1-1/(1+C32)^C34),0)</f>
        <v>#REF!</v>
      </c>
      <c r="D35" s="334" t="e">
        <f>ROUND(D31/(D32-D33)*(1-((1+D33)/(1+D32))^D34),0)</f>
        <v>#REF!</v>
      </c>
      <c r="E35" s="334" t="e">
        <f>ROUND(E31/E32*(1-1/(1+E32)^E34),0)</f>
        <v>#REF!</v>
      </c>
      <c r="F35" s="334" t="e">
        <f>ROUND(F31/(F32-F33)*(1-((1+F33)/(1+F32))^F34),0)</f>
        <v>#REF!</v>
      </c>
      <c r="G35" s="334" t="e">
        <f>ROUND(G31/G32*(1-1/(1+G32)^G34),0)</f>
        <v>#REF!</v>
      </c>
      <c r="H35" s="334" t="e">
        <f>ROUND(H31/(H32-H33)*(1-((1+H33)/(1+H32))^H34),0)</f>
        <v>#REF!</v>
      </c>
      <c r="I35" s="334" t="e">
        <f>ROUND(I31/I32*(1-1/(1+I32)^I34),0)</f>
        <v>#REF!</v>
      </c>
      <c r="J35" s="334" t="e">
        <f>ROUND(J31/(J32-J33)*(1-((1+J33)/(1+J32))^J34),0)</f>
        <v>#REF!</v>
      </c>
      <c r="K35" s="334" t="e">
        <f>ROUND(K31/K32*(1-1/(1+K32)^K34),0)</f>
        <v>#REF!</v>
      </c>
      <c r="L35" s="334" t="e">
        <f>ROUND(L31/(L32-L33)*(1-((1+L33)/(1+L32))^L34),0)</f>
        <v>#REF!</v>
      </c>
      <c r="M35" s="334" t="e">
        <f>ROUND(M31/(M32-M33)*(1-((1+M33)/(1+M32))^M34),0)</f>
        <v>#REF!</v>
      </c>
      <c r="N35" s="334"/>
      <c r="O35" s="358"/>
      <c r="P35" s="358"/>
      <c r="Q35" s="363"/>
      <c r="R35" s="364"/>
    </row>
    <row r="36" spans="1:24" s="301" customFormat="1">
      <c r="A36" s="335"/>
      <c r="B36" s="230" t="s">
        <v>344</v>
      </c>
      <c r="C36" s="336"/>
      <c r="D36" s="337">
        <f>C34</f>
        <v>1.03</v>
      </c>
      <c r="E36" s="338"/>
      <c r="F36" s="337">
        <f t="shared" ref="F36:L36" si="13">E34</f>
        <v>2.11</v>
      </c>
      <c r="G36" s="339"/>
      <c r="H36" s="337">
        <f t="shared" si="13"/>
        <v>2.4</v>
      </c>
      <c r="I36" s="339"/>
      <c r="J36" s="337">
        <f t="shared" si="13"/>
        <v>3.2</v>
      </c>
      <c r="K36" s="339"/>
      <c r="L36" s="337">
        <f t="shared" si="13"/>
        <v>1.03</v>
      </c>
      <c r="M36" s="337"/>
      <c r="N36" s="337"/>
      <c r="O36" s="239"/>
      <c r="P36" s="239"/>
      <c r="Q36" s="365"/>
      <c r="R36" s="366"/>
    </row>
    <row r="37" spans="1:24">
      <c r="A37" s="229" t="s">
        <v>345</v>
      </c>
      <c r="B37" s="230" t="s">
        <v>346</v>
      </c>
      <c r="C37" s="334" t="e">
        <f>C35</f>
        <v>#REF!</v>
      </c>
      <c r="D37" s="334" t="e">
        <f>ROUND(D35/(1+D32)^D36,0)</f>
        <v>#REF!</v>
      </c>
      <c r="E37" s="334" t="e">
        <f>ROUND(E35/(1+E32)^E36,0)</f>
        <v>#REF!</v>
      </c>
      <c r="F37" s="334" t="e">
        <f>ROUND(F35/(1+F32)^F36,0)</f>
        <v>#REF!</v>
      </c>
      <c r="G37" s="334" t="e">
        <f t="shared" ref="G37:N37" si="14">ROUND(G35/(1+G32)^G36,0)</f>
        <v>#REF!</v>
      </c>
      <c r="H37" s="334" t="e">
        <f t="shared" si="14"/>
        <v>#REF!</v>
      </c>
      <c r="I37" s="334" t="e">
        <f t="shared" si="14"/>
        <v>#REF!</v>
      </c>
      <c r="J37" s="334" t="e">
        <f t="shared" si="14"/>
        <v>#REF!</v>
      </c>
      <c r="K37" s="334" t="e">
        <f t="shared" si="14"/>
        <v>#REF!</v>
      </c>
      <c r="L37" s="334" t="e">
        <f t="shared" si="14"/>
        <v>#REF!</v>
      </c>
      <c r="M37" s="334" t="e">
        <f t="shared" si="14"/>
        <v>#REF!</v>
      </c>
      <c r="N37" s="334">
        <f t="shared" si="14"/>
        <v>0</v>
      </c>
      <c r="O37" s="358"/>
      <c r="P37" s="358"/>
      <c r="Q37" s="363"/>
      <c r="R37" s="241"/>
      <c r="S37" s="367"/>
    </row>
    <row r="38" spans="1:24" s="301" customFormat="1">
      <c r="A38" s="335" t="s">
        <v>347</v>
      </c>
      <c r="B38" s="232" t="s">
        <v>77</v>
      </c>
      <c r="C38" s="1342" t="e">
        <f>ROUND(SUM(C37:M37),0)</f>
        <v>#REF!</v>
      </c>
      <c r="D38" s="1343"/>
      <c r="E38" s="1343"/>
      <c r="F38" s="1343"/>
      <c r="G38" s="1343"/>
      <c r="H38" s="1343"/>
      <c r="I38" s="1343"/>
      <c r="J38" s="1343"/>
      <c r="K38" s="1343"/>
      <c r="L38" s="1343"/>
      <c r="M38" s="359"/>
      <c r="N38" s="359"/>
      <c r="O38" s="359"/>
      <c r="P38" s="359"/>
      <c r="Q38" s="359"/>
      <c r="R38" s="359"/>
      <c r="S38" s="359"/>
      <c r="T38" s="359"/>
      <c r="U38" s="359"/>
      <c r="V38" s="368"/>
      <c r="W38" s="365"/>
      <c r="X38" s="369"/>
    </row>
    <row r="39" spans="1:24">
      <c r="A39" s="229" t="s">
        <v>348</v>
      </c>
      <c r="B39" s="230" t="s">
        <v>76</v>
      </c>
      <c r="C39" s="1259" t="e">
        <f>ROUND(C38/#REF!*10000,0)</f>
        <v>#REF!</v>
      </c>
      <c r="D39" s="1260"/>
      <c r="E39" s="1260"/>
      <c r="F39" s="1260"/>
      <c r="G39" s="1260"/>
      <c r="H39" s="1260"/>
      <c r="I39" s="1260"/>
      <c r="J39" s="1260"/>
      <c r="K39" s="1260"/>
      <c r="L39" s="1260"/>
      <c r="M39" s="360"/>
      <c r="N39" s="360"/>
      <c r="O39" s="360"/>
      <c r="P39" s="360"/>
      <c r="Q39" s="360"/>
      <c r="R39" s="360"/>
      <c r="S39" s="360"/>
      <c r="T39" s="360"/>
      <c r="U39" s="360"/>
      <c r="V39" s="370"/>
      <c r="W39" s="363"/>
      <c r="X39" s="367"/>
    </row>
    <row r="41" spans="1:24">
      <c r="B41" s="95" t="s">
        <v>349</v>
      </c>
      <c r="C41" s="96">
        <f>ROUND(P4*C19/10000*C42,0)</f>
        <v>494</v>
      </c>
      <c r="D41" s="97"/>
      <c r="E41" s="97"/>
    </row>
    <row r="42" spans="1:24" ht="24">
      <c r="B42" s="98" t="s">
        <v>350</v>
      </c>
      <c r="C42" s="99">
        <v>0.08</v>
      </c>
      <c r="D42" s="98" t="s">
        <v>351</v>
      </c>
      <c r="E42" s="99"/>
    </row>
    <row r="43" spans="1:24">
      <c r="B43" s="1261" t="s">
        <v>352</v>
      </c>
      <c r="C43" s="1262"/>
      <c r="D43" s="1262"/>
      <c r="E43" s="1263"/>
    </row>
    <row r="44" spans="1:24">
      <c r="B44" s="1264" t="s">
        <v>353</v>
      </c>
      <c r="C44" s="1264"/>
      <c r="D44" s="1265" t="s">
        <v>354</v>
      </c>
      <c r="E44" s="1266"/>
    </row>
    <row r="45" spans="1:24">
      <c r="B45" s="95" t="s">
        <v>355</v>
      </c>
      <c r="C45" s="100" t="e">
        <f>C41/C31</f>
        <v>#REF!</v>
      </c>
      <c r="D45" s="101"/>
      <c r="E45" s="100"/>
    </row>
    <row r="46" spans="1:24">
      <c r="B46" s="95" t="s">
        <v>356</v>
      </c>
      <c r="C46" s="100" t="e">
        <f>1-C45</f>
        <v>#REF!</v>
      </c>
      <c r="D46" s="101"/>
      <c r="E46" s="102"/>
    </row>
  </sheetData>
  <mergeCells count="11">
    <mergeCell ref="C39:L39"/>
    <mergeCell ref="B43:E43"/>
    <mergeCell ref="B44:C44"/>
    <mergeCell ref="D44:E44"/>
    <mergeCell ref="A2:B3"/>
    <mergeCell ref="C38:L38"/>
    <mergeCell ref="A1:B1"/>
    <mergeCell ref="A4:B4"/>
    <mergeCell ref="A5:B5"/>
    <mergeCell ref="A6:B6"/>
    <mergeCell ref="O22:P22"/>
  </mergeCells>
  <phoneticPr fontId="93" type="noConversion"/>
  <pageMargins left="0.70833333333333337" right="0.70833333333333337" top="0.74791666666666667" bottom="0.74791666666666667" header="0.31458333333333333" footer="0.31458333333333333"/>
  <pageSetup paperSize="9" scale="57" orientation="landscape" r:id="rId1"/>
  <headerFooter alignWithMargins="0"/>
  <colBreaks count="1" manualBreakCount="1">
    <brk id="18" max="1048575" man="1"/>
  </col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0"/>
  </sheetPr>
  <dimension ref="B1:N47"/>
  <sheetViews>
    <sheetView view="pageBreakPreview" topLeftCell="B16" zoomScale="130" workbookViewId="0">
      <selection activeCell="E15" sqref="E15"/>
    </sheetView>
  </sheetViews>
  <sheetFormatPr defaultRowHeight="13.5"/>
  <cols>
    <col min="1" max="1" width="2.625" style="45" customWidth="1"/>
    <col min="2" max="2" width="6.125" style="46" customWidth="1"/>
    <col min="3" max="3" width="17.875" style="45" customWidth="1"/>
    <col min="4" max="4" width="9.75" style="45" bestFit="1" customWidth="1"/>
    <col min="5" max="5" width="13.25" style="45" customWidth="1"/>
    <col min="6" max="6" width="13" style="45" customWidth="1"/>
    <col min="7" max="7" width="11.875" style="45" customWidth="1"/>
    <col min="8" max="8" width="25" style="45" bestFit="1" customWidth="1"/>
    <col min="9" max="9" width="9" style="45"/>
    <col min="10" max="10" width="10.625" style="45" bestFit="1" customWidth="1"/>
    <col min="11" max="11" width="9.125" style="45" bestFit="1" customWidth="1"/>
    <col min="12" max="16384" width="9" style="45"/>
  </cols>
  <sheetData>
    <row r="1" spans="2:8">
      <c r="B1" s="1275" t="s">
        <v>685</v>
      </c>
      <c r="C1" s="1276"/>
      <c r="D1" s="1276"/>
      <c r="E1" s="1276"/>
      <c r="F1" s="1276"/>
      <c r="G1" s="1276"/>
      <c r="H1" s="1277"/>
    </row>
    <row r="2" spans="2:8">
      <c r="B2" s="1344" t="s">
        <v>686</v>
      </c>
      <c r="C2" s="1345"/>
      <c r="D2" s="1345"/>
      <c r="E2" s="1345"/>
      <c r="F2" s="1345"/>
      <c r="G2" s="1345"/>
      <c r="H2" s="1346"/>
    </row>
    <row r="3" spans="2:8">
      <c r="B3" s="47" t="s">
        <v>69</v>
      </c>
      <c r="C3" s="48" t="s">
        <v>687</v>
      </c>
      <c r="D3" s="49" t="s">
        <v>75</v>
      </c>
      <c r="E3" s="50" t="s">
        <v>73</v>
      </c>
      <c r="F3" s="50"/>
      <c r="G3" s="50"/>
      <c r="H3" s="50"/>
    </row>
    <row r="4" spans="2:8">
      <c r="B4" s="47">
        <v>1</v>
      </c>
      <c r="C4" s="48" t="s">
        <v>108</v>
      </c>
      <c r="D4" s="49"/>
      <c r="E4" s="51">
        <v>8</v>
      </c>
      <c r="F4" s="52"/>
      <c r="G4" s="47"/>
      <c r="H4" s="47"/>
    </row>
    <row r="5" spans="2:8">
      <c r="B5" s="47">
        <v>2</v>
      </c>
      <c r="C5" s="48" t="s">
        <v>306</v>
      </c>
      <c r="D5" s="49"/>
      <c r="E5" s="51">
        <v>1</v>
      </c>
      <c r="F5" s="47"/>
      <c r="G5" s="47"/>
      <c r="H5" s="47"/>
    </row>
    <row r="6" spans="2:8">
      <c r="B6" s="47">
        <v>3</v>
      </c>
      <c r="C6" s="48" t="s">
        <v>688</v>
      </c>
      <c r="D6" s="48"/>
      <c r="E6" s="51">
        <v>365</v>
      </c>
      <c r="F6" s="47" t="s">
        <v>689</v>
      </c>
      <c r="G6" s="51"/>
      <c r="H6" s="51"/>
    </row>
    <row r="7" spans="2:8">
      <c r="B7" s="47">
        <v>4</v>
      </c>
      <c r="C7" s="48" t="s">
        <v>309</v>
      </c>
      <c r="D7" s="49"/>
      <c r="E7" s="54">
        <v>0.05</v>
      </c>
      <c r="F7" s="55">
        <v>0</v>
      </c>
      <c r="G7" s="55"/>
      <c r="H7" s="55"/>
    </row>
    <row r="8" spans="2:8">
      <c r="B8" s="47">
        <v>5</v>
      </c>
      <c r="C8" s="48" t="s">
        <v>690</v>
      </c>
      <c r="D8" s="56">
        <f>SUM(E8:H8)</f>
        <v>2774</v>
      </c>
      <c r="E8" s="51">
        <f>ROUND(E4*E5*E6*(1-E7)*(1-F7),0)</f>
        <v>2774</v>
      </c>
      <c r="F8" s="51"/>
      <c r="G8" s="47"/>
      <c r="H8" s="47"/>
    </row>
    <row r="9" spans="2:8">
      <c r="B9" s="1278" t="s">
        <v>358</v>
      </c>
      <c r="C9" s="1278"/>
      <c r="D9" s="1278"/>
      <c r="E9" s="1278"/>
      <c r="F9" s="1278"/>
      <c r="G9" s="1278"/>
      <c r="H9" s="1278"/>
    </row>
    <row r="10" spans="2:8" customFormat="1">
      <c r="B10" s="58" t="s">
        <v>69</v>
      </c>
      <c r="C10" s="59" t="s">
        <v>87</v>
      </c>
      <c r="D10" s="60" t="s">
        <v>75</v>
      </c>
      <c r="E10" s="61" t="s">
        <v>41</v>
      </c>
      <c r="F10" s="61" t="s">
        <v>359</v>
      </c>
      <c r="G10" s="61" t="s">
        <v>360</v>
      </c>
      <c r="H10" s="62"/>
    </row>
    <row r="11" spans="2:8" customFormat="1">
      <c r="B11" s="58">
        <v>1.1000000000000001</v>
      </c>
      <c r="C11" s="63" t="s">
        <v>361</v>
      </c>
      <c r="D11" s="60">
        <f>SUM(D12:D14)</f>
        <v>3500</v>
      </c>
      <c r="E11" s="64">
        <f>SUM(E12:E14)</f>
        <v>1</v>
      </c>
      <c r="F11" s="61"/>
      <c r="G11" s="65"/>
      <c r="H11" s="66"/>
    </row>
    <row r="12" spans="2:8" customFormat="1">
      <c r="B12" s="58" t="str">
        <f>[2]成本法!B42</f>
        <v>1.1.1</v>
      </c>
      <c r="C12" s="66" t="s">
        <v>73</v>
      </c>
      <c r="D12" s="60">
        <f>ROUND(F12*E12,0)</f>
        <v>3500</v>
      </c>
      <c r="E12" s="64">
        <f>E5</f>
        <v>1</v>
      </c>
      <c r="F12" s="64">
        <f>'建筑（商）'!F5</f>
        <v>3500</v>
      </c>
      <c r="G12" s="65"/>
      <c r="H12" s="66"/>
    </row>
    <row r="13" spans="2:8" customFormat="1">
      <c r="B13" s="58" t="str">
        <f>[2]成本法!B43</f>
        <v>1.1.2</v>
      </c>
      <c r="C13" s="66" t="str">
        <f>[2]成本法!C43</f>
        <v>地下非配套公建</v>
      </c>
      <c r="D13" s="60">
        <f>ROUND(F13*E13/10000,0)</f>
        <v>0</v>
      </c>
      <c r="E13" s="64">
        <f>[2]成本法!E43</f>
        <v>0</v>
      </c>
      <c r="F13" s="64">
        <f>[2]成本法!F43</f>
        <v>0</v>
      </c>
      <c r="G13" s="65"/>
      <c r="H13" s="66"/>
    </row>
    <row r="14" spans="2:8" customFormat="1">
      <c r="B14" s="58" t="str">
        <f>[2]成本法!B44</f>
        <v>1.1.3</v>
      </c>
      <c r="C14" s="66" t="str">
        <f>[2]成本法!C44</f>
        <v>地下车库及其他用房</v>
      </c>
      <c r="D14" s="60">
        <f>ROUND(F14*E14/10000,0)</f>
        <v>0</v>
      </c>
      <c r="E14" s="64">
        <f>[2]成本法!E44</f>
        <v>0</v>
      </c>
      <c r="F14" s="64">
        <f>[2]成本法!F44</f>
        <v>0</v>
      </c>
      <c r="G14" s="65"/>
      <c r="H14" s="66"/>
    </row>
    <row r="15" spans="2:8" customFormat="1">
      <c r="B15" s="58">
        <v>1.2</v>
      </c>
      <c r="C15" s="63" t="s">
        <v>362</v>
      </c>
      <c r="D15" s="60">
        <f>ROUND(D11*G15,0)</f>
        <v>175</v>
      </c>
      <c r="E15" s="67"/>
      <c r="F15" s="67"/>
      <c r="G15" s="65">
        <f>'建筑（住）'!G8</f>
        <v>0.05</v>
      </c>
      <c r="H15" s="66" t="s">
        <v>363</v>
      </c>
    </row>
    <row r="16" spans="2:8" customFormat="1">
      <c r="B16" s="58">
        <v>1.3</v>
      </c>
      <c r="C16" s="63" t="s">
        <v>364</v>
      </c>
      <c r="D16" s="60">
        <f>ROUND(D11*G16,0)</f>
        <v>0</v>
      </c>
      <c r="E16" s="67"/>
      <c r="F16" s="67"/>
      <c r="G16" s="65">
        <v>0</v>
      </c>
      <c r="H16" s="66" t="s">
        <v>365</v>
      </c>
    </row>
    <row r="17" spans="2:14" customFormat="1">
      <c r="B17" s="58">
        <v>1.4</v>
      </c>
      <c r="C17" s="63" t="s">
        <v>366</v>
      </c>
      <c r="D17" s="60">
        <f>ROUND(F17*E17,0)</f>
        <v>200</v>
      </c>
      <c r="E17" s="64">
        <f>E11</f>
        <v>1</v>
      </c>
      <c r="F17" s="61">
        <v>200</v>
      </c>
      <c r="G17" s="63"/>
      <c r="H17" s="66" t="s">
        <v>367</v>
      </c>
    </row>
    <row r="18" spans="2:14" customFormat="1">
      <c r="B18" s="58">
        <v>1.5</v>
      </c>
      <c r="C18" s="63" t="s">
        <v>368</v>
      </c>
      <c r="D18" s="60">
        <f>ROUND(D11*G18,0)</f>
        <v>53</v>
      </c>
      <c r="E18" s="67"/>
      <c r="F18" s="67"/>
      <c r="G18" s="68">
        <f>'建筑（住）'!G11</f>
        <v>1.4999999999999999E-2</v>
      </c>
      <c r="H18" s="66" t="s">
        <v>369</v>
      </c>
    </row>
    <row r="19" spans="2:14" customFormat="1">
      <c r="B19" s="58">
        <v>1</v>
      </c>
      <c r="C19" s="63" t="s">
        <v>370</v>
      </c>
      <c r="D19" s="60">
        <f>SUM(D12:D18)</f>
        <v>3928</v>
      </c>
      <c r="E19" s="63"/>
      <c r="F19" s="67"/>
      <c r="G19" s="67"/>
      <c r="H19" s="69" t="s">
        <v>371</v>
      </c>
    </row>
    <row r="20" spans="2:14" customFormat="1">
      <c r="B20" s="58">
        <v>2</v>
      </c>
      <c r="C20" s="63" t="s">
        <v>331</v>
      </c>
      <c r="D20" s="60">
        <f>ROUND(D19*G20,0)</f>
        <v>118</v>
      </c>
      <c r="E20" s="70"/>
      <c r="F20" s="70"/>
      <c r="G20" s="71">
        <f>'建筑（住）'!G13</f>
        <v>0.03</v>
      </c>
      <c r="H20" s="66" t="s">
        <v>372</v>
      </c>
    </row>
    <row r="21" spans="2:14" customFormat="1">
      <c r="B21" s="58">
        <v>3</v>
      </c>
      <c r="C21" s="63" t="s">
        <v>373</v>
      </c>
      <c r="D21" s="60" t="s">
        <v>239</v>
      </c>
      <c r="E21" s="67"/>
      <c r="F21" s="67"/>
      <c r="G21" s="71">
        <f>'建筑（住）'!G14</f>
        <v>0.03</v>
      </c>
      <c r="H21" s="66" t="s">
        <v>374</v>
      </c>
    </row>
    <row r="22" spans="2:14" customFormat="1">
      <c r="B22" s="58">
        <v>4</v>
      </c>
      <c r="C22" s="72" t="s">
        <v>375</v>
      </c>
      <c r="D22" s="1279"/>
      <c r="E22" s="1280"/>
      <c r="F22" s="1280"/>
      <c r="G22" s="1280"/>
      <c r="H22" s="1281"/>
    </row>
    <row r="23" spans="2:14" customFormat="1">
      <c r="B23" s="58">
        <v>4.0999999999999996</v>
      </c>
      <c r="C23" s="63" t="s">
        <v>378</v>
      </c>
      <c r="D23" s="60">
        <f>ROUND((D19+D20)*G23*G24/2,0)</f>
        <v>373</v>
      </c>
      <c r="E23" s="63"/>
      <c r="F23" s="67"/>
      <c r="G23" s="149">
        <f>[2]成本法!G53</f>
        <v>6.1499999999999999E-2</v>
      </c>
      <c r="H23" s="67" t="s">
        <v>379</v>
      </c>
    </row>
    <row r="24" spans="2:14" customFormat="1">
      <c r="B24" s="58">
        <v>4.2</v>
      </c>
      <c r="C24" s="63" t="s">
        <v>381</v>
      </c>
      <c r="D24" s="74">
        <f>ROUND(G21*G24*G23/2,4)</f>
        <v>2.8E-3</v>
      </c>
      <c r="E24" s="63"/>
      <c r="F24" s="67"/>
      <c r="G24" s="150">
        <v>3</v>
      </c>
      <c r="H24" s="67" t="s">
        <v>382</v>
      </c>
    </row>
    <row r="25" spans="2:14" customFormat="1">
      <c r="B25" s="58">
        <v>5</v>
      </c>
      <c r="C25" s="72" t="s">
        <v>384</v>
      </c>
      <c r="D25" s="1279"/>
      <c r="E25" s="1280"/>
      <c r="F25" s="1280"/>
      <c r="G25" s="1280"/>
      <c r="H25" s="1281"/>
    </row>
    <row r="26" spans="2:14" customFormat="1">
      <c r="B26" s="58">
        <v>5.0999999999999996</v>
      </c>
      <c r="C26" s="63" t="s">
        <v>386</v>
      </c>
      <c r="D26" s="60">
        <f>ROUND((D19+D20)*G26,0)</f>
        <v>1012</v>
      </c>
      <c r="E26" s="63"/>
      <c r="F26" s="67"/>
      <c r="G26" s="1270">
        <v>0.25</v>
      </c>
      <c r="H26" s="67" t="s">
        <v>387</v>
      </c>
    </row>
    <row r="27" spans="2:14" customFormat="1">
      <c r="B27" s="58">
        <v>5.2</v>
      </c>
      <c r="C27" s="63" t="s">
        <v>388</v>
      </c>
      <c r="D27" s="74">
        <f>ROUND(G21*G26,4)</f>
        <v>7.4999999999999997E-3</v>
      </c>
      <c r="E27" s="63"/>
      <c r="F27" s="67"/>
      <c r="G27" s="1271"/>
      <c r="H27" s="67" t="s">
        <v>389</v>
      </c>
    </row>
    <row r="28" spans="2:14" customFormat="1">
      <c r="B28" s="58">
        <v>6</v>
      </c>
      <c r="C28" s="72" t="s">
        <v>390</v>
      </c>
      <c r="D28" s="60" t="s">
        <v>239</v>
      </c>
      <c r="E28" s="59"/>
      <c r="F28" s="59"/>
      <c r="G28" s="71">
        <f>'建筑（住）'!G21</f>
        <v>5.6000000000000001E-2</v>
      </c>
      <c r="H28" s="66" t="s">
        <v>391</v>
      </c>
    </row>
    <row r="29" spans="2:14" customFormat="1">
      <c r="B29" s="58">
        <v>7</v>
      </c>
      <c r="C29" s="72" t="s">
        <v>392</v>
      </c>
      <c r="D29" s="60">
        <f>ROUND((D19+D20+D23+D26)/(1-G21-D24-D27-G28),0)</f>
        <v>6010</v>
      </c>
      <c r="E29" s="72"/>
      <c r="F29" s="72"/>
      <c r="G29" s="76"/>
      <c r="H29" s="66" t="s">
        <v>393</v>
      </c>
    </row>
    <row r="30" spans="2:14" customFormat="1">
      <c r="B30" s="58">
        <v>8</v>
      </c>
      <c r="C30" s="72" t="s">
        <v>394</v>
      </c>
      <c r="D30" s="60" t="s">
        <v>239</v>
      </c>
      <c r="E30" s="59"/>
      <c r="F30" s="59"/>
      <c r="G30" s="77">
        <f>K33</f>
        <v>0.77</v>
      </c>
      <c r="H30" s="66"/>
      <c r="J30" s="103" t="s">
        <v>376</v>
      </c>
      <c r="K30" s="104">
        <v>0</v>
      </c>
      <c r="L30" s="1272" t="s">
        <v>377</v>
      </c>
      <c r="N30" s="105"/>
    </row>
    <row r="31" spans="2:14" customFormat="1" ht="24">
      <c r="B31" s="58">
        <v>9</v>
      </c>
      <c r="C31" s="72" t="s">
        <v>80</v>
      </c>
      <c r="D31" s="60">
        <f>ROUND(D29*G30,0)</f>
        <v>4628</v>
      </c>
      <c r="E31" s="59"/>
      <c r="F31" s="59"/>
      <c r="G31" s="71"/>
      <c r="H31" s="66" t="s">
        <v>395</v>
      </c>
      <c r="J31" s="103" t="s">
        <v>380</v>
      </c>
      <c r="K31" s="106">
        <v>14</v>
      </c>
      <c r="L31" s="1273"/>
      <c r="N31" s="107"/>
    </row>
    <row r="32" spans="2:14" ht="24">
      <c r="B32" s="1344" t="s">
        <v>691</v>
      </c>
      <c r="C32" s="1345"/>
      <c r="D32" s="1345"/>
      <c r="E32" s="1345"/>
      <c r="F32" s="1345"/>
      <c r="G32" s="1345"/>
      <c r="H32" s="1346"/>
      <c r="J32" s="103" t="s">
        <v>383</v>
      </c>
      <c r="K32" s="106">
        <v>60</v>
      </c>
      <c r="L32" s="1273"/>
    </row>
    <row r="33" spans="2:12">
      <c r="B33" s="57" t="s">
        <v>69</v>
      </c>
      <c r="C33" s="57" t="s">
        <v>687</v>
      </c>
      <c r="D33" s="78" t="s">
        <v>75</v>
      </c>
      <c r="E33" s="57" t="s">
        <v>692</v>
      </c>
      <c r="F33" s="57" t="s">
        <v>359</v>
      </c>
      <c r="G33" s="57" t="s">
        <v>360</v>
      </c>
      <c r="H33" s="57" t="s">
        <v>693</v>
      </c>
      <c r="J33" s="108" t="s">
        <v>385</v>
      </c>
      <c r="K33" s="109">
        <f>ROUND(1-(1-K30)*K31/K32,2)</f>
        <v>0.77</v>
      </c>
      <c r="L33" s="1274"/>
    </row>
    <row r="34" spans="2:12">
      <c r="B34" s="47">
        <v>1</v>
      </c>
      <c r="C34" s="48" t="s">
        <v>694</v>
      </c>
      <c r="D34" s="49" t="e">
        <f>SUM(D35:D37)</f>
        <v>#REF!</v>
      </c>
      <c r="E34" s="48"/>
      <c r="F34" s="48"/>
      <c r="G34" s="79"/>
      <c r="H34" s="80" t="s">
        <v>695</v>
      </c>
      <c r="J34" s="45">
        <v>1999</v>
      </c>
    </row>
    <row r="35" spans="2:12">
      <c r="B35" s="47">
        <v>1.1000000000000001</v>
      </c>
      <c r="C35" s="48" t="s">
        <v>696</v>
      </c>
      <c r="D35" s="49">
        <f>ROUND(D8*G35,0)</f>
        <v>155</v>
      </c>
      <c r="E35" s="48"/>
      <c r="F35" s="48"/>
      <c r="G35" s="81">
        <f>G28</f>
        <v>5.6000000000000001E-2</v>
      </c>
      <c r="H35" s="48" t="s">
        <v>697</v>
      </c>
    </row>
    <row r="36" spans="2:12">
      <c r="B36" s="47">
        <v>1.2</v>
      </c>
      <c r="C36" s="48" t="s">
        <v>316</v>
      </c>
      <c r="D36" s="82">
        <f>ROUND(G36*F36*E36,0)</f>
        <v>42</v>
      </c>
      <c r="E36" s="48">
        <f>ROUND(D29*(1-D27)-D26,2)</f>
        <v>4952.93</v>
      </c>
      <c r="F36" s="83">
        <v>0.7</v>
      </c>
      <c r="G36" s="81">
        <v>1.2E-2</v>
      </c>
      <c r="H36" s="48" t="s">
        <v>698</v>
      </c>
    </row>
    <row r="37" spans="2:12">
      <c r="B37" s="47">
        <v>1.3</v>
      </c>
      <c r="C37" s="48" t="s">
        <v>319</v>
      </c>
      <c r="D37" s="49" t="e">
        <f>ROUND(E37*F37,0)</f>
        <v>#REF!</v>
      </c>
      <c r="E37" s="48" t="e">
        <f>ROUND(E12/#REF!*(权属依据!B10+权属依据!E10),2)</f>
        <v>#REF!</v>
      </c>
      <c r="F37" s="84" t="e">
        <f>'建筑（住）'!#REF!</f>
        <v>#REF!</v>
      </c>
      <c r="G37" s="81"/>
      <c r="H37" s="48" t="s">
        <v>699</v>
      </c>
    </row>
    <row r="38" spans="2:12">
      <c r="B38" s="47">
        <v>2</v>
      </c>
      <c r="C38" s="48" t="s">
        <v>325</v>
      </c>
      <c r="D38" s="49">
        <f>ROUND(D29*G38,0)</f>
        <v>12</v>
      </c>
      <c r="E38" s="48"/>
      <c r="F38" s="48"/>
      <c r="G38" s="81">
        <v>2E-3</v>
      </c>
      <c r="H38" s="48" t="s">
        <v>700</v>
      </c>
    </row>
    <row r="39" spans="2:12">
      <c r="B39" s="47">
        <v>3</v>
      </c>
      <c r="C39" s="48" t="s">
        <v>328</v>
      </c>
      <c r="D39" s="49">
        <f>ROUND(D31*G39,0)</f>
        <v>1</v>
      </c>
      <c r="E39" s="48"/>
      <c r="F39" s="48"/>
      <c r="G39" s="85">
        <v>2.5000000000000001E-4</v>
      </c>
      <c r="H39" s="48" t="s">
        <v>701</v>
      </c>
      <c r="I39" s="110"/>
      <c r="J39" s="111"/>
    </row>
    <row r="40" spans="2:12">
      <c r="B40" s="47">
        <v>4</v>
      </c>
      <c r="C40" s="48" t="s">
        <v>331</v>
      </c>
      <c r="D40" s="49">
        <f>ROUND(D8*G40,0)</f>
        <v>55</v>
      </c>
      <c r="E40" s="48"/>
      <c r="F40" s="48"/>
      <c r="G40" s="81">
        <v>0.02</v>
      </c>
      <c r="H40" s="48" t="s">
        <v>314</v>
      </c>
      <c r="I40" s="110"/>
      <c r="J40" s="111"/>
    </row>
    <row r="41" spans="2:12">
      <c r="B41" s="47">
        <v>5</v>
      </c>
      <c r="C41" s="48" t="s">
        <v>702</v>
      </c>
      <c r="D41" s="49" t="e">
        <f>ROUND(SUM(D35:D40),0)</f>
        <v>#REF!</v>
      </c>
      <c r="E41" s="48"/>
      <c r="F41" s="48"/>
      <c r="G41" s="48"/>
      <c r="H41" s="48"/>
      <c r="I41" s="110"/>
      <c r="J41" s="111"/>
    </row>
    <row r="42" spans="2:12">
      <c r="B42" s="1344" t="s">
        <v>703</v>
      </c>
      <c r="C42" s="1345"/>
      <c r="D42" s="1345"/>
      <c r="E42" s="1345"/>
      <c r="F42" s="1345"/>
      <c r="G42" s="1345"/>
      <c r="H42" s="1346"/>
      <c r="I42" s="110"/>
      <c r="J42" s="112"/>
    </row>
    <row r="43" spans="2:12">
      <c r="B43" s="47">
        <v>1</v>
      </c>
      <c r="C43" s="48" t="s">
        <v>704</v>
      </c>
      <c r="D43" s="86" t="e">
        <f>D8-D41</f>
        <v>#REF!</v>
      </c>
      <c r="E43" s="48"/>
      <c r="F43" s="47" t="s">
        <v>705</v>
      </c>
      <c r="G43" s="87">
        <v>3.5000000000000003E-2</v>
      </c>
      <c r="H43" s="48"/>
      <c r="I43" s="110"/>
      <c r="J43" s="112"/>
    </row>
    <row r="44" spans="2:12">
      <c r="B44" s="47">
        <v>2</v>
      </c>
      <c r="C44" s="48" t="s">
        <v>706</v>
      </c>
      <c r="D44" s="88">
        <v>6.5000000000000002E-2</v>
      </c>
      <c r="E44" s="48"/>
      <c r="F44" s="48"/>
      <c r="G44" s="48"/>
      <c r="H44" s="48"/>
    </row>
    <row r="45" spans="2:12">
      <c r="B45" s="47">
        <v>3</v>
      </c>
      <c r="C45" s="48" t="s">
        <v>285</v>
      </c>
      <c r="D45" s="89">
        <v>30.12</v>
      </c>
      <c r="E45" s="48"/>
      <c r="F45" s="48"/>
      <c r="G45" s="48"/>
      <c r="H45" s="48" t="s">
        <v>707</v>
      </c>
      <c r="I45" s="113"/>
      <c r="J45" s="113"/>
    </row>
    <row r="46" spans="2:12">
      <c r="B46" s="47">
        <v>4</v>
      </c>
      <c r="C46" s="90" t="s">
        <v>76</v>
      </c>
      <c r="D46" s="86" t="e">
        <f>ROUND(D43/(D44-G43)*(1-POWER(((1+G43)/(1+D44)),D45)),0)</f>
        <v>#REF!</v>
      </c>
      <c r="E46" s="48"/>
      <c r="F46" s="91"/>
      <c r="G46" s="48"/>
      <c r="H46" s="48" t="s">
        <v>708</v>
      </c>
      <c r="I46" s="113"/>
      <c r="J46" s="113"/>
    </row>
    <row r="47" spans="2:12">
      <c r="B47" s="47"/>
      <c r="C47" s="92"/>
      <c r="D47" s="93"/>
      <c r="E47" s="94"/>
      <c r="F47" s="94"/>
      <c r="G47" s="94"/>
      <c r="H47" s="94"/>
    </row>
  </sheetData>
  <mergeCells count="9">
    <mergeCell ref="B42:H42"/>
    <mergeCell ref="G26:G27"/>
    <mergeCell ref="L30:L33"/>
    <mergeCell ref="B1:H1"/>
    <mergeCell ref="B2:H2"/>
    <mergeCell ref="B9:H9"/>
    <mergeCell ref="D22:H22"/>
    <mergeCell ref="D25:H25"/>
    <mergeCell ref="B32:H32"/>
  </mergeCells>
  <phoneticPr fontId="93" type="noConversion"/>
  <pageMargins left="0.69861111111111107" right="0.69861111111111107" top="0.75" bottom="0.75" header="0.3" footer="0.3"/>
  <pageSetup paperSize="9" scale="65" orientation="portrait" r:id="rId1"/>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76"/>
  <sheetViews>
    <sheetView view="pageBreakPreview" topLeftCell="D44" zoomScale="115" zoomScaleNormal="55" zoomScaleSheetLayoutView="115" workbookViewId="0">
      <selection activeCell="K51" sqref="K51:L56"/>
    </sheetView>
  </sheetViews>
  <sheetFormatPr defaultRowHeight="12"/>
  <cols>
    <col min="1" max="1" width="4.75" style="1083" customWidth="1"/>
    <col min="2" max="2" width="15.25" style="1083" customWidth="1"/>
    <col min="3" max="3" width="13.5" style="1113" customWidth="1"/>
    <col min="4" max="4" width="7.125" style="1083" customWidth="1"/>
    <col min="5" max="5" width="13.5" style="1083" customWidth="1"/>
    <col min="6" max="6" width="7.125" style="1083" customWidth="1"/>
    <col min="7" max="7" width="13.5" style="1083" customWidth="1"/>
    <col min="8" max="8" width="7.125" style="1083" customWidth="1"/>
    <col min="9" max="9" width="13.5" style="1083" customWidth="1"/>
    <col min="10" max="10" width="7.125" style="1083" customWidth="1"/>
    <col min="11" max="11" width="27.5" style="1083" customWidth="1"/>
    <col min="12" max="12" width="6.625" style="1083" customWidth="1"/>
    <col min="13" max="13" width="6.625" style="1083" hidden="1" customWidth="1"/>
    <col min="14" max="14" width="7.125" style="1083" customWidth="1"/>
    <col min="15" max="15" width="19.5" style="1083" customWidth="1"/>
    <col min="16" max="17" width="6.125" style="1083" customWidth="1"/>
    <col min="18" max="18" width="6.125" style="1114" customWidth="1"/>
    <col min="19" max="20" width="6.125" style="1083" customWidth="1"/>
    <col min="21" max="21" width="5.75" style="1083" customWidth="1"/>
    <col min="22" max="22" width="4.25" style="1083" customWidth="1"/>
    <col min="23" max="23" width="14.25" style="1083" customWidth="1"/>
    <col min="24" max="26" width="9.375" style="1083" customWidth="1"/>
    <col min="27" max="256" width="9" style="1083"/>
    <col min="257" max="257" width="4.75" style="1083" customWidth="1"/>
    <col min="258" max="258" width="15.25" style="1083" customWidth="1"/>
    <col min="259" max="259" width="13.5" style="1083" customWidth="1"/>
    <col min="260" max="260" width="7.125" style="1083" customWidth="1"/>
    <col min="261" max="261" width="13.5" style="1083" customWidth="1"/>
    <col min="262" max="262" width="7.125" style="1083" customWidth="1"/>
    <col min="263" max="263" width="13.5" style="1083" customWidth="1"/>
    <col min="264" max="264" width="7.125" style="1083" customWidth="1"/>
    <col min="265" max="265" width="13.5" style="1083" customWidth="1"/>
    <col min="266" max="266" width="7.125" style="1083" customWidth="1"/>
    <col min="267" max="267" width="27.5" style="1083" customWidth="1"/>
    <col min="268" max="268" width="6.625" style="1083" customWidth="1"/>
    <col min="269" max="269" width="0" style="1083" hidden="1" customWidth="1"/>
    <col min="270" max="270" width="7.125" style="1083" customWidth="1"/>
    <col min="271" max="271" width="19.5" style="1083" customWidth="1"/>
    <col min="272" max="276" width="6.125" style="1083" customWidth="1"/>
    <col min="277" max="277" width="5.75" style="1083" customWidth="1"/>
    <col min="278" max="278" width="4.25" style="1083" customWidth="1"/>
    <col min="279" max="279" width="14.25" style="1083" customWidth="1"/>
    <col min="280" max="282" width="9.375" style="1083" customWidth="1"/>
    <col min="283" max="512" width="9" style="1083"/>
    <col min="513" max="513" width="4.75" style="1083" customWidth="1"/>
    <col min="514" max="514" width="15.25" style="1083" customWidth="1"/>
    <col min="515" max="515" width="13.5" style="1083" customWidth="1"/>
    <col min="516" max="516" width="7.125" style="1083" customWidth="1"/>
    <col min="517" max="517" width="13.5" style="1083" customWidth="1"/>
    <col min="518" max="518" width="7.125" style="1083" customWidth="1"/>
    <col min="519" max="519" width="13.5" style="1083" customWidth="1"/>
    <col min="520" max="520" width="7.125" style="1083" customWidth="1"/>
    <col min="521" max="521" width="13.5" style="1083" customWidth="1"/>
    <col min="522" max="522" width="7.125" style="1083" customWidth="1"/>
    <col min="523" max="523" width="27.5" style="1083" customWidth="1"/>
    <col min="524" max="524" width="6.625" style="1083" customWidth="1"/>
    <col min="525" max="525" width="0" style="1083" hidden="1" customWidth="1"/>
    <col min="526" max="526" width="7.125" style="1083" customWidth="1"/>
    <col min="527" max="527" width="19.5" style="1083" customWidth="1"/>
    <col min="528" max="532" width="6.125" style="1083" customWidth="1"/>
    <col min="533" max="533" width="5.75" style="1083" customWidth="1"/>
    <col min="534" max="534" width="4.25" style="1083" customWidth="1"/>
    <col min="535" max="535" width="14.25" style="1083" customWidth="1"/>
    <col min="536" max="538" width="9.375" style="1083" customWidth="1"/>
    <col min="539" max="768" width="9" style="1083"/>
    <col min="769" max="769" width="4.75" style="1083" customWidth="1"/>
    <col min="770" max="770" width="15.25" style="1083" customWidth="1"/>
    <col min="771" max="771" width="13.5" style="1083" customWidth="1"/>
    <col min="772" max="772" width="7.125" style="1083" customWidth="1"/>
    <col min="773" max="773" width="13.5" style="1083" customWidth="1"/>
    <col min="774" max="774" width="7.125" style="1083" customWidth="1"/>
    <col min="775" max="775" width="13.5" style="1083" customWidth="1"/>
    <col min="776" max="776" width="7.125" style="1083" customWidth="1"/>
    <col min="777" max="777" width="13.5" style="1083" customWidth="1"/>
    <col min="778" max="778" width="7.125" style="1083" customWidth="1"/>
    <col min="779" max="779" width="27.5" style="1083" customWidth="1"/>
    <col min="780" max="780" width="6.625" style="1083" customWidth="1"/>
    <col min="781" max="781" width="0" style="1083" hidden="1" customWidth="1"/>
    <col min="782" max="782" width="7.125" style="1083" customWidth="1"/>
    <col min="783" max="783" width="19.5" style="1083" customWidth="1"/>
    <col min="784" max="788" width="6.125" style="1083" customWidth="1"/>
    <col min="789" max="789" width="5.75" style="1083" customWidth="1"/>
    <col min="790" max="790" width="4.25" style="1083" customWidth="1"/>
    <col min="791" max="791" width="14.25" style="1083" customWidth="1"/>
    <col min="792" max="794" width="9.375" style="1083" customWidth="1"/>
    <col min="795" max="1024" width="9" style="1083"/>
    <col min="1025" max="1025" width="4.75" style="1083" customWidth="1"/>
    <col min="1026" max="1026" width="15.25" style="1083" customWidth="1"/>
    <col min="1027" max="1027" width="13.5" style="1083" customWidth="1"/>
    <col min="1028" max="1028" width="7.125" style="1083" customWidth="1"/>
    <col min="1029" max="1029" width="13.5" style="1083" customWidth="1"/>
    <col min="1030" max="1030" width="7.125" style="1083" customWidth="1"/>
    <col min="1031" max="1031" width="13.5" style="1083" customWidth="1"/>
    <col min="1032" max="1032" width="7.125" style="1083" customWidth="1"/>
    <col min="1033" max="1033" width="13.5" style="1083" customWidth="1"/>
    <col min="1034" max="1034" width="7.125" style="1083" customWidth="1"/>
    <col min="1035" max="1035" width="27.5" style="1083" customWidth="1"/>
    <col min="1036" max="1036" width="6.625" style="1083" customWidth="1"/>
    <col min="1037" max="1037" width="0" style="1083" hidden="1" customWidth="1"/>
    <col min="1038" max="1038" width="7.125" style="1083" customWidth="1"/>
    <col min="1039" max="1039" width="19.5" style="1083" customWidth="1"/>
    <col min="1040" max="1044" width="6.125" style="1083" customWidth="1"/>
    <col min="1045" max="1045" width="5.75" style="1083" customWidth="1"/>
    <col min="1046" max="1046" width="4.25" style="1083" customWidth="1"/>
    <col min="1047" max="1047" width="14.25" style="1083" customWidth="1"/>
    <col min="1048" max="1050" width="9.375" style="1083" customWidth="1"/>
    <col min="1051" max="1280" width="9" style="1083"/>
    <col min="1281" max="1281" width="4.75" style="1083" customWidth="1"/>
    <col min="1282" max="1282" width="15.25" style="1083" customWidth="1"/>
    <col min="1283" max="1283" width="13.5" style="1083" customWidth="1"/>
    <col min="1284" max="1284" width="7.125" style="1083" customWidth="1"/>
    <col min="1285" max="1285" width="13.5" style="1083" customWidth="1"/>
    <col min="1286" max="1286" width="7.125" style="1083" customWidth="1"/>
    <col min="1287" max="1287" width="13.5" style="1083" customWidth="1"/>
    <col min="1288" max="1288" width="7.125" style="1083" customWidth="1"/>
    <col min="1289" max="1289" width="13.5" style="1083" customWidth="1"/>
    <col min="1290" max="1290" width="7.125" style="1083" customWidth="1"/>
    <col min="1291" max="1291" width="27.5" style="1083" customWidth="1"/>
    <col min="1292" max="1292" width="6.625" style="1083" customWidth="1"/>
    <col min="1293" max="1293" width="0" style="1083" hidden="1" customWidth="1"/>
    <col min="1294" max="1294" width="7.125" style="1083" customWidth="1"/>
    <col min="1295" max="1295" width="19.5" style="1083" customWidth="1"/>
    <col min="1296" max="1300" width="6.125" style="1083" customWidth="1"/>
    <col min="1301" max="1301" width="5.75" style="1083" customWidth="1"/>
    <col min="1302" max="1302" width="4.25" style="1083" customWidth="1"/>
    <col min="1303" max="1303" width="14.25" style="1083" customWidth="1"/>
    <col min="1304" max="1306" width="9.375" style="1083" customWidth="1"/>
    <col min="1307" max="1536" width="9" style="1083"/>
    <col min="1537" max="1537" width="4.75" style="1083" customWidth="1"/>
    <col min="1538" max="1538" width="15.25" style="1083" customWidth="1"/>
    <col min="1539" max="1539" width="13.5" style="1083" customWidth="1"/>
    <col min="1540" max="1540" width="7.125" style="1083" customWidth="1"/>
    <col min="1541" max="1541" width="13.5" style="1083" customWidth="1"/>
    <col min="1542" max="1542" width="7.125" style="1083" customWidth="1"/>
    <col min="1543" max="1543" width="13.5" style="1083" customWidth="1"/>
    <col min="1544" max="1544" width="7.125" style="1083" customWidth="1"/>
    <col min="1545" max="1545" width="13.5" style="1083" customWidth="1"/>
    <col min="1546" max="1546" width="7.125" style="1083" customWidth="1"/>
    <col min="1547" max="1547" width="27.5" style="1083" customWidth="1"/>
    <col min="1548" max="1548" width="6.625" style="1083" customWidth="1"/>
    <col min="1549" max="1549" width="0" style="1083" hidden="1" customWidth="1"/>
    <col min="1550" max="1550" width="7.125" style="1083" customWidth="1"/>
    <col min="1551" max="1551" width="19.5" style="1083" customWidth="1"/>
    <col min="1552" max="1556" width="6.125" style="1083" customWidth="1"/>
    <col min="1557" max="1557" width="5.75" style="1083" customWidth="1"/>
    <col min="1558" max="1558" width="4.25" style="1083" customWidth="1"/>
    <col min="1559" max="1559" width="14.25" style="1083" customWidth="1"/>
    <col min="1560" max="1562" width="9.375" style="1083" customWidth="1"/>
    <col min="1563" max="1792" width="9" style="1083"/>
    <col min="1793" max="1793" width="4.75" style="1083" customWidth="1"/>
    <col min="1794" max="1794" width="15.25" style="1083" customWidth="1"/>
    <col min="1795" max="1795" width="13.5" style="1083" customWidth="1"/>
    <col min="1796" max="1796" width="7.125" style="1083" customWidth="1"/>
    <col min="1797" max="1797" width="13.5" style="1083" customWidth="1"/>
    <col min="1798" max="1798" width="7.125" style="1083" customWidth="1"/>
    <col min="1799" max="1799" width="13.5" style="1083" customWidth="1"/>
    <col min="1800" max="1800" width="7.125" style="1083" customWidth="1"/>
    <col min="1801" max="1801" width="13.5" style="1083" customWidth="1"/>
    <col min="1802" max="1802" width="7.125" style="1083" customWidth="1"/>
    <col min="1803" max="1803" width="27.5" style="1083" customWidth="1"/>
    <col min="1804" max="1804" width="6.625" style="1083" customWidth="1"/>
    <col min="1805" max="1805" width="0" style="1083" hidden="1" customWidth="1"/>
    <col min="1806" max="1806" width="7.125" style="1083" customWidth="1"/>
    <col min="1807" max="1807" width="19.5" style="1083" customWidth="1"/>
    <col min="1808" max="1812" width="6.125" style="1083" customWidth="1"/>
    <col min="1813" max="1813" width="5.75" style="1083" customWidth="1"/>
    <col min="1814" max="1814" width="4.25" style="1083" customWidth="1"/>
    <col min="1815" max="1815" width="14.25" style="1083" customWidth="1"/>
    <col min="1816" max="1818" width="9.375" style="1083" customWidth="1"/>
    <col min="1819" max="2048" width="9" style="1083"/>
    <col min="2049" max="2049" width="4.75" style="1083" customWidth="1"/>
    <col min="2050" max="2050" width="15.25" style="1083" customWidth="1"/>
    <col min="2051" max="2051" width="13.5" style="1083" customWidth="1"/>
    <col min="2052" max="2052" width="7.125" style="1083" customWidth="1"/>
    <col min="2053" max="2053" width="13.5" style="1083" customWidth="1"/>
    <col min="2054" max="2054" width="7.125" style="1083" customWidth="1"/>
    <col min="2055" max="2055" width="13.5" style="1083" customWidth="1"/>
    <col min="2056" max="2056" width="7.125" style="1083" customWidth="1"/>
    <col min="2057" max="2057" width="13.5" style="1083" customWidth="1"/>
    <col min="2058" max="2058" width="7.125" style="1083" customWidth="1"/>
    <col min="2059" max="2059" width="27.5" style="1083" customWidth="1"/>
    <col min="2060" max="2060" width="6.625" style="1083" customWidth="1"/>
    <col min="2061" max="2061" width="0" style="1083" hidden="1" customWidth="1"/>
    <col min="2062" max="2062" width="7.125" style="1083" customWidth="1"/>
    <col min="2063" max="2063" width="19.5" style="1083" customWidth="1"/>
    <col min="2064" max="2068" width="6.125" style="1083" customWidth="1"/>
    <col min="2069" max="2069" width="5.75" style="1083" customWidth="1"/>
    <col min="2070" max="2070" width="4.25" style="1083" customWidth="1"/>
    <col min="2071" max="2071" width="14.25" style="1083" customWidth="1"/>
    <col min="2072" max="2074" width="9.375" style="1083" customWidth="1"/>
    <col min="2075" max="2304" width="9" style="1083"/>
    <col min="2305" max="2305" width="4.75" style="1083" customWidth="1"/>
    <col min="2306" max="2306" width="15.25" style="1083" customWidth="1"/>
    <col min="2307" max="2307" width="13.5" style="1083" customWidth="1"/>
    <col min="2308" max="2308" width="7.125" style="1083" customWidth="1"/>
    <col min="2309" max="2309" width="13.5" style="1083" customWidth="1"/>
    <col min="2310" max="2310" width="7.125" style="1083" customWidth="1"/>
    <col min="2311" max="2311" width="13.5" style="1083" customWidth="1"/>
    <col min="2312" max="2312" width="7.125" style="1083" customWidth="1"/>
    <col min="2313" max="2313" width="13.5" style="1083" customWidth="1"/>
    <col min="2314" max="2314" width="7.125" style="1083" customWidth="1"/>
    <col min="2315" max="2315" width="27.5" style="1083" customWidth="1"/>
    <col min="2316" max="2316" width="6.625" style="1083" customWidth="1"/>
    <col min="2317" max="2317" width="0" style="1083" hidden="1" customWidth="1"/>
    <col min="2318" max="2318" width="7.125" style="1083" customWidth="1"/>
    <col min="2319" max="2319" width="19.5" style="1083" customWidth="1"/>
    <col min="2320" max="2324" width="6.125" style="1083" customWidth="1"/>
    <col min="2325" max="2325" width="5.75" style="1083" customWidth="1"/>
    <col min="2326" max="2326" width="4.25" style="1083" customWidth="1"/>
    <col min="2327" max="2327" width="14.25" style="1083" customWidth="1"/>
    <col min="2328" max="2330" width="9.375" style="1083" customWidth="1"/>
    <col min="2331" max="2560" width="9" style="1083"/>
    <col min="2561" max="2561" width="4.75" style="1083" customWidth="1"/>
    <col min="2562" max="2562" width="15.25" style="1083" customWidth="1"/>
    <col min="2563" max="2563" width="13.5" style="1083" customWidth="1"/>
    <col min="2564" max="2564" width="7.125" style="1083" customWidth="1"/>
    <col min="2565" max="2565" width="13.5" style="1083" customWidth="1"/>
    <col min="2566" max="2566" width="7.125" style="1083" customWidth="1"/>
    <col min="2567" max="2567" width="13.5" style="1083" customWidth="1"/>
    <col min="2568" max="2568" width="7.125" style="1083" customWidth="1"/>
    <col min="2569" max="2569" width="13.5" style="1083" customWidth="1"/>
    <col min="2570" max="2570" width="7.125" style="1083" customWidth="1"/>
    <col min="2571" max="2571" width="27.5" style="1083" customWidth="1"/>
    <col min="2572" max="2572" width="6.625" style="1083" customWidth="1"/>
    <col min="2573" max="2573" width="0" style="1083" hidden="1" customWidth="1"/>
    <col min="2574" max="2574" width="7.125" style="1083" customWidth="1"/>
    <col min="2575" max="2575" width="19.5" style="1083" customWidth="1"/>
    <col min="2576" max="2580" width="6.125" style="1083" customWidth="1"/>
    <col min="2581" max="2581" width="5.75" style="1083" customWidth="1"/>
    <col min="2582" max="2582" width="4.25" style="1083" customWidth="1"/>
    <col min="2583" max="2583" width="14.25" style="1083" customWidth="1"/>
    <col min="2584" max="2586" width="9.375" style="1083" customWidth="1"/>
    <col min="2587" max="2816" width="9" style="1083"/>
    <col min="2817" max="2817" width="4.75" style="1083" customWidth="1"/>
    <col min="2818" max="2818" width="15.25" style="1083" customWidth="1"/>
    <col min="2819" max="2819" width="13.5" style="1083" customWidth="1"/>
    <col min="2820" max="2820" width="7.125" style="1083" customWidth="1"/>
    <col min="2821" max="2821" width="13.5" style="1083" customWidth="1"/>
    <col min="2822" max="2822" width="7.125" style="1083" customWidth="1"/>
    <col min="2823" max="2823" width="13.5" style="1083" customWidth="1"/>
    <col min="2824" max="2824" width="7.125" style="1083" customWidth="1"/>
    <col min="2825" max="2825" width="13.5" style="1083" customWidth="1"/>
    <col min="2826" max="2826" width="7.125" style="1083" customWidth="1"/>
    <col min="2827" max="2827" width="27.5" style="1083" customWidth="1"/>
    <col min="2828" max="2828" width="6.625" style="1083" customWidth="1"/>
    <col min="2829" max="2829" width="0" style="1083" hidden="1" customWidth="1"/>
    <col min="2830" max="2830" width="7.125" style="1083" customWidth="1"/>
    <col min="2831" max="2831" width="19.5" style="1083" customWidth="1"/>
    <col min="2832" max="2836" width="6.125" style="1083" customWidth="1"/>
    <col min="2837" max="2837" width="5.75" style="1083" customWidth="1"/>
    <col min="2838" max="2838" width="4.25" style="1083" customWidth="1"/>
    <col min="2839" max="2839" width="14.25" style="1083" customWidth="1"/>
    <col min="2840" max="2842" width="9.375" style="1083" customWidth="1"/>
    <col min="2843" max="3072" width="9" style="1083"/>
    <col min="3073" max="3073" width="4.75" style="1083" customWidth="1"/>
    <col min="3074" max="3074" width="15.25" style="1083" customWidth="1"/>
    <col min="3075" max="3075" width="13.5" style="1083" customWidth="1"/>
    <col min="3076" max="3076" width="7.125" style="1083" customWidth="1"/>
    <col min="3077" max="3077" width="13.5" style="1083" customWidth="1"/>
    <col min="3078" max="3078" width="7.125" style="1083" customWidth="1"/>
    <col min="3079" max="3079" width="13.5" style="1083" customWidth="1"/>
    <col min="3080" max="3080" width="7.125" style="1083" customWidth="1"/>
    <col min="3081" max="3081" width="13.5" style="1083" customWidth="1"/>
    <col min="3082" max="3082" width="7.125" style="1083" customWidth="1"/>
    <col min="3083" max="3083" width="27.5" style="1083" customWidth="1"/>
    <col min="3084" max="3084" width="6.625" style="1083" customWidth="1"/>
    <col min="3085" max="3085" width="0" style="1083" hidden="1" customWidth="1"/>
    <col min="3086" max="3086" width="7.125" style="1083" customWidth="1"/>
    <col min="3087" max="3087" width="19.5" style="1083" customWidth="1"/>
    <col min="3088" max="3092" width="6.125" style="1083" customWidth="1"/>
    <col min="3093" max="3093" width="5.75" style="1083" customWidth="1"/>
    <col min="3094" max="3094" width="4.25" style="1083" customWidth="1"/>
    <col min="3095" max="3095" width="14.25" style="1083" customWidth="1"/>
    <col min="3096" max="3098" width="9.375" style="1083" customWidth="1"/>
    <col min="3099" max="3328" width="9" style="1083"/>
    <col min="3329" max="3329" width="4.75" style="1083" customWidth="1"/>
    <col min="3330" max="3330" width="15.25" style="1083" customWidth="1"/>
    <col min="3331" max="3331" width="13.5" style="1083" customWidth="1"/>
    <col min="3332" max="3332" width="7.125" style="1083" customWidth="1"/>
    <col min="3333" max="3333" width="13.5" style="1083" customWidth="1"/>
    <col min="3334" max="3334" width="7.125" style="1083" customWidth="1"/>
    <col min="3335" max="3335" width="13.5" style="1083" customWidth="1"/>
    <col min="3336" max="3336" width="7.125" style="1083" customWidth="1"/>
    <col min="3337" max="3337" width="13.5" style="1083" customWidth="1"/>
    <col min="3338" max="3338" width="7.125" style="1083" customWidth="1"/>
    <col min="3339" max="3339" width="27.5" style="1083" customWidth="1"/>
    <col min="3340" max="3340" width="6.625" style="1083" customWidth="1"/>
    <col min="3341" max="3341" width="0" style="1083" hidden="1" customWidth="1"/>
    <col min="3342" max="3342" width="7.125" style="1083" customWidth="1"/>
    <col min="3343" max="3343" width="19.5" style="1083" customWidth="1"/>
    <col min="3344" max="3348" width="6.125" style="1083" customWidth="1"/>
    <col min="3349" max="3349" width="5.75" style="1083" customWidth="1"/>
    <col min="3350" max="3350" width="4.25" style="1083" customWidth="1"/>
    <col min="3351" max="3351" width="14.25" style="1083" customWidth="1"/>
    <col min="3352" max="3354" width="9.375" style="1083" customWidth="1"/>
    <col min="3355" max="3584" width="9" style="1083"/>
    <col min="3585" max="3585" width="4.75" style="1083" customWidth="1"/>
    <col min="3586" max="3586" width="15.25" style="1083" customWidth="1"/>
    <col min="3587" max="3587" width="13.5" style="1083" customWidth="1"/>
    <col min="3588" max="3588" width="7.125" style="1083" customWidth="1"/>
    <col min="3589" max="3589" width="13.5" style="1083" customWidth="1"/>
    <col min="3590" max="3590" width="7.125" style="1083" customWidth="1"/>
    <col min="3591" max="3591" width="13.5" style="1083" customWidth="1"/>
    <col min="3592" max="3592" width="7.125" style="1083" customWidth="1"/>
    <col min="3593" max="3593" width="13.5" style="1083" customWidth="1"/>
    <col min="3594" max="3594" width="7.125" style="1083" customWidth="1"/>
    <col min="3595" max="3595" width="27.5" style="1083" customWidth="1"/>
    <col min="3596" max="3596" width="6.625" style="1083" customWidth="1"/>
    <col min="3597" max="3597" width="0" style="1083" hidden="1" customWidth="1"/>
    <col min="3598" max="3598" width="7.125" style="1083" customWidth="1"/>
    <col min="3599" max="3599" width="19.5" style="1083" customWidth="1"/>
    <col min="3600" max="3604" width="6.125" style="1083" customWidth="1"/>
    <col min="3605" max="3605" width="5.75" style="1083" customWidth="1"/>
    <col min="3606" max="3606" width="4.25" style="1083" customWidth="1"/>
    <col min="3607" max="3607" width="14.25" style="1083" customWidth="1"/>
    <col min="3608" max="3610" width="9.375" style="1083" customWidth="1"/>
    <col min="3611" max="3840" width="9" style="1083"/>
    <col min="3841" max="3841" width="4.75" style="1083" customWidth="1"/>
    <col min="3842" max="3842" width="15.25" style="1083" customWidth="1"/>
    <col min="3843" max="3843" width="13.5" style="1083" customWidth="1"/>
    <col min="3844" max="3844" width="7.125" style="1083" customWidth="1"/>
    <col min="3845" max="3845" width="13.5" style="1083" customWidth="1"/>
    <col min="3846" max="3846" width="7.125" style="1083" customWidth="1"/>
    <col min="3847" max="3847" width="13.5" style="1083" customWidth="1"/>
    <col min="3848" max="3848" width="7.125" style="1083" customWidth="1"/>
    <col min="3849" max="3849" width="13.5" style="1083" customWidth="1"/>
    <col min="3850" max="3850" width="7.125" style="1083" customWidth="1"/>
    <col min="3851" max="3851" width="27.5" style="1083" customWidth="1"/>
    <col min="3852" max="3852" width="6.625" style="1083" customWidth="1"/>
    <col min="3853" max="3853" width="0" style="1083" hidden="1" customWidth="1"/>
    <col min="3854" max="3854" width="7.125" style="1083" customWidth="1"/>
    <col min="3855" max="3855" width="19.5" style="1083" customWidth="1"/>
    <col min="3856" max="3860" width="6.125" style="1083" customWidth="1"/>
    <col min="3861" max="3861" width="5.75" style="1083" customWidth="1"/>
    <col min="3862" max="3862" width="4.25" style="1083" customWidth="1"/>
    <col min="3863" max="3863" width="14.25" style="1083" customWidth="1"/>
    <col min="3864" max="3866" width="9.375" style="1083" customWidth="1"/>
    <col min="3867" max="4096" width="9" style="1083"/>
    <col min="4097" max="4097" width="4.75" style="1083" customWidth="1"/>
    <col min="4098" max="4098" width="15.25" style="1083" customWidth="1"/>
    <col min="4099" max="4099" width="13.5" style="1083" customWidth="1"/>
    <col min="4100" max="4100" width="7.125" style="1083" customWidth="1"/>
    <col min="4101" max="4101" width="13.5" style="1083" customWidth="1"/>
    <col min="4102" max="4102" width="7.125" style="1083" customWidth="1"/>
    <col min="4103" max="4103" width="13.5" style="1083" customWidth="1"/>
    <col min="4104" max="4104" width="7.125" style="1083" customWidth="1"/>
    <col min="4105" max="4105" width="13.5" style="1083" customWidth="1"/>
    <col min="4106" max="4106" width="7.125" style="1083" customWidth="1"/>
    <col min="4107" max="4107" width="27.5" style="1083" customWidth="1"/>
    <col min="4108" max="4108" width="6.625" style="1083" customWidth="1"/>
    <col min="4109" max="4109" width="0" style="1083" hidden="1" customWidth="1"/>
    <col min="4110" max="4110" width="7.125" style="1083" customWidth="1"/>
    <col min="4111" max="4111" width="19.5" style="1083" customWidth="1"/>
    <col min="4112" max="4116" width="6.125" style="1083" customWidth="1"/>
    <col min="4117" max="4117" width="5.75" style="1083" customWidth="1"/>
    <col min="4118" max="4118" width="4.25" style="1083" customWidth="1"/>
    <col min="4119" max="4119" width="14.25" style="1083" customWidth="1"/>
    <col min="4120" max="4122" width="9.375" style="1083" customWidth="1"/>
    <col min="4123" max="4352" width="9" style="1083"/>
    <col min="4353" max="4353" width="4.75" style="1083" customWidth="1"/>
    <col min="4354" max="4354" width="15.25" style="1083" customWidth="1"/>
    <col min="4355" max="4355" width="13.5" style="1083" customWidth="1"/>
    <col min="4356" max="4356" width="7.125" style="1083" customWidth="1"/>
    <col min="4357" max="4357" width="13.5" style="1083" customWidth="1"/>
    <col min="4358" max="4358" width="7.125" style="1083" customWidth="1"/>
    <col min="4359" max="4359" width="13.5" style="1083" customWidth="1"/>
    <col min="4360" max="4360" width="7.125" style="1083" customWidth="1"/>
    <col min="4361" max="4361" width="13.5" style="1083" customWidth="1"/>
    <col min="4362" max="4362" width="7.125" style="1083" customWidth="1"/>
    <col min="4363" max="4363" width="27.5" style="1083" customWidth="1"/>
    <col min="4364" max="4364" width="6.625" style="1083" customWidth="1"/>
    <col min="4365" max="4365" width="0" style="1083" hidden="1" customWidth="1"/>
    <col min="4366" max="4366" width="7.125" style="1083" customWidth="1"/>
    <col min="4367" max="4367" width="19.5" style="1083" customWidth="1"/>
    <col min="4368" max="4372" width="6.125" style="1083" customWidth="1"/>
    <col min="4373" max="4373" width="5.75" style="1083" customWidth="1"/>
    <col min="4374" max="4374" width="4.25" style="1083" customWidth="1"/>
    <col min="4375" max="4375" width="14.25" style="1083" customWidth="1"/>
    <col min="4376" max="4378" width="9.375" style="1083" customWidth="1"/>
    <col min="4379" max="4608" width="9" style="1083"/>
    <col min="4609" max="4609" width="4.75" style="1083" customWidth="1"/>
    <col min="4610" max="4610" width="15.25" style="1083" customWidth="1"/>
    <col min="4611" max="4611" width="13.5" style="1083" customWidth="1"/>
    <col min="4612" max="4612" width="7.125" style="1083" customWidth="1"/>
    <col min="4613" max="4613" width="13.5" style="1083" customWidth="1"/>
    <col min="4614" max="4614" width="7.125" style="1083" customWidth="1"/>
    <col min="4615" max="4615" width="13.5" style="1083" customWidth="1"/>
    <col min="4616" max="4616" width="7.125" style="1083" customWidth="1"/>
    <col min="4617" max="4617" width="13.5" style="1083" customWidth="1"/>
    <col min="4618" max="4618" width="7.125" style="1083" customWidth="1"/>
    <col min="4619" max="4619" width="27.5" style="1083" customWidth="1"/>
    <col min="4620" max="4620" width="6.625" style="1083" customWidth="1"/>
    <col min="4621" max="4621" width="0" style="1083" hidden="1" customWidth="1"/>
    <col min="4622" max="4622" width="7.125" style="1083" customWidth="1"/>
    <col min="4623" max="4623" width="19.5" style="1083" customWidth="1"/>
    <col min="4624" max="4628" width="6.125" style="1083" customWidth="1"/>
    <col min="4629" max="4629" width="5.75" style="1083" customWidth="1"/>
    <col min="4630" max="4630" width="4.25" style="1083" customWidth="1"/>
    <col min="4631" max="4631" width="14.25" style="1083" customWidth="1"/>
    <col min="4632" max="4634" width="9.375" style="1083" customWidth="1"/>
    <col min="4635" max="4864" width="9" style="1083"/>
    <col min="4865" max="4865" width="4.75" style="1083" customWidth="1"/>
    <col min="4866" max="4866" width="15.25" style="1083" customWidth="1"/>
    <col min="4867" max="4867" width="13.5" style="1083" customWidth="1"/>
    <col min="4868" max="4868" width="7.125" style="1083" customWidth="1"/>
    <col min="4869" max="4869" width="13.5" style="1083" customWidth="1"/>
    <col min="4870" max="4870" width="7.125" style="1083" customWidth="1"/>
    <col min="4871" max="4871" width="13.5" style="1083" customWidth="1"/>
    <col min="4872" max="4872" width="7.125" style="1083" customWidth="1"/>
    <col min="4873" max="4873" width="13.5" style="1083" customWidth="1"/>
    <col min="4874" max="4874" width="7.125" style="1083" customWidth="1"/>
    <col min="4875" max="4875" width="27.5" style="1083" customWidth="1"/>
    <col min="4876" max="4876" width="6.625" style="1083" customWidth="1"/>
    <col min="4877" max="4877" width="0" style="1083" hidden="1" customWidth="1"/>
    <col min="4878" max="4878" width="7.125" style="1083" customWidth="1"/>
    <col min="4879" max="4879" width="19.5" style="1083" customWidth="1"/>
    <col min="4880" max="4884" width="6.125" style="1083" customWidth="1"/>
    <col min="4885" max="4885" width="5.75" style="1083" customWidth="1"/>
    <col min="4886" max="4886" width="4.25" style="1083" customWidth="1"/>
    <col min="4887" max="4887" width="14.25" style="1083" customWidth="1"/>
    <col min="4888" max="4890" width="9.375" style="1083" customWidth="1"/>
    <col min="4891" max="5120" width="9" style="1083"/>
    <col min="5121" max="5121" width="4.75" style="1083" customWidth="1"/>
    <col min="5122" max="5122" width="15.25" style="1083" customWidth="1"/>
    <col min="5123" max="5123" width="13.5" style="1083" customWidth="1"/>
    <col min="5124" max="5124" width="7.125" style="1083" customWidth="1"/>
    <col min="5125" max="5125" width="13.5" style="1083" customWidth="1"/>
    <col min="5126" max="5126" width="7.125" style="1083" customWidth="1"/>
    <col min="5127" max="5127" width="13.5" style="1083" customWidth="1"/>
    <col min="5128" max="5128" width="7.125" style="1083" customWidth="1"/>
    <col min="5129" max="5129" width="13.5" style="1083" customWidth="1"/>
    <col min="5130" max="5130" width="7.125" style="1083" customWidth="1"/>
    <col min="5131" max="5131" width="27.5" style="1083" customWidth="1"/>
    <col min="5132" max="5132" width="6.625" style="1083" customWidth="1"/>
    <col min="5133" max="5133" width="0" style="1083" hidden="1" customWidth="1"/>
    <col min="5134" max="5134" width="7.125" style="1083" customWidth="1"/>
    <col min="5135" max="5135" width="19.5" style="1083" customWidth="1"/>
    <col min="5136" max="5140" width="6.125" style="1083" customWidth="1"/>
    <col min="5141" max="5141" width="5.75" style="1083" customWidth="1"/>
    <col min="5142" max="5142" width="4.25" style="1083" customWidth="1"/>
    <col min="5143" max="5143" width="14.25" style="1083" customWidth="1"/>
    <col min="5144" max="5146" width="9.375" style="1083" customWidth="1"/>
    <col min="5147" max="5376" width="9" style="1083"/>
    <col min="5377" max="5377" width="4.75" style="1083" customWidth="1"/>
    <col min="5378" max="5378" width="15.25" style="1083" customWidth="1"/>
    <col min="5379" max="5379" width="13.5" style="1083" customWidth="1"/>
    <col min="5380" max="5380" width="7.125" style="1083" customWidth="1"/>
    <col min="5381" max="5381" width="13.5" style="1083" customWidth="1"/>
    <col min="5382" max="5382" width="7.125" style="1083" customWidth="1"/>
    <col min="5383" max="5383" width="13.5" style="1083" customWidth="1"/>
    <col min="5384" max="5384" width="7.125" style="1083" customWidth="1"/>
    <col min="5385" max="5385" width="13.5" style="1083" customWidth="1"/>
    <col min="5386" max="5386" width="7.125" style="1083" customWidth="1"/>
    <col min="5387" max="5387" width="27.5" style="1083" customWidth="1"/>
    <col min="5388" max="5388" width="6.625" style="1083" customWidth="1"/>
    <col min="5389" max="5389" width="0" style="1083" hidden="1" customWidth="1"/>
    <col min="5390" max="5390" width="7.125" style="1083" customWidth="1"/>
    <col min="5391" max="5391" width="19.5" style="1083" customWidth="1"/>
    <col min="5392" max="5396" width="6.125" style="1083" customWidth="1"/>
    <col min="5397" max="5397" width="5.75" style="1083" customWidth="1"/>
    <col min="5398" max="5398" width="4.25" style="1083" customWidth="1"/>
    <col min="5399" max="5399" width="14.25" style="1083" customWidth="1"/>
    <col min="5400" max="5402" width="9.375" style="1083" customWidth="1"/>
    <col min="5403" max="5632" width="9" style="1083"/>
    <col min="5633" max="5633" width="4.75" style="1083" customWidth="1"/>
    <col min="5634" max="5634" width="15.25" style="1083" customWidth="1"/>
    <col min="5635" max="5635" width="13.5" style="1083" customWidth="1"/>
    <col min="5636" max="5636" width="7.125" style="1083" customWidth="1"/>
    <col min="5637" max="5637" width="13.5" style="1083" customWidth="1"/>
    <col min="5638" max="5638" width="7.125" style="1083" customWidth="1"/>
    <col min="5639" max="5639" width="13.5" style="1083" customWidth="1"/>
    <col min="5640" max="5640" width="7.125" style="1083" customWidth="1"/>
    <col min="5641" max="5641" width="13.5" style="1083" customWidth="1"/>
    <col min="5642" max="5642" width="7.125" style="1083" customWidth="1"/>
    <col min="5643" max="5643" width="27.5" style="1083" customWidth="1"/>
    <col min="5644" max="5644" width="6.625" style="1083" customWidth="1"/>
    <col min="5645" max="5645" width="0" style="1083" hidden="1" customWidth="1"/>
    <col min="5646" max="5646" width="7.125" style="1083" customWidth="1"/>
    <col min="5647" max="5647" width="19.5" style="1083" customWidth="1"/>
    <col min="5648" max="5652" width="6.125" style="1083" customWidth="1"/>
    <col min="5653" max="5653" width="5.75" style="1083" customWidth="1"/>
    <col min="5654" max="5654" width="4.25" style="1083" customWidth="1"/>
    <col min="5655" max="5655" width="14.25" style="1083" customWidth="1"/>
    <col min="5656" max="5658" width="9.375" style="1083" customWidth="1"/>
    <col min="5659" max="5888" width="9" style="1083"/>
    <col min="5889" max="5889" width="4.75" style="1083" customWidth="1"/>
    <col min="5890" max="5890" width="15.25" style="1083" customWidth="1"/>
    <col min="5891" max="5891" width="13.5" style="1083" customWidth="1"/>
    <col min="5892" max="5892" width="7.125" style="1083" customWidth="1"/>
    <col min="5893" max="5893" width="13.5" style="1083" customWidth="1"/>
    <col min="5894" max="5894" width="7.125" style="1083" customWidth="1"/>
    <col min="5895" max="5895" width="13.5" style="1083" customWidth="1"/>
    <col min="5896" max="5896" width="7.125" style="1083" customWidth="1"/>
    <col min="5897" max="5897" width="13.5" style="1083" customWidth="1"/>
    <col min="5898" max="5898" width="7.125" style="1083" customWidth="1"/>
    <col min="5899" max="5899" width="27.5" style="1083" customWidth="1"/>
    <col min="5900" max="5900" width="6.625" style="1083" customWidth="1"/>
    <col min="5901" max="5901" width="0" style="1083" hidden="1" customWidth="1"/>
    <col min="5902" max="5902" width="7.125" style="1083" customWidth="1"/>
    <col min="5903" max="5903" width="19.5" style="1083" customWidth="1"/>
    <col min="5904" max="5908" width="6.125" style="1083" customWidth="1"/>
    <col min="5909" max="5909" width="5.75" style="1083" customWidth="1"/>
    <col min="5910" max="5910" width="4.25" style="1083" customWidth="1"/>
    <col min="5911" max="5911" width="14.25" style="1083" customWidth="1"/>
    <col min="5912" max="5914" width="9.375" style="1083" customWidth="1"/>
    <col min="5915" max="6144" width="9" style="1083"/>
    <col min="6145" max="6145" width="4.75" style="1083" customWidth="1"/>
    <col min="6146" max="6146" width="15.25" style="1083" customWidth="1"/>
    <col min="6147" max="6147" width="13.5" style="1083" customWidth="1"/>
    <col min="6148" max="6148" width="7.125" style="1083" customWidth="1"/>
    <col min="6149" max="6149" width="13.5" style="1083" customWidth="1"/>
    <col min="6150" max="6150" width="7.125" style="1083" customWidth="1"/>
    <col min="6151" max="6151" width="13.5" style="1083" customWidth="1"/>
    <col min="6152" max="6152" width="7.125" style="1083" customWidth="1"/>
    <col min="6153" max="6153" width="13.5" style="1083" customWidth="1"/>
    <col min="6154" max="6154" width="7.125" style="1083" customWidth="1"/>
    <col min="6155" max="6155" width="27.5" style="1083" customWidth="1"/>
    <col min="6156" max="6156" width="6.625" style="1083" customWidth="1"/>
    <col min="6157" max="6157" width="0" style="1083" hidden="1" customWidth="1"/>
    <col min="6158" max="6158" width="7.125" style="1083" customWidth="1"/>
    <col min="6159" max="6159" width="19.5" style="1083" customWidth="1"/>
    <col min="6160" max="6164" width="6.125" style="1083" customWidth="1"/>
    <col min="6165" max="6165" width="5.75" style="1083" customWidth="1"/>
    <col min="6166" max="6166" width="4.25" style="1083" customWidth="1"/>
    <col min="6167" max="6167" width="14.25" style="1083" customWidth="1"/>
    <col min="6168" max="6170" width="9.375" style="1083" customWidth="1"/>
    <col min="6171" max="6400" width="9" style="1083"/>
    <col min="6401" max="6401" width="4.75" style="1083" customWidth="1"/>
    <col min="6402" max="6402" width="15.25" style="1083" customWidth="1"/>
    <col min="6403" max="6403" width="13.5" style="1083" customWidth="1"/>
    <col min="6404" max="6404" width="7.125" style="1083" customWidth="1"/>
    <col min="6405" max="6405" width="13.5" style="1083" customWidth="1"/>
    <col min="6406" max="6406" width="7.125" style="1083" customWidth="1"/>
    <col min="6407" max="6407" width="13.5" style="1083" customWidth="1"/>
    <col min="6408" max="6408" width="7.125" style="1083" customWidth="1"/>
    <col min="6409" max="6409" width="13.5" style="1083" customWidth="1"/>
    <col min="6410" max="6410" width="7.125" style="1083" customWidth="1"/>
    <col min="6411" max="6411" width="27.5" style="1083" customWidth="1"/>
    <col min="6412" max="6412" width="6.625" style="1083" customWidth="1"/>
    <col min="6413" max="6413" width="0" style="1083" hidden="1" customWidth="1"/>
    <col min="6414" max="6414" width="7.125" style="1083" customWidth="1"/>
    <col min="6415" max="6415" width="19.5" style="1083" customWidth="1"/>
    <col min="6416" max="6420" width="6.125" style="1083" customWidth="1"/>
    <col min="6421" max="6421" width="5.75" style="1083" customWidth="1"/>
    <col min="6422" max="6422" width="4.25" style="1083" customWidth="1"/>
    <col min="6423" max="6423" width="14.25" style="1083" customWidth="1"/>
    <col min="6424" max="6426" width="9.375" style="1083" customWidth="1"/>
    <col min="6427" max="6656" width="9" style="1083"/>
    <col min="6657" max="6657" width="4.75" style="1083" customWidth="1"/>
    <col min="6658" max="6658" width="15.25" style="1083" customWidth="1"/>
    <col min="6659" max="6659" width="13.5" style="1083" customWidth="1"/>
    <col min="6660" max="6660" width="7.125" style="1083" customWidth="1"/>
    <col min="6661" max="6661" width="13.5" style="1083" customWidth="1"/>
    <col min="6662" max="6662" width="7.125" style="1083" customWidth="1"/>
    <col min="6663" max="6663" width="13.5" style="1083" customWidth="1"/>
    <col min="6664" max="6664" width="7.125" style="1083" customWidth="1"/>
    <col min="6665" max="6665" width="13.5" style="1083" customWidth="1"/>
    <col min="6666" max="6666" width="7.125" style="1083" customWidth="1"/>
    <col min="6667" max="6667" width="27.5" style="1083" customWidth="1"/>
    <col min="6668" max="6668" width="6.625" style="1083" customWidth="1"/>
    <col min="6669" max="6669" width="0" style="1083" hidden="1" customWidth="1"/>
    <col min="6670" max="6670" width="7.125" style="1083" customWidth="1"/>
    <col min="6671" max="6671" width="19.5" style="1083" customWidth="1"/>
    <col min="6672" max="6676" width="6.125" style="1083" customWidth="1"/>
    <col min="6677" max="6677" width="5.75" style="1083" customWidth="1"/>
    <col min="6678" max="6678" width="4.25" style="1083" customWidth="1"/>
    <col min="6679" max="6679" width="14.25" style="1083" customWidth="1"/>
    <col min="6680" max="6682" width="9.375" style="1083" customWidth="1"/>
    <col min="6683" max="6912" width="9" style="1083"/>
    <col min="6913" max="6913" width="4.75" style="1083" customWidth="1"/>
    <col min="6914" max="6914" width="15.25" style="1083" customWidth="1"/>
    <col min="6915" max="6915" width="13.5" style="1083" customWidth="1"/>
    <col min="6916" max="6916" width="7.125" style="1083" customWidth="1"/>
    <col min="6917" max="6917" width="13.5" style="1083" customWidth="1"/>
    <col min="6918" max="6918" width="7.125" style="1083" customWidth="1"/>
    <col min="6919" max="6919" width="13.5" style="1083" customWidth="1"/>
    <col min="6920" max="6920" width="7.125" style="1083" customWidth="1"/>
    <col min="6921" max="6921" width="13.5" style="1083" customWidth="1"/>
    <col min="6922" max="6922" width="7.125" style="1083" customWidth="1"/>
    <col min="6923" max="6923" width="27.5" style="1083" customWidth="1"/>
    <col min="6924" max="6924" width="6.625" style="1083" customWidth="1"/>
    <col min="6925" max="6925" width="0" style="1083" hidden="1" customWidth="1"/>
    <col min="6926" max="6926" width="7.125" style="1083" customWidth="1"/>
    <col min="6927" max="6927" width="19.5" style="1083" customWidth="1"/>
    <col min="6928" max="6932" width="6.125" style="1083" customWidth="1"/>
    <col min="6933" max="6933" width="5.75" style="1083" customWidth="1"/>
    <col min="6934" max="6934" width="4.25" style="1083" customWidth="1"/>
    <col min="6935" max="6935" width="14.25" style="1083" customWidth="1"/>
    <col min="6936" max="6938" width="9.375" style="1083" customWidth="1"/>
    <col min="6939" max="7168" width="9" style="1083"/>
    <col min="7169" max="7169" width="4.75" style="1083" customWidth="1"/>
    <col min="7170" max="7170" width="15.25" style="1083" customWidth="1"/>
    <col min="7171" max="7171" width="13.5" style="1083" customWidth="1"/>
    <col min="7172" max="7172" width="7.125" style="1083" customWidth="1"/>
    <col min="7173" max="7173" width="13.5" style="1083" customWidth="1"/>
    <col min="7174" max="7174" width="7.125" style="1083" customWidth="1"/>
    <col min="7175" max="7175" width="13.5" style="1083" customWidth="1"/>
    <col min="7176" max="7176" width="7.125" style="1083" customWidth="1"/>
    <col min="7177" max="7177" width="13.5" style="1083" customWidth="1"/>
    <col min="7178" max="7178" width="7.125" style="1083" customWidth="1"/>
    <col min="7179" max="7179" width="27.5" style="1083" customWidth="1"/>
    <col min="7180" max="7180" width="6.625" style="1083" customWidth="1"/>
    <col min="7181" max="7181" width="0" style="1083" hidden="1" customWidth="1"/>
    <col min="7182" max="7182" width="7.125" style="1083" customWidth="1"/>
    <col min="7183" max="7183" width="19.5" style="1083" customWidth="1"/>
    <col min="7184" max="7188" width="6.125" style="1083" customWidth="1"/>
    <col min="7189" max="7189" width="5.75" style="1083" customWidth="1"/>
    <col min="7190" max="7190" width="4.25" style="1083" customWidth="1"/>
    <col min="7191" max="7191" width="14.25" style="1083" customWidth="1"/>
    <col min="7192" max="7194" width="9.375" style="1083" customWidth="1"/>
    <col min="7195" max="7424" width="9" style="1083"/>
    <col min="7425" max="7425" width="4.75" style="1083" customWidth="1"/>
    <col min="7426" max="7426" width="15.25" style="1083" customWidth="1"/>
    <col min="7427" max="7427" width="13.5" style="1083" customWidth="1"/>
    <col min="7428" max="7428" width="7.125" style="1083" customWidth="1"/>
    <col min="7429" max="7429" width="13.5" style="1083" customWidth="1"/>
    <col min="7430" max="7430" width="7.125" style="1083" customWidth="1"/>
    <col min="7431" max="7431" width="13.5" style="1083" customWidth="1"/>
    <col min="7432" max="7432" width="7.125" style="1083" customWidth="1"/>
    <col min="7433" max="7433" width="13.5" style="1083" customWidth="1"/>
    <col min="7434" max="7434" width="7.125" style="1083" customWidth="1"/>
    <col min="7435" max="7435" width="27.5" style="1083" customWidth="1"/>
    <col min="7436" max="7436" width="6.625" style="1083" customWidth="1"/>
    <col min="7437" max="7437" width="0" style="1083" hidden="1" customWidth="1"/>
    <col min="7438" max="7438" width="7.125" style="1083" customWidth="1"/>
    <col min="7439" max="7439" width="19.5" style="1083" customWidth="1"/>
    <col min="7440" max="7444" width="6.125" style="1083" customWidth="1"/>
    <col min="7445" max="7445" width="5.75" style="1083" customWidth="1"/>
    <col min="7446" max="7446" width="4.25" style="1083" customWidth="1"/>
    <col min="7447" max="7447" width="14.25" style="1083" customWidth="1"/>
    <col min="7448" max="7450" width="9.375" style="1083" customWidth="1"/>
    <col min="7451" max="7680" width="9" style="1083"/>
    <col min="7681" max="7681" width="4.75" style="1083" customWidth="1"/>
    <col min="7682" max="7682" width="15.25" style="1083" customWidth="1"/>
    <col min="7683" max="7683" width="13.5" style="1083" customWidth="1"/>
    <col min="7684" max="7684" width="7.125" style="1083" customWidth="1"/>
    <col min="7685" max="7685" width="13.5" style="1083" customWidth="1"/>
    <col min="7686" max="7686" width="7.125" style="1083" customWidth="1"/>
    <col min="7687" max="7687" width="13.5" style="1083" customWidth="1"/>
    <col min="7688" max="7688" width="7.125" style="1083" customWidth="1"/>
    <col min="7689" max="7689" width="13.5" style="1083" customWidth="1"/>
    <col min="7690" max="7690" width="7.125" style="1083" customWidth="1"/>
    <col min="7691" max="7691" width="27.5" style="1083" customWidth="1"/>
    <col min="7692" max="7692" width="6.625" style="1083" customWidth="1"/>
    <col min="7693" max="7693" width="0" style="1083" hidden="1" customWidth="1"/>
    <col min="7694" max="7694" width="7.125" style="1083" customWidth="1"/>
    <col min="7695" max="7695" width="19.5" style="1083" customWidth="1"/>
    <col min="7696" max="7700" width="6.125" style="1083" customWidth="1"/>
    <col min="7701" max="7701" width="5.75" style="1083" customWidth="1"/>
    <col min="7702" max="7702" width="4.25" style="1083" customWidth="1"/>
    <col min="7703" max="7703" width="14.25" style="1083" customWidth="1"/>
    <col min="7704" max="7706" width="9.375" style="1083" customWidth="1"/>
    <col min="7707" max="7936" width="9" style="1083"/>
    <col min="7937" max="7937" width="4.75" style="1083" customWidth="1"/>
    <col min="7938" max="7938" width="15.25" style="1083" customWidth="1"/>
    <col min="7939" max="7939" width="13.5" style="1083" customWidth="1"/>
    <col min="7940" max="7940" width="7.125" style="1083" customWidth="1"/>
    <col min="7941" max="7941" width="13.5" style="1083" customWidth="1"/>
    <col min="7942" max="7942" width="7.125" style="1083" customWidth="1"/>
    <col min="7943" max="7943" width="13.5" style="1083" customWidth="1"/>
    <col min="7944" max="7944" width="7.125" style="1083" customWidth="1"/>
    <col min="7945" max="7945" width="13.5" style="1083" customWidth="1"/>
    <col min="7946" max="7946" width="7.125" style="1083" customWidth="1"/>
    <col min="7947" max="7947" width="27.5" style="1083" customWidth="1"/>
    <col min="7948" max="7948" width="6.625" style="1083" customWidth="1"/>
    <col min="7949" max="7949" width="0" style="1083" hidden="1" customWidth="1"/>
    <col min="7950" max="7950" width="7.125" style="1083" customWidth="1"/>
    <col min="7951" max="7951" width="19.5" style="1083" customWidth="1"/>
    <col min="7952" max="7956" width="6.125" style="1083" customWidth="1"/>
    <col min="7957" max="7957" width="5.75" style="1083" customWidth="1"/>
    <col min="7958" max="7958" width="4.25" style="1083" customWidth="1"/>
    <col min="7959" max="7959" width="14.25" style="1083" customWidth="1"/>
    <col min="7960" max="7962" width="9.375" style="1083" customWidth="1"/>
    <col min="7963" max="8192" width="9" style="1083"/>
    <col min="8193" max="8193" width="4.75" style="1083" customWidth="1"/>
    <col min="8194" max="8194" width="15.25" style="1083" customWidth="1"/>
    <col min="8195" max="8195" width="13.5" style="1083" customWidth="1"/>
    <col min="8196" max="8196" width="7.125" style="1083" customWidth="1"/>
    <col min="8197" max="8197" width="13.5" style="1083" customWidth="1"/>
    <col min="8198" max="8198" width="7.125" style="1083" customWidth="1"/>
    <col min="8199" max="8199" width="13.5" style="1083" customWidth="1"/>
    <col min="8200" max="8200" width="7.125" style="1083" customWidth="1"/>
    <col min="8201" max="8201" width="13.5" style="1083" customWidth="1"/>
    <col min="8202" max="8202" width="7.125" style="1083" customWidth="1"/>
    <col min="8203" max="8203" width="27.5" style="1083" customWidth="1"/>
    <col min="8204" max="8204" width="6.625" style="1083" customWidth="1"/>
    <col min="8205" max="8205" width="0" style="1083" hidden="1" customWidth="1"/>
    <col min="8206" max="8206" width="7.125" style="1083" customWidth="1"/>
    <col min="8207" max="8207" width="19.5" style="1083" customWidth="1"/>
    <col min="8208" max="8212" width="6.125" style="1083" customWidth="1"/>
    <col min="8213" max="8213" width="5.75" style="1083" customWidth="1"/>
    <col min="8214" max="8214" width="4.25" style="1083" customWidth="1"/>
    <col min="8215" max="8215" width="14.25" style="1083" customWidth="1"/>
    <col min="8216" max="8218" width="9.375" style="1083" customWidth="1"/>
    <col min="8219" max="8448" width="9" style="1083"/>
    <col min="8449" max="8449" width="4.75" style="1083" customWidth="1"/>
    <col min="8450" max="8450" width="15.25" style="1083" customWidth="1"/>
    <col min="8451" max="8451" width="13.5" style="1083" customWidth="1"/>
    <col min="8452" max="8452" width="7.125" style="1083" customWidth="1"/>
    <col min="8453" max="8453" width="13.5" style="1083" customWidth="1"/>
    <col min="8454" max="8454" width="7.125" style="1083" customWidth="1"/>
    <col min="8455" max="8455" width="13.5" style="1083" customWidth="1"/>
    <col min="8456" max="8456" width="7.125" style="1083" customWidth="1"/>
    <col min="8457" max="8457" width="13.5" style="1083" customWidth="1"/>
    <col min="8458" max="8458" width="7.125" style="1083" customWidth="1"/>
    <col min="8459" max="8459" width="27.5" style="1083" customWidth="1"/>
    <col min="8460" max="8460" width="6.625" style="1083" customWidth="1"/>
    <col min="8461" max="8461" width="0" style="1083" hidden="1" customWidth="1"/>
    <col min="8462" max="8462" width="7.125" style="1083" customWidth="1"/>
    <col min="8463" max="8463" width="19.5" style="1083" customWidth="1"/>
    <col min="8464" max="8468" width="6.125" style="1083" customWidth="1"/>
    <col min="8469" max="8469" width="5.75" style="1083" customWidth="1"/>
    <col min="8470" max="8470" width="4.25" style="1083" customWidth="1"/>
    <col min="8471" max="8471" width="14.25" style="1083" customWidth="1"/>
    <col min="8472" max="8474" width="9.375" style="1083" customWidth="1"/>
    <col min="8475" max="8704" width="9" style="1083"/>
    <col min="8705" max="8705" width="4.75" style="1083" customWidth="1"/>
    <col min="8706" max="8706" width="15.25" style="1083" customWidth="1"/>
    <col min="8707" max="8707" width="13.5" style="1083" customWidth="1"/>
    <col min="8708" max="8708" width="7.125" style="1083" customWidth="1"/>
    <col min="8709" max="8709" width="13.5" style="1083" customWidth="1"/>
    <col min="8710" max="8710" width="7.125" style="1083" customWidth="1"/>
    <col min="8711" max="8711" width="13.5" style="1083" customWidth="1"/>
    <col min="8712" max="8712" width="7.125" style="1083" customWidth="1"/>
    <col min="8713" max="8713" width="13.5" style="1083" customWidth="1"/>
    <col min="8714" max="8714" width="7.125" style="1083" customWidth="1"/>
    <col min="8715" max="8715" width="27.5" style="1083" customWidth="1"/>
    <col min="8716" max="8716" width="6.625" style="1083" customWidth="1"/>
    <col min="8717" max="8717" width="0" style="1083" hidden="1" customWidth="1"/>
    <col min="8718" max="8718" width="7.125" style="1083" customWidth="1"/>
    <col min="8719" max="8719" width="19.5" style="1083" customWidth="1"/>
    <col min="8720" max="8724" width="6.125" style="1083" customWidth="1"/>
    <col min="8725" max="8725" width="5.75" style="1083" customWidth="1"/>
    <col min="8726" max="8726" width="4.25" style="1083" customWidth="1"/>
    <col min="8727" max="8727" width="14.25" style="1083" customWidth="1"/>
    <col min="8728" max="8730" width="9.375" style="1083" customWidth="1"/>
    <col min="8731" max="8960" width="9" style="1083"/>
    <col min="8961" max="8961" width="4.75" style="1083" customWidth="1"/>
    <col min="8962" max="8962" width="15.25" style="1083" customWidth="1"/>
    <col min="8963" max="8963" width="13.5" style="1083" customWidth="1"/>
    <col min="8964" max="8964" width="7.125" style="1083" customWidth="1"/>
    <col min="8965" max="8965" width="13.5" style="1083" customWidth="1"/>
    <col min="8966" max="8966" width="7.125" style="1083" customWidth="1"/>
    <col min="8967" max="8967" width="13.5" style="1083" customWidth="1"/>
    <col min="8968" max="8968" width="7.125" style="1083" customWidth="1"/>
    <col min="8969" max="8969" width="13.5" style="1083" customWidth="1"/>
    <col min="8970" max="8970" width="7.125" style="1083" customWidth="1"/>
    <col min="8971" max="8971" width="27.5" style="1083" customWidth="1"/>
    <col min="8972" max="8972" width="6.625" style="1083" customWidth="1"/>
    <col min="8973" max="8973" width="0" style="1083" hidden="1" customWidth="1"/>
    <col min="8974" max="8974" width="7.125" style="1083" customWidth="1"/>
    <col min="8975" max="8975" width="19.5" style="1083" customWidth="1"/>
    <col min="8976" max="8980" width="6.125" style="1083" customWidth="1"/>
    <col min="8981" max="8981" width="5.75" style="1083" customWidth="1"/>
    <col min="8982" max="8982" width="4.25" style="1083" customWidth="1"/>
    <col min="8983" max="8983" width="14.25" style="1083" customWidth="1"/>
    <col min="8984" max="8986" width="9.375" style="1083" customWidth="1"/>
    <col min="8987" max="9216" width="9" style="1083"/>
    <col min="9217" max="9217" width="4.75" style="1083" customWidth="1"/>
    <col min="9218" max="9218" width="15.25" style="1083" customWidth="1"/>
    <col min="9219" max="9219" width="13.5" style="1083" customWidth="1"/>
    <col min="9220" max="9220" width="7.125" style="1083" customWidth="1"/>
    <col min="9221" max="9221" width="13.5" style="1083" customWidth="1"/>
    <col min="9222" max="9222" width="7.125" style="1083" customWidth="1"/>
    <col min="9223" max="9223" width="13.5" style="1083" customWidth="1"/>
    <col min="9224" max="9224" width="7.125" style="1083" customWidth="1"/>
    <col min="9225" max="9225" width="13.5" style="1083" customWidth="1"/>
    <col min="9226" max="9226" width="7.125" style="1083" customWidth="1"/>
    <col min="9227" max="9227" width="27.5" style="1083" customWidth="1"/>
    <col min="9228" max="9228" width="6.625" style="1083" customWidth="1"/>
    <col min="9229" max="9229" width="0" style="1083" hidden="1" customWidth="1"/>
    <col min="9230" max="9230" width="7.125" style="1083" customWidth="1"/>
    <col min="9231" max="9231" width="19.5" style="1083" customWidth="1"/>
    <col min="9232" max="9236" width="6.125" style="1083" customWidth="1"/>
    <col min="9237" max="9237" width="5.75" style="1083" customWidth="1"/>
    <col min="9238" max="9238" width="4.25" style="1083" customWidth="1"/>
    <col min="9239" max="9239" width="14.25" style="1083" customWidth="1"/>
    <col min="9240" max="9242" width="9.375" style="1083" customWidth="1"/>
    <col min="9243" max="9472" width="9" style="1083"/>
    <col min="9473" max="9473" width="4.75" style="1083" customWidth="1"/>
    <col min="9474" max="9474" width="15.25" style="1083" customWidth="1"/>
    <col min="9475" max="9475" width="13.5" style="1083" customWidth="1"/>
    <col min="9476" max="9476" width="7.125" style="1083" customWidth="1"/>
    <col min="9477" max="9477" width="13.5" style="1083" customWidth="1"/>
    <col min="9478" max="9478" width="7.125" style="1083" customWidth="1"/>
    <col min="9479" max="9479" width="13.5" style="1083" customWidth="1"/>
    <col min="9480" max="9480" width="7.125" style="1083" customWidth="1"/>
    <col min="9481" max="9481" width="13.5" style="1083" customWidth="1"/>
    <col min="9482" max="9482" width="7.125" style="1083" customWidth="1"/>
    <col min="9483" max="9483" width="27.5" style="1083" customWidth="1"/>
    <col min="9484" max="9484" width="6.625" style="1083" customWidth="1"/>
    <col min="9485" max="9485" width="0" style="1083" hidden="1" customWidth="1"/>
    <col min="9486" max="9486" width="7.125" style="1083" customWidth="1"/>
    <col min="9487" max="9487" width="19.5" style="1083" customWidth="1"/>
    <col min="9488" max="9492" width="6.125" style="1083" customWidth="1"/>
    <col min="9493" max="9493" width="5.75" style="1083" customWidth="1"/>
    <col min="9494" max="9494" width="4.25" style="1083" customWidth="1"/>
    <col min="9495" max="9495" width="14.25" style="1083" customWidth="1"/>
    <col min="9496" max="9498" width="9.375" style="1083" customWidth="1"/>
    <col min="9499" max="9728" width="9" style="1083"/>
    <col min="9729" max="9729" width="4.75" style="1083" customWidth="1"/>
    <col min="9730" max="9730" width="15.25" style="1083" customWidth="1"/>
    <col min="9731" max="9731" width="13.5" style="1083" customWidth="1"/>
    <col min="9732" max="9732" width="7.125" style="1083" customWidth="1"/>
    <col min="9733" max="9733" width="13.5" style="1083" customWidth="1"/>
    <col min="9734" max="9734" width="7.125" style="1083" customWidth="1"/>
    <col min="9735" max="9735" width="13.5" style="1083" customWidth="1"/>
    <col min="9736" max="9736" width="7.125" style="1083" customWidth="1"/>
    <col min="9737" max="9737" width="13.5" style="1083" customWidth="1"/>
    <col min="9738" max="9738" width="7.125" style="1083" customWidth="1"/>
    <col min="9739" max="9739" width="27.5" style="1083" customWidth="1"/>
    <col min="9740" max="9740" width="6.625" style="1083" customWidth="1"/>
    <col min="9741" max="9741" width="0" style="1083" hidden="1" customWidth="1"/>
    <col min="9742" max="9742" width="7.125" style="1083" customWidth="1"/>
    <col min="9743" max="9743" width="19.5" style="1083" customWidth="1"/>
    <col min="9744" max="9748" width="6.125" style="1083" customWidth="1"/>
    <col min="9749" max="9749" width="5.75" style="1083" customWidth="1"/>
    <col min="9750" max="9750" width="4.25" style="1083" customWidth="1"/>
    <col min="9751" max="9751" width="14.25" style="1083" customWidth="1"/>
    <col min="9752" max="9754" width="9.375" style="1083" customWidth="1"/>
    <col min="9755" max="9984" width="9" style="1083"/>
    <col min="9985" max="9985" width="4.75" style="1083" customWidth="1"/>
    <col min="9986" max="9986" width="15.25" style="1083" customWidth="1"/>
    <col min="9987" max="9987" width="13.5" style="1083" customWidth="1"/>
    <col min="9988" max="9988" width="7.125" style="1083" customWidth="1"/>
    <col min="9989" max="9989" width="13.5" style="1083" customWidth="1"/>
    <col min="9990" max="9990" width="7.125" style="1083" customWidth="1"/>
    <col min="9991" max="9991" width="13.5" style="1083" customWidth="1"/>
    <col min="9992" max="9992" width="7.125" style="1083" customWidth="1"/>
    <col min="9993" max="9993" width="13.5" style="1083" customWidth="1"/>
    <col min="9994" max="9994" width="7.125" style="1083" customWidth="1"/>
    <col min="9995" max="9995" width="27.5" style="1083" customWidth="1"/>
    <col min="9996" max="9996" width="6.625" style="1083" customWidth="1"/>
    <col min="9997" max="9997" width="0" style="1083" hidden="1" customWidth="1"/>
    <col min="9998" max="9998" width="7.125" style="1083" customWidth="1"/>
    <col min="9999" max="9999" width="19.5" style="1083" customWidth="1"/>
    <col min="10000" max="10004" width="6.125" style="1083" customWidth="1"/>
    <col min="10005" max="10005" width="5.75" style="1083" customWidth="1"/>
    <col min="10006" max="10006" width="4.25" style="1083" customWidth="1"/>
    <col min="10007" max="10007" width="14.25" style="1083" customWidth="1"/>
    <col min="10008" max="10010" width="9.375" style="1083" customWidth="1"/>
    <col min="10011" max="10240" width="9" style="1083"/>
    <col min="10241" max="10241" width="4.75" style="1083" customWidth="1"/>
    <col min="10242" max="10242" width="15.25" style="1083" customWidth="1"/>
    <col min="10243" max="10243" width="13.5" style="1083" customWidth="1"/>
    <col min="10244" max="10244" width="7.125" style="1083" customWidth="1"/>
    <col min="10245" max="10245" width="13.5" style="1083" customWidth="1"/>
    <col min="10246" max="10246" width="7.125" style="1083" customWidth="1"/>
    <col min="10247" max="10247" width="13.5" style="1083" customWidth="1"/>
    <col min="10248" max="10248" width="7.125" style="1083" customWidth="1"/>
    <col min="10249" max="10249" width="13.5" style="1083" customWidth="1"/>
    <col min="10250" max="10250" width="7.125" style="1083" customWidth="1"/>
    <col min="10251" max="10251" width="27.5" style="1083" customWidth="1"/>
    <col min="10252" max="10252" width="6.625" style="1083" customWidth="1"/>
    <col min="10253" max="10253" width="0" style="1083" hidden="1" customWidth="1"/>
    <col min="10254" max="10254" width="7.125" style="1083" customWidth="1"/>
    <col min="10255" max="10255" width="19.5" style="1083" customWidth="1"/>
    <col min="10256" max="10260" width="6.125" style="1083" customWidth="1"/>
    <col min="10261" max="10261" width="5.75" style="1083" customWidth="1"/>
    <col min="10262" max="10262" width="4.25" style="1083" customWidth="1"/>
    <col min="10263" max="10263" width="14.25" style="1083" customWidth="1"/>
    <col min="10264" max="10266" width="9.375" style="1083" customWidth="1"/>
    <col min="10267" max="10496" width="9" style="1083"/>
    <col min="10497" max="10497" width="4.75" style="1083" customWidth="1"/>
    <col min="10498" max="10498" width="15.25" style="1083" customWidth="1"/>
    <col min="10499" max="10499" width="13.5" style="1083" customWidth="1"/>
    <col min="10500" max="10500" width="7.125" style="1083" customWidth="1"/>
    <col min="10501" max="10501" width="13.5" style="1083" customWidth="1"/>
    <col min="10502" max="10502" width="7.125" style="1083" customWidth="1"/>
    <col min="10503" max="10503" width="13.5" style="1083" customWidth="1"/>
    <col min="10504" max="10504" width="7.125" style="1083" customWidth="1"/>
    <col min="10505" max="10505" width="13.5" style="1083" customWidth="1"/>
    <col min="10506" max="10506" width="7.125" style="1083" customWidth="1"/>
    <col min="10507" max="10507" width="27.5" style="1083" customWidth="1"/>
    <col min="10508" max="10508" width="6.625" style="1083" customWidth="1"/>
    <col min="10509" max="10509" width="0" style="1083" hidden="1" customWidth="1"/>
    <col min="10510" max="10510" width="7.125" style="1083" customWidth="1"/>
    <col min="10511" max="10511" width="19.5" style="1083" customWidth="1"/>
    <col min="10512" max="10516" width="6.125" style="1083" customWidth="1"/>
    <col min="10517" max="10517" width="5.75" style="1083" customWidth="1"/>
    <col min="10518" max="10518" width="4.25" style="1083" customWidth="1"/>
    <col min="10519" max="10519" width="14.25" style="1083" customWidth="1"/>
    <col min="10520" max="10522" width="9.375" style="1083" customWidth="1"/>
    <col min="10523" max="10752" width="9" style="1083"/>
    <col min="10753" max="10753" width="4.75" style="1083" customWidth="1"/>
    <col min="10754" max="10754" width="15.25" style="1083" customWidth="1"/>
    <col min="10755" max="10755" width="13.5" style="1083" customWidth="1"/>
    <col min="10756" max="10756" width="7.125" style="1083" customWidth="1"/>
    <col min="10757" max="10757" width="13.5" style="1083" customWidth="1"/>
    <col min="10758" max="10758" width="7.125" style="1083" customWidth="1"/>
    <col min="10759" max="10759" width="13.5" style="1083" customWidth="1"/>
    <col min="10760" max="10760" width="7.125" style="1083" customWidth="1"/>
    <col min="10761" max="10761" width="13.5" style="1083" customWidth="1"/>
    <col min="10762" max="10762" width="7.125" style="1083" customWidth="1"/>
    <col min="10763" max="10763" width="27.5" style="1083" customWidth="1"/>
    <col min="10764" max="10764" width="6.625" style="1083" customWidth="1"/>
    <col min="10765" max="10765" width="0" style="1083" hidden="1" customWidth="1"/>
    <col min="10766" max="10766" width="7.125" style="1083" customWidth="1"/>
    <col min="10767" max="10767" width="19.5" style="1083" customWidth="1"/>
    <col min="10768" max="10772" width="6.125" style="1083" customWidth="1"/>
    <col min="10773" max="10773" width="5.75" style="1083" customWidth="1"/>
    <col min="10774" max="10774" width="4.25" style="1083" customWidth="1"/>
    <col min="10775" max="10775" width="14.25" style="1083" customWidth="1"/>
    <col min="10776" max="10778" width="9.375" style="1083" customWidth="1"/>
    <col min="10779" max="11008" width="9" style="1083"/>
    <col min="11009" max="11009" width="4.75" style="1083" customWidth="1"/>
    <col min="11010" max="11010" width="15.25" style="1083" customWidth="1"/>
    <col min="11011" max="11011" width="13.5" style="1083" customWidth="1"/>
    <col min="11012" max="11012" width="7.125" style="1083" customWidth="1"/>
    <col min="11013" max="11013" width="13.5" style="1083" customWidth="1"/>
    <col min="11014" max="11014" width="7.125" style="1083" customWidth="1"/>
    <col min="11015" max="11015" width="13.5" style="1083" customWidth="1"/>
    <col min="11016" max="11016" width="7.125" style="1083" customWidth="1"/>
    <col min="11017" max="11017" width="13.5" style="1083" customWidth="1"/>
    <col min="11018" max="11018" width="7.125" style="1083" customWidth="1"/>
    <col min="11019" max="11019" width="27.5" style="1083" customWidth="1"/>
    <col min="11020" max="11020" width="6.625" style="1083" customWidth="1"/>
    <col min="11021" max="11021" width="0" style="1083" hidden="1" customWidth="1"/>
    <col min="11022" max="11022" width="7.125" style="1083" customWidth="1"/>
    <col min="11023" max="11023" width="19.5" style="1083" customWidth="1"/>
    <col min="11024" max="11028" width="6.125" style="1083" customWidth="1"/>
    <col min="11029" max="11029" width="5.75" style="1083" customWidth="1"/>
    <col min="11030" max="11030" width="4.25" style="1083" customWidth="1"/>
    <col min="11031" max="11031" width="14.25" style="1083" customWidth="1"/>
    <col min="11032" max="11034" width="9.375" style="1083" customWidth="1"/>
    <col min="11035" max="11264" width="9" style="1083"/>
    <col min="11265" max="11265" width="4.75" style="1083" customWidth="1"/>
    <col min="11266" max="11266" width="15.25" style="1083" customWidth="1"/>
    <col min="11267" max="11267" width="13.5" style="1083" customWidth="1"/>
    <col min="11268" max="11268" width="7.125" style="1083" customWidth="1"/>
    <col min="11269" max="11269" width="13.5" style="1083" customWidth="1"/>
    <col min="11270" max="11270" width="7.125" style="1083" customWidth="1"/>
    <col min="11271" max="11271" width="13.5" style="1083" customWidth="1"/>
    <col min="11272" max="11272" width="7.125" style="1083" customWidth="1"/>
    <col min="11273" max="11273" width="13.5" style="1083" customWidth="1"/>
    <col min="11274" max="11274" width="7.125" style="1083" customWidth="1"/>
    <col min="11275" max="11275" width="27.5" style="1083" customWidth="1"/>
    <col min="11276" max="11276" width="6.625" style="1083" customWidth="1"/>
    <col min="11277" max="11277" width="0" style="1083" hidden="1" customWidth="1"/>
    <col min="11278" max="11278" width="7.125" style="1083" customWidth="1"/>
    <col min="11279" max="11279" width="19.5" style="1083" customWidth="1"/>
    <col min="11280" max="11284" width="6.125" style="1083" customWidth="1"/>
    <col min="11285" max="11285" width="5.75" style="1083" customWidth="1"/>
    <col min="11286" max="11286" width="4.25" style="1083" customWidth="1"/>
    <col min="11287" max="11287" width="14.25" style="1083" customWidth="1"/>
    <col min="11288" max="11290" width="9.375" style="1083" customWidth="1"/>
    <col min="11291" max="11520" width="9" style="1083"/>
    <col min="11521" max="11521" width="4.75" style="1083" customWidth="1"/>
    <col min="11522" max="11522" width="15.25" style="1083" customWidth="1"/>
    <col min="11523" max="11523" width="13.5" style="1083" customWidth="1"/>
    <col min="11524" max="11524" width="7.125" style="1083" customWidth="1"/>
    <col min="11525" max="11525" width="13.5" style="1083" customWidth="1"/>
    <col min="11526" max="11526" width="7.125" style="1083" customWidth="1"/>
    <col min="11527" max="11527" width="13.5" style="1083" customWidth="1"/>
    <col min="11528" max="11528" width="7.125" style="1083" customWidth="1"/>
    <col min="11529" max="11529" width="13.5" style="1083" customWidth="1"/>
    <col min="11530" max="11530" width="7.125" style="1083" customWidth="1"/>
    <col min="11531" max="11531" width="27.5" style="1083" customWidth="1"/>
    <col min="11532" max="11532" width="6.625" style="1083" customWidth="1"/>
    <col min="11533" max="11533" width="0" style="1083" hidden="1" customWidth="1"/>
    <col min="11534" max="11534" width="7.125" style="1083" customWidth="1"/>
    <col min="11535" max="11535" width="19.5" style="1083" customWidth="1"/>
    <col min="11536" max="11540" width="6.125" style="1083" customWidth="1"/>
    <col min="11541" max="11541" width="5.75" style="1083" customWidth="1"/>
    <col min="11542" max="11542" width="4.25" style="1083" customWidth="1"/>
    <col min="11543" max="11543" width="14.25" style="1083" customWidth="1"/>
    <col min="11544" max="11546" width="9.375" style="1083" customWidth="1"/>
    <col min="11547" max="11776" width="9" style="1083"/>
    <col min="11777" max="11777" width="4.75" style="1083" customWidth="1"/>
    <col min="11778" max="11778" width="15.25" style="1083" customWidth="1"/>
    <col min="11779" max="11779" width="13.5" style="1083" customWidth="1"/>
    <col min="11780" max="11780" width="7.125" style="1083" customWidth="1"/>
    <col min="11781" max="11781" width="13.5" style="1083" customWidth="1"/>
    <col min="11782" max="11782" width="7.125" style="1083" customWidth="1"/>
    <col min="11783" max="11783" width="13.5" style="1083" customWidth="1"/>
    <col min="11784" max="11784" width="7.125" style="1083" customWidth="1"/>
    <col min="11785" max="11785" width="13.5" style="1083" customWidth="1"/>
    <col min="11786" max="11786" width="7.125" style="1083" customWidth="1"/>
    <col min="11787" max="11787" width="27.5" style="1083" customWidth="1"/>
    <col min="11788" max="11788" width="6.625" style="1083" customWidth="1"/>
    <col min="11789" max="11789" width="0" style="1083" hidden="1" customWidth="1"/>
    <col min="11790" max="11790" width="7.125" style="1083" customWidth="1"/>
    <col min="11791" max="11791" width="19.5" style="1083" customWidth="1"/>
    <col min="11792" max="11796" width="6.125" style="1083" customWidth="1"/>
    <col min="11797" max="11797" width="5.75" style="1083" customWidth="1"/>
    <col min="11798" max="11798" width="4.25" style="1083" customWidth="1"/>
    <col min="11799" max="11799" width="14.25" style="1083" customWidth="1"/>
    <col min="11800" max="11802" width="9.375" style="1083" customWidth="1"/>
    <col min="11803" max="12032" width="9" style="1083"/>
    <col min="12033" max="12033" width="4.75" style="1083" customWidth="1"/>
    <col min="12034" max="12034" width="15.25" style="1083" customWidth="1"/>
    <col min="12035" max="12035" width="13.5" style="1083" customWidth="1"/>
    <col min="12036" max="12036" width="7.125" style="1083" customWidth="1"/>
    <col min="12037" max="12037" width="13.5" style="1083" customWidth="1"/>
    <col min="12038" max="12038" width="7.125" style="1083" customWidth="1"/>
    <col min="12039" max="12039" width="13.5" style="1083" customWidth="1"/>
    <col min="12040" max="12040" width="7.125" style="1083" customWidth="1"/>
    <col min="12041" max="12041" width="13.5" style="1083" customWidth="1"/>
    <col min="12042" max="12042" width="7.125" style="1083" customWidth="1"/>
    <col min="12043" max="12043" width="27.5" style="1083" customWidth="1"/>
    <col min="12044" max="12044" width="6.625" style="1083" customWidth="1"/>
    <col min="12045" max="12045" width="0" style="1083" hidden="1" customWidth="1"/>
    <col min="12046" max="12046" width="7.125" style="1083" customWidth="1"/>
    <col min="12047" max="12047" width="19.5" style="1083" customWidth="1"/>
    <col min="12048" max="12052" width="6.125" style="1083" customWidth="1"/>
    <col min="12053" max="12053" width="5.75" style="1083" customWidth="1"/>
    <col min="12054" max="12054" width="4.25" style="1083" customWidth="1"/>
    <col min="12055" max="12055" width="14.25" style="1083" customWidth="1"/>
    <col min="12056" max="12058" width="9.375" style="1083" customWidth="1"/>
    <col min="12059" max="12288" width="9" style="1083"/>
    <col min="12289" max="12289" width="4.75" style="1083" customWidth="1"/>
    <col min="12290" max="12290" width="15.25" style="1083" customWidth="1"/>
    <col min="12291" max="12291" width="13.5" style="1083" customWidth="1"/>
    <col min="12292" max="12292" width="7.125" style="1083" customWidth="1"/>
    <col min="12293" max="12293" width="13.5" style="1083" customWidth="1"/>
    <col min="12294" max="12294" width="7.125" style="1083" customWidth="1"/>
    <col min="12295" max="12295" width="13.5" style="1083" customWidth="1"/>
    <col min="12296" max="12296" width="7.125" style="1083" customWidth="1"/>
    <col min="12297" max="12297" width="13.5" style="1083" customWidth="1"/>
    <col min="12298" max="12298" width="7.125" style="1083" customWidth="1"/>
    <col min="12299" max="12299" width="27.5" style="1083" customWidth="1"/>
    <col min="12300" max="12300" width="6.625" style="1083" customWidth="1"/>
    <col min="12301" max="12301" width="0" style="1083" hidden="1" customWidth="1"/>
    <col min="12302" max="12302" width="7.125" style="1083" customWidth="1"/>
    <col min="12303" max="12303" width="19.5" style="1083" customWidth="1"/>
    <col min="12304" max="12308" width="6.125" style="1083" customWidth="1"/>
    <col min="12309" max="12309" width="5.75" style="1083" customWidth="1"/>
    <col min="12310" max="12310" width="4.25" style="1083" customWidth="1"/>
    <col min="12311" max="12311" width="14.25" style="1083" customWidth="1"/>
    <col min="12312" max="12314" width="9.375" style="1083" customWidth="1"/>
    <col min="12315" max="12544" width="9" style="1083"/>
    <col min="12545" max="12545" width="4.75" style="1083" customWidth="1"/>
    <col min="12546" max="12546" width="15.25" style="1083" customWidth="1"/>
    <col min="12547" max="12547" width="13.5" style="1083" customWidth="1"/>
    <col min="12548" max="12548" width="7.125" style="1083" customWidth="1"/>
    <col min="12549" max="12549" width="13.5" style="1083" customWidth="1"/>
    <col min="12550" max="12550" width="7.125" style="1083" customWidth="1"/>
    <col min="12551" max="12551" width="13.5" style="1083" customWidth="1"/>
    <col min="12552" max="12552" width="7.125" style="1083" customWidth="1"/>
    <col min="12553" max="12553" width="13.5" style="1083" customWidth="1"/>
    <col min="12554" max="12554" width="7.125" style="1083" customWidth="1"/>
    <col min="12555" max="12555" width="27.5" style="1083" customWidth="1"/>
    <col min="12556" max="12556" width="6.625" style="1083" customWidth="1"/>
    <col min="12557" max="12557" width="0" style="1083" hidden="1" customWidth="1"/>
    <col min="12558" max="12558" width="7.125" style="1083" customWidth="1"/>
    <col min="12559" max="12559" width="19.5" style="1083" customWidth="1"/>
    <col min="12560" max="12564" width="6.125" style="1083" customWidth="1"/>
    <col min="12565" max="12565" width="5.75" style="1083" customWidth="1"/>
    <col min="12566" max="12566" width="4.25" style="1083" customWidth="1"/>
    <col min="12567" max="12567" width="14.25" style="1083" customWidth="1"/>
    <col min="12568" max="12570" width="9.375" style="1083" customWidth="1"/>
    <col min="12571" max="12800" width="9" style="1083"/>
    <col min="12801" max="12801" width="4.75" style="1083" customWidth="1"/>
    <col min="12802" max="12802" width="15.25" style="1083" customWidth="1"/>
    <col min="12803" max="12803" width="13.5" style="1083" customWidth="1"/>
    <col min="12804" max="12804" width="7.125" style="1083" customWidth="1"/>
    <col min="12805" max="12805" width="13.5" style="1083" customWidth="1"/>
    <col min="12806" max="12806" width="7.125" style="1083" customWidth="1"/>
    <col min="12807" max="12807" width="13.5" style="1083" customWidth="1"/>
    <col min="12808" max="12808" width="7.125" style="1083" customWidth="1"/>
    <col min="12809" max="12809" width="13.5" style="1083" customWidth="1"/>
    <col min="12810" max="12810" width="7.125" style="1083" customWidth="1"/>
    <col min="12811" max="12811" width="27.5" style="1083" customWidth="1"/>
    <col min="12812" max="12812" width="6.625" style="1083" customWidth="1"/>
    <col min="12813" max="12813" width="0" style="1083" hidden="1" customWidth="1"/>
    <col min="12814" max="12814" width="7.125" style="1083" customWidth="1"/>
    <col min="12815" max="12815" width="19.5" style="1083" customWidth="1"/>
    <col min="12816" max="12820" width="6.125" style="1083" customWidth="1"/>
    <col min="12821" max="12821" width="5.75" style="1083" customWidth="1"/>
    <col min="12822" max="12822" width="4.25" style="1083" customWidth="1"/>
    <col min="12823" max="12823" width="14.25" style="1083" customWidth="1"/>
    <col min="12824" max="12826" width="9.375" style="1083" customWidth="1"/>
    <col min="12827" max="13056" width="9" style="1083"/>
    <col min="13057" max="13057" width="4.75" style="1083" customWidth="1"/>
    <col min="13058" max="13058" width="15.25" style="1083" customWidth="1"/>
    <col min="13059" max="13059" width="13.5" style="1083" customWidth="1"/>
    <col min="13060" max="13060" width="7.125" style="1083" customWidth="1"/>
    <col min="13061" max="13061" width="13.5" style="1083" customWidth="1"/>
    <col min="13062" max="13062" width="7.125" style="1083" customWidth="1"/>
    <col min="13063" max="13063" width="13.5" style="1083" customWidth="1"/>
    <col min="13064" max="13064" width="7.125" style="1083" customWidth="1"/>
    <col min="13065" max="13065" width="13.5" style="1083" customWidth="1"/>
    <col min="13066" max="13066" width="7.125" style="1083" customWidth="1"/>
    <col min="13067" max="13067" width="27.5" style="1083" customWidth="1"/>
    <col min="13068" max="13068" width="6.625" style="1083" customWidth="1"/>
    <col min="13069" max="13069" width="0" style="1083" hidden="1" customWidth="1"/>
    <col min="13070" max="13070" width="7.125" style="1083" customWidth="1"/>
    <col min="13071" max="13071" width="19.5" style="1083" customWidth="1"/>
    <col min="13072" max="13076" width="6.125" style="1083" customWidth="1"/>
    <col min="13077" max="13077" width="5.75" style="1083" customWidth="1"/>
    <col min="13078" max="13078" width="4.25" style="1083" customWidth="1"/>
    <col min="13079" max="13079" width="14.25" style="1083" customWidth="1"/>
    <col min="13080" max="13082" width="9.375" style="1083" customWidth="1"/>
    <col min="13083" max="13312" width="9" style="1083"/>
    <col min="13313" max="13313" width="4.75" style="1083" customWidth="1"/>
    <col min="13314" max="13314" width="15.25" style="1083" customWidth="1"/>
    <col min="13315" max="13315" width="13.5" style="1083" customWidth="1"/>
    <col min="13316" max="13316" width="7.125" style="1083" customWidth="1"/>
    <col min="13317" max="13317" width="13.5" style="1083" customWidth="1"/>
    <col min="13318" max="13318" width="7.125" style="1083" customWidth="1"/>
    <col min="13319" max="13319" width="13.5" style="1083" customWidth="1"/>
    <col min="13320" max="13320" width="7.125" style="1083" customWidth="1"/>
    <col min="13321" max="13321" width="13.5" style="1083" customWidth="1"/>
    <col min="13322" max="13322" width="7.125" style="1083" customWidth="1"/>
    <col min="13323" max="13323" width="27.5" style="1083" customWidth="1"/>
    <col min="13324" max="13324" width="6.625" style="1083" customWidth="1"/>
    <col min="13325" max="13325" width="0" style="1083" hidden="1" customWidth="1"/>
    <col min="13326" max="13326" width="7.125" style="1083" customWidth="1"/>
    <col min="13327" max="13327" width="19.5" style="1083" customWidth="1"/>
    <col min="13328" max="13332" width="6.125" style="1083" customWidth="1"/>
    <col min="13333" max="13333" width="5.75" style="1083" customWidth="1"/>
    <col min="13334" max="13334" width="4.25" style="1083" customWidth="1"/>
    <col min="13335" max="13335" width="14.25" style="1083" customWidth="1"/>
    <col min="13336" max="13338" width="9.375" style="1083" customWidth="1"/>
    <col min="13339" max="13568" width="9" style="1083"/>
    <col min="13569" max="13569" width="4.75" style="1083" customWidth="1"/>
    <col min="13570" max="13570" width="15.25" style="1083" customWidth="1"/>
    <col min="13571" max="13571" width="13.5" style="1083" customWidth="1"/>
    <col min="13572" max="13572" width="7.125" style="1083" customWidth="1"/>
    <col min="13573" max="13573" width="13.5" style="1083" customWidth="1"/>
    <col min="13574" max="13574" width="7.125" style="1083" customWidth="1"/>
    <col min="13575" max="13575" width="13.5" style="1083" customWidth="1"/>
    <col min="13576" max="13576" width="7.125" style="1083" customWidth="1"/>
    <col min="13577" max="13577" width="13.5" style="1083" customWidth="1"/>
    <col min="13578" max="13578" width="7.125" style="1083" customWidth="1"/>
    <col min="13579" max="13579" width="27.5" style="1083" customWidth="1"/>
    <col min="13580" max="13580" width="6.625" style="1083" customWidth="1"/>
    <col min="13581" max="13581" width="0" style="1083" hidden="1" customWidth="1"/>
    <col min="13582" max="13582" width="7.125" style="1083" customWidth="1"/>
    <col min="13583" max="13583" width="19.5" style="1083" customWidth="1"/>
    <col min="13584" max="13588" width="6.125" style="1083" customWidth="1"/>
    <col min="13589" max="13589" width="5.75" style="1083" customWidth="1"/>
    <col min="13590" max="13590" width="4.25" style="1083" customWidth="1"/>
    <col min="13591" max="13591" width="14.25" style="1083" customWidth="1"/>
    <col min="13592" max="13594" width="9.375" style="1083" customWidth="1"/>
    <col min="13595" max="13824" width="9" style="1083"/>
    <col min="13825" max="13825" width="4.75" style="1083" customWidth="1"/>
    <col min="13826" max="13826" width="15.25" style="1083" customWidth="1"/>
    <col min="13827" max="13827" width="13.5" style="1083" customWidth="1"/>
    <col min="13828" max="13828" width="7.125" style="1083" customWidth="1"/>
    <col min="13829" max="13829" width="13.5" style="1083" customWidth="1"/>
    <col min="13830" max="13830" width="7.125" style="1083" customWidth="1"/>
    <col min="13831" max="13831" width="13.5" style="1083" customWidth="1"/>
    <col min="13832" max="13832" width="7.125" style="1083" customWidth="1"/>
    <col min="13833" max="13833" width="13.5" style="1083" customWidth="1"/>
    <col min="13834" max="13834" width="7.125" style="1083" customWidth="1"/>
    <col min="13835" max="13835" width="27.5" style="1083" customWidth="1"/>
    <col min="13836" max="13836" width="6.625" style="1083" customWidth="1"/>
    <col min="13837" max="13837" width="0" style="1083" hidden="1" customWidth="1"/>
    <col min="13838" max="13838" width="7.125" style="1083" customWidth="1"/>
    <col min="13839" max="13839" width="19.5" style="1083" customWidth="1"/>
    <col min="13840" max="13844" width="6.125" style="1083" customWidth="1"/>
    <col min="13845" max="13845" width="5.75" style="1083" customWidth="1"/>
    <col min="13846" max="13846" width="4.25" style="1083" customWidth="1"/>
    <col min="13847" max="13847" width="14.25" style="1083" customWidth="1"/>
    <col min="13848" max="13850" width="9.375" style="1083" customWidth="1"/>
    <col min="13851" max="14080" width="9" style="1083"/>
    <col min="14081" max="14081" width="4.75" style="1083" customWidth="1"/>
    <col min="14082" max="14082" width="15.25" style="1083" customWidth="1"/>
    <col min="14083" max="14083" width="13.5" style="1083" customWidth="1"/>
    <col min="14084" max="14084" width="7.125" style="1083" customWidth="1"/>
    <col min="14085" max="14085" width="13.5" style="1083" customWidth="1"/>
    <col min="14086" max="14086" width="7.125" style="1083" customWidth="1"/>
    <col min="14087" max="14087" width="13.5" style="1083" customWidth="1"/>
    <col min="14088" max="14088" width="7.125" style="1083" customWidth="1"/>
    <col min="14089" max="14089" width="13.5" style="1083" customWidth="1"/>
    <col min="14090" max="14090" width="7.125" style="1083" customWidth="1"/>
    <col min="14091" max="14091" width="27.5" style="1083" customWidth="1"/>
    <col min="14092" max="14092" width="6.625" style="1083" customWidth="1"/>
    <col min="14093" max="14093" width="0" style="1083" hidden="1" customWidth="1"/>
    <col min="14094" max="14094" width="7.125" style="1083" customWidth="1"/>
    <col min="14095" max="14095" width="19.5" style="1083" customWidth="1"/>
    <col min="14096" max="14100" width="6.125" style="1083" customWidth="1"/>
    <col min="14101" max="14101" width="5.75" style="1083" customWidth="1"/>
    <col min="14102" max="14102" width="4.25" style="1083" customWidth="1"/>
    <col min="14103" max="14103" width="14.25" style="1083" customWidth="1"/>
    <col min="14104" max="14106" width="9.375" style="1083" customWidth="1"/>
    <col min="14107" max="14336" width="9" style="1083"/>
    <col min="14337" max="14337" width="4.75" style="1083" customWidth="1"/>
    <col min="14338" max="14338" width="15.25" style="1083" customWidth="1"/>
    <col min="14339" max="14339" width="13.5" style="1083" customWidth="1"/>
    <col min="14340" max="14340" width="7.125" style="1083" customWidth="1"/>
    <col min="14341" max="14341" width="13.5" style="1083" customWidth="1"/>
    <col min="14342" max="14342" width="7.125" style="1083" customWidth="1"/>
    <col min="14343" max="14343" width="13.5" style="1083" customWidth="1"/>
    <col min="14344" max="14344" width="7.125" style="1083" customWidth="1"/>
    <col min="14345" max="14345" width="13.5" style="1083" customWidth="1"/>
    <col min="14346" max="14346" width="7.125" style="1083" customWidth="1"/>
    <col min="14347" max="14347" width="27.5" style="1083" customWidth="1"/>
    <col min="14348" max="14348" width="6.625" style="1083" customWidth="1"/>
    <col min="14349" max="14349" width="0" style="1083" hidden="1" customWidth="1"/>
    <col min="14350" max="14350" width="7.125" style="1083" customWidth="1"/>
    <col min="14351" max="14351" width="19.5" style="1083" customWidth="1"/>
    <col min="14352" max="14356" width="6.125" style="1083" customWidth="1"/>
    <col min="14357" max="14357" width="5.75" style="1083" customWidth="1"/>
    <col min="14358" max="14358" width="4.25" style="1083" customWidth="1"/>
    <col min="14359" max="14359" width="14.25" style="1083" customWidth="1"/>
    <col min="14360" max="14362" width="9.375" style="1083" customWidth="1"/>
    <col min="14363" max="14592" width="9" style="1083"/>
    <col min="14593" max="14593" width="4.75" style="1083" customWidth="1"/>
    <col min="14594" max="14594" width="15.25" style="1083" customWidth="1"/>
    <col min="14595" max="14595" width="13.5" style="1083" customWidth="1"/>
    <col min="14596" max="14596" width="7.125" style="1083" customWidth="1"/>
    <col min="14597" max="14597" width="13.5" style="1083" customWidth="1"/>
    <col min="14598" max="14598" width="7.125" style="1083" customWidth="1"/>
    <col min="14599" max="14599" width="13.5" style="1083" customWidth="1"/>
    <col min="14600" max="14600" width="7.125" style="1083" customWidth="1"/>
    <col min="14601" max="14601" width="13.5" style="1083" customWidth="1"/>
    <col min="14602" max="14602" width="7.125" style="1083" customWidth="1"/>
    <col min="14603" max="14603" width="27.5" style="1083" customWidth="1"/>
    <col min="14604" max="14604" width="6.625" style="1083" customWidth="1"/>
    <col min="14605" max="14605" width="0" style="1083" hidden="1" customWidth="1"/>
    <col min="14606" max="14606" width="7.125" style="1083" customWidth="1"/>
    <col min="14607" max="14607" width="19.5" style="1083" customWidth="1"/>
    <col min="14608" max="14612" width="6.125" style="1083" customWidth="1"/>
    <col min="14613" max="14613" width="5.75" style="1083" customWidth="1"/>
    <col min="14614" max="14614" width="4.25" style="1083" customWidth="1"/>
    <col min="14615" max="14615" width="14.25" style="1083" customWidth="1"/>
    <col min="14616" max="14618" width="9.375" style="1083" customWidth="1"/>
    <col min="14619" max="14848" width="9" style="1083"/>
    <col min="14849" max="14849" width="4.75" style="1083" customWidth="1"/>
    <col min="14850" max="14850" width="15.25" style="1083" customWidth="1"/>
    <col min="14851" max="14851" width="13.5" style="1083" customWidth="1"/>
    <col min="14852" max="14852" width="7.125" style="1083" customWidth="1"/>
    <col min="14853" max="14853" width="13.5" style="1083" customWidth="1"/>
    <col min="14854" max="14854" width="7.125" style="1083" customWidth="1"/>
    <col min="14855" max="14855" width="13.5" style="1083" customWidth="1"/>
    <col min="14856" max="14856" width="7.125" style="1083" customWidth="1"/>
    <col min="14857" max="14857" width="13.5" style="1083" customWidth="1"/>
    <col min="14858" max="14858" width="7.125" style="1083" customWidth="1"/>
    <col min="14859" max="14859" width="27.5" style="1083" customWidth="1"/>
    <col min="14860" max="14860" width="6.625" style="1083" customWidth="1"/>
    <col min="14861" max="14861" width="0" style="1083" hidden="1" customWidth="1"/>
    <col min="14862" max="14862" width="7.125" style="1083" customWidth="1"/>
    <col min="14863" max="14863" width="19.5" style="1083" customWidth="1"/>
    <col min="14864" max="14868" width="6.125" style="1083" customWidth="1"/>
    <col min="14869" max="14869" width="5.75" style="1083" customWidth="1"/>
    <col min="14870" max="14870" width="4.25" style="1083" customWidth="1"/>
    <col min="14871" max="14871" width="14.25" style="1083" customWidth="1"/>
    <col min="14872" max="14874" width="9.375" style="1083" customWidth="1"/>
    <col min="14875" max="15104" width="9" style="1083"/>
    <col min="15105" max="15105" width="4.75" style="1083" customWidth="1"/>
    <col min="15106" max="15106" width="15.25" style="1083" customWidth="1"/>
    <col min="15107" max="15107" width="13.5" style="1083" customWidth="1"/>
    <col min="15108" max="15108" width="7.125" style="1083" customWidth="1"/>
    <col min="15109" max="15109" width="13.5" style="1083" customWidth="1"/>
    <col min="15110" max="15110" width="7.125" style="1083" customWidth="1"/>
    <col min="15111" max="15111" width="13.5" style="1083" customWidth="1"/>
    <col min="15112" max="15112" width="7.125" style="1083" customWidth="1"/>
    <col min="15113" max="15113" width="13.5" style="1083" customWidth="1"/>
    <col min="15114" max="15114" width="7.125" style="1083" customWidth="1"/>
    <col min="15115" max="15115" width="27.5" style="1083" customWidth="1"/>
    <col min="15116" max="15116" width="6.625" style="1083" customWidth="1"/>
    <col min="15117" max="15117" width="0" style="1083" hidden="1" customWidth="1"/>
    <col min="15118" max="15118" width="7.125" style="1083" customWidth="1"/>
    <col min="15119" max="15119" width="19.5" style="1083" customWidth="1"/>
    <col min="15120" max="15124" width="6.125" style="1083" customWidth="1"/>
    <col min="15125" max="15125" width="5.75" style="1083" customWidth="1"/>
    <col min="15126" max="15126" width="4.25" style="1083" customWidth="1"/>
    <col min="15127" max="15127" width="14.25" style="1083" customWidth="1"/>
    <col min="15128" max="15130" width="9.375" style="1083" customWidth="1"/>
    <col min="15131" max="15360" width="9" style="1083"/>
    <col min="15361" max="15361" width="4.75" style="1083" customWidth="1"/>
    <col min="15362" max="15362" width="15.25" style="1083" customWidth="1"/>
    <col min="15363" max="15363" width="13.5" style="1083" customWidth="1"/>
    <col min="15364" max="15364" width="7.125" style="1083" customWidth="1"/>
    <col min="15365" max="15365" width="13.5" style="1083" customWidth="1"/>
    <col min="15366" max="15366" width="7.125" style="1083" customWidth="1"/>
    <col min="15367" max="15367" width="13.5" style="1083" customWidth="1"/>
    <col min="15368" max="15368" width="7.125" style="1083" customWidth="1"/>
    <col min="15369" max="15369" width="13.5" style="1083" customWidth="1"/>
    <col min="15370" max="15370" width="7.125" style="1083" customWidth="1"/>
    <col min="15371" max="15371" width="27.5" style="1083" customWidth="1"/>
    <col min="15372" max="15372" width="6.625" style="1083" customWidth="1"/>
    <col min="15373" max="15373" width="0" style="1083" hidden="1" customWidth="1"/>
    <col min="15374" max="15374" width="7.125" style="1083" customWidth="1"/>
    <col min="15375" max="15375" width="19.5" style="1083" customWidth="1"/>
    <col min="15376" max="15380" width="6.125" style="1083" customWidth="1"/>
    <col min="15381" max="15381" width="5.75" style="1083" customWidth="1"/>
    <col min="15382" max="15382" width="4.25" style="1083" customWidth="1"/>
    <col min="15383" max="15383" width="14.25" style="1083" customWidth="1"/>
    <col min="15384" max="15386" width="9.375" style="1083" customWidth="1"/>
    <col min="15387" max="15616" width="9" style="1083"/>
    <col min="15617" max="15617" width="4.75" style="1083" customWidth="1"/>
    <col min="15618" max="15618" width="15.25" style="1083" customWidth="1"/>
    <col min="15619" max="15619" width="13.5" style="1083" customWidth="1"/>
    <col min="15620" max="15620" width="7.125" style="1083" customWidth="1"/>
    <col min="15621" max="15621" width="13.5" style="1083" customWidth="1"/>
    <col min="15622" max="15622" width="7.125" style="1083" customWidth="1"/>
    <col min="15623" max="15623" width="13.5" style="1083" customWidth="1"/>
    <col min="15624" max="15624" width="7.125" style="1083" customWidth="1"/>
    <col min="15625" max="15625" width="13.5" style="1083" customWidth="1"/>
    <col min="15626" max="15626" width="7.125" style="1083" customWidth="1"/>
    <col min="15627" max="15627" width="27.5" style="1083" customWidth="1"/>
    <col min="15628" max="15628" width="6.625" style="1083" customWidth="1"/>
    <col min="15629" max="15629" width="0" style="1083" hidden="1" customWidth="1"/>
    <col min="15630" max="15630" width="7.125" style="1083" customWidth="1"/>
    <col min="15631" max="15631" width="19.5" style="1083" customWidth="1"/>
    <col min="15632" max="15636" width="6.125" style="1083" customWidth="1"/>
    <col min="15637" max="15637" width="5.75" style="1083" customWidth="1"/>
    <col min="15638" max="15638" width="4.25" style="1083" customWidth="1"/>
    <col min="15639" max="15639" width="14.25" style="1083" customWidth="1"/>
    <col min="15640" max="15642" width="9.375" style="1083" customWidth="1"/>
    <col min="15643" max="15872" width="9" style="1083"/>
    <col min="15873" max="15873" width="4.75" style="1083" customWidth="1"/>
    <col min="15874" max="15874" width="15.25" style="1083" customWidth="1"/>
    <col min="15875" max="15875" width="13.5" style="1083" customWidth="1"/>
    <col min="15876" max="15876" width="7.125" style="1083" customWidth="1"/>
    <col min="15877" max="15877" width="13.5" style="1083" customWidth="1"/>
    <col min="15878" max="15878" width="7.125" style="1083" customWidth="1"/>
    <col min="15879" max="15879" width="13.5" style="1083" customWidth="1"/>
    <col min="15880" max="15880" width="7.125" style="1083" customWidth="1"/>
    <col min="15881" max="15881" width="13.5" style="1083" customWidth="1"/>
    <col min="15882" max="15882" width="7.125" style="1083" customWidth="1"/>
    <col min="15883" max="15883" width="27.5" style="1083" customWidth="1"/>
    <col min="15884" max="15884" width="6.625" style="1083" customWidth="1"/>
    <col min="15885" max="15885" width="0" style="1083" hidden="1" customWidth="1"/>
    <col min="15886" max="15886" width="7.125" style="1083" customWidth="1"/>
    <col min="15887" max="15887" width="19.5" style="1083" customWidth="1"/>
    <col min="15888" max="15892" width="6.125" style="1083" customWidth="1"/>
    <col min="15893" max="15893" width="5.75" style="1083" customWidth="1"/>
    <col min="15894" max="15894" width="4.25" style="1083" customWidth="1"/>
    <col min="15895" max="15895" width="14.25" style="1083" customWidth="1"/>
    <col min="15896" max="15898" width="9.375" style="1083" customWidth="1"/>
    <col min="15899" max="16128" width="9" style="1083"/>
    <col min="16129" max="16129" width="4.75" style="1083" customWidth="1"/>
    <col min="16130" max="16130" width="15.25" style="1083" customWidth="1"/>
    <col min="16131" max="16131" width="13.5" style="1083" customWidth="1"/>
    <col min="16132" max="16132" width="7.125" style="1083" customWidth="1"/>
    <col min="16133" max="16133" width="13.5" style="1083" customWidth="1"/>
    <col min="16134" max="16134" width="7.125" style="1083" customWidth="1"/>
    <col min="16135" max="16135" width="13.5" style="1083" customWidth="1"/>
    <col min="16136" max="16136" width="7.125" style="1083" customWidth="1"/>
    <col min="16137" max="16137" width="13.5" style="1083" customWidth="1"/>
    <col min="16138" max="16138" width="7.125" style="1083" customWidth="1"/>
    <col min="16139" max="16139" width="27.5" style="1083" customWidth="1"/>
    <col min="16140" max="16140" width="6.625" style="1083" customWidth="1"/>
    <col min="16141" max="16141" width="0" style="1083" hidden="1" customWidth="1"/>
    <col min="16142" max="16142" width="7.125" style="1083" customWidth="1"/>
    <col min="16143" max="16143" width="19.5" style="1083" customWidth="1"/>
    <col min="16144" max="16148" width="6.125" style="1083" customWidth="1"/>
    <col min="16149" max="16149" width="5.75" style="1083" customWidth="1"/>
    <col min="16150" max="16150" width="4.25" style="1083" customWidth="1"/>
    <col min="16151" max="16151" width="14.25" style="1083" customWidth="1"/>
    <col min="16152" max="16154" width="9.375" style="1083" customWidth="1"/>
    <col min="16155" max="16384" width="9" style="1083"/>
  </cols>
  <sheetData>
    <row r="1" spans="1:27" ht="20.25">
      <c r="A1" s="1347" t="s">
        <v>1344</v>
      </c>
      <c r="B1" s="1348"/>
      <c r="C1" s="1348"/>
      <c r="D1" s="1348"/>
      <c r="E1" s="1348"/>
      <c r="F1" s="1348"/>
      <c r="G1" s="1348"/>
      <c r="H1" s="1348"/>
      <c r="I1" s="1348"/>
      <c r="J1" s="1348"/>
      <c r="K1" s="1348"/>
      <c r="L1" s="1348"/>
      <c r="M1" s="1347"/>
      <c r="N1" s="1348"/>
      <c r="O1" s="1348"/>
      <c r="P1" s="1348"/>
      <c r="Q1" s="1348"/>
      <c r="R1" s="1348"/>
      <c r="S1" s="1348"/>
      <c r="T1" s="1348"/>
      <c r="U1" s="1348"/>
      <c r="V1" s="1348"/>
      <c r="W1" s="1348"/>
      <c r="X1" s="1348"/>
      <c r="Y1" s="1347"/>
      <c r="Z1" s="1348"/>
    </row>
    <row r="2" spans="1:27">
      <c r="A2" s="1349" t="s">
        <v>1345</v>
      </c>
      <c r="B2" s="1349"/>
      <c r="C2" s="1349" t="s">
        <v>1346</v>
      </c>
      <c r="D2" s="1349"/>
      <c r="E2" s="1349" t="s">
        <v>1347</v>
      </c>
      <c r="F2" s="1349"/>
      <c r="G2" s="1349" t="s">
        <v>1348</v>
      </c>
      <c r="H2" s="1349"/>
      <c r="I2" s="1349" t="s">
        <v>1349</v>
      </c>
      <c r="J2" s="1349"/>
      <c r="K2" s="1350" t="s">
        <v>1350</v>
      </c>
      <c r="L2" s="1350"/>
      <c r="M2" s="1084"/>
      <c r="N2" s="1351" t="s">
        <v>1351</v>
      </c>
      <c r="O2" s="1352"/>
      <c r="P2" s="1351" t="s">
        <v>1352</v>
      </c>
      <c r="Q2" s="1352"/>
      <c r="R2" s="1351" t="s">
        <v>1348</v>
      </c>
      <c r="S2" s="1352"/>
      <c r="T2" s="1360" t="s">
        <v>1349</v>
      </c>
      <c r="U2" s="1360"/>
      <c r="V2" s="1085"/>
      <c r="W2" s="1351" t="s">
        <v>1351</v>
      </c>
      <c r="X2" s="1352"/>
      <c r="Y2" s="1357" t="s">
        <v>1352</v>
      </c>
      <c r="Z2" s="1357" t="s">
        <v>1348</v>
      </c>
      <c r="AA2" s="1357" t="s">
        <v>1349</v>
      </c>
    </row>
    <row r="3" spans="1:27">
      <c r="A3" s="1349"/>
      <c r="B3" s="1349"/>
      <c r="C3" s="1349" t="s">
        <v>1422</v>
      </c>
      <c r="D3" s="1349"/>
      <c r="E3" s="1349" t="s">
        <v>1458</v>
      </c>
      <c r="F3" s="1349"/>
      <c r="G3" s="1349" t="s">
        <v>1453</v>
      </c>
      <c r="H3" s="1349"/>
      <c r="I3" s="1349" t="s">
        <v>1537</v>
      </c>
      <c r="J3" s="1349"/>
      <c r="K3" s="1350"/>
      <c r="L3" s="1350"/>
      <c r="M3" s="1084"/>
      <c r="N3" s="1353"/>
      <c r="O3" s="1354"/>
      <c r="P3" s="1353"/>
      <c r="Q3" s="1354"/>
      <c r="R3" s="1353"/>
      <c r="S3" s="1354"/>
      <c r="T3" s="1360"/>
      <c r="U3" s="1360"/>
      <c r="V3" s="1085"/>
      <c r="W3" s="1353"/>
      <c r="X3" s="1354"/>
      <c r="Y3" s="1358"/>
      <c r="Z3" s="1358"/>
      <c r="AA3" s="1358"/>
    </row>
    <row r="4" spans="1:27">
      <c r="A4" s="1349"/>
      <c r="B4" s="1349"/>
      <c r="C4" s="1349" t="s">
        <v>1353</v>
      </c>
      <c r="D4" s="1349"/>
      <c r="E4" s="1349" t="s">
        <v>1353</v>
      </c>
      <c r="F4" s="1349"/>
      <c r="G4" s="1349" t="s">
        <v>1353</v>
      </c>
      <c r="H4" s="1349"/>
      <c r="I4" s="1349" t="s">
        <v>1353</v>
      </c>
      <c r="J4" s="1349"/>
      <c r="K4" s="1350"/>
      <c r="L4" s="1350"/>
      <c r="M4" s="1084"/>
      <c r="N4" s="1355"/>
      <c r="O4" s="1356"/>
      <c r="P4" s="1353"/>
      <c r="Q4" s="1354"/>
      <c r="R4" s="1355"/>
      <c r="S4" s="1356"/>
      <c r="T4" s="1360"/>
      <c r="U4" s="1360"/>
      <c r="V4" s="1085"/>
      <c r="W4" s="1355"/>
      <c r="X4" s="1356"/>
      <c r="Y4" s="1359"/>
      <c r="Z4" s="1359"/>
      <c r="AA4" s="1359"/>
    </row>
    <row r="5" spans="1:27">
      <c r="A5" s="1349" t="s">
        <v>1354</v>
      </c>
      <c r="B5" s="1349"/>
      <c r="C5" s="1086" t="s">
        <v>1560</v>
      </c>
      <c r="D5" s="1087">
        <v>100</v>
      </c>
      <c r="E5" s="1086" t="str">
        <f>C5</f>
        <v>2017.1</v>
      </c>
      <c r="F5" s="1116">
        <v>100</v>
      </c>
      <c r="G5" s="1086" t="str">
        <f>E5</f>
        <v>2017.1</v>
      </c>
      <c r="H5" s="1116">
        <v>100</v>
      </c>
      <c r="I5" s="1086" t="str">
        <f>G5</f>
        <v>2017.1</v>
      </c>
      <c r="J5" s="1116">
        <v>100</v>
      </c>
      <c r="K5" s="1088" t="s">
        <v>1355</v>
      </c>
      <c r="L5" s="1089">
        <v>0.01</v>
      </c>
      <c r="M5" s="1084"/>
      <c r="N5" s="1361" t="s">
        <v>1354</v>
      </c>
      <c r="O5" s="1362"/>
      <c r="P5" s="1090" t="s">
        <v>1356</v>
      </c>
      <c r="Q5" s="1091">
        <f t="shared" ref="Q5:Q35" si="0">F5</f>
        <v>100</v>
      </c>
      <c r="R5" s="1090" t="s">
        <v>1357</v>
      </c>
      <c r="S5" s="1091">
        <f t="shared" ref="S5:S35" si="1">H5</f>
        <v>100</v>
      </c>
      <c r="T5" s="1090" t="s">
        <v>1357</v>
      </c>
      <c r="U5" s="1091">
        <f t="shared" ref="U5:U35" si="2">J5</f>
        <v>100</v>
      </c>
      <c r="V5" s="1085"/>
      <c r="W5" s="1361" t="s">
        <v>1358</v>
      </c>
      <c r="X5" s="1363"/>
      <c r="Y5" s="1092">
        <f t="shared" ref="Y5:Y35" si="3">D5/F5</f>
        <v>1</v>
      </c>
      <c r="Z5" s="1092">
        <f t="shared" ref="Z5:Z35" si="4">D5/H5</f>
        <v>1</v>
      </c>
      <c r="AA5" s="1092">
        <f t="shared" ref="AA5:AA35" si="5">D5/J5</f>
        <v>1</v>
      </c>
    </row>
    <row r="6" spans="1:27" ht="21">
      <c r="A6" s="1349" t="s">
        <v>1359</v>
      </c>
      <c r="B6" s="1349"/>
      <c r="C6" s="1086" t="s">
        <v>1423</v>
      </c>
      <c r="D6" s="1087">
        <v>100</v>
      </c>
      <c r="E6" s="1086" t="str">
        <f>C6</f>
        <v>正常</v>
      </c>
      <c r="F6" s="1116">
        <v>100</v>
      </c>
      <c r="G6" s="1086" t="str">
        <f>E6</f>
        <v>正常</v>
      </c>
      <c r="H6" s="1116">
        <v>100</v>
      </c>
      <c r="I6" s="1086" t="str">
        <f>G6</f>
        <v>正常</v>
      </c>
      <c r="J6" s="1116">
        <v>100</v>
      </c>
      <c r="K6" s="1088" t="s">
        <v>1360</v>
      </c>
      <c r="L6" s="1093" t="s">
        <v>1361</v>
      </c>
      <c r="M6" s="1084"/>
      <c r="N6" s="1361" t="s">
        <v>1359</v>
      </c>
      <c r="O6" s="1363"/>
      <c r="P6" s="1090" t="s">
        <v>1362</v>
      </c>
      <c r="Q6" s="1091">
        <f t="shared" si="0"/>
        <v>100</v>
      </c>
      <c r="R6" s="1090" t="s">
        <v>1362</v>
      </c>
      <c r="S6" s="1091">
        <f t="shared" si="1"/>
        <v>100</v>
      </c>
      <c r="T6" s="1090" t="s">
        <v>1362</v>
      </c>
      <c r="U6" s="1091">
        <f t="shared" si="2"/>
        <v>100</v>
      </c>
      <c r="V6" s="1085"/>
      <c r="W6" s="1361" t="s">
        <v>1359</v>
      </c>
      <c r="X6" s="1363"/>
      <c r="Y6" s="1092">
        <f t="shared" si="3"/>
        <v>1</v>
      </c>
      <c r="Z6" s="1092">
        <f t="shared" si="4"/>
        <v>1</v>
      </c>
      <c r="AA6" s="1092">
        <f t="shared" si="5"/>
        <v>1</v>
      </c>
    </row>
    <row r="7" spans="1:27" ht="21">
      <c r="A7" s="1349" t="s">
        <v>1363</v>
      </c>
      <c r="B7" s="1094" t="s">
        <v>1364</v>
      </c>
      <c r="C7" s="1086" t="s">
        <v>1424</v>
      </c>
      <c r="D7" s="1087">
        <v>100</v>
      </c>
      <c r="E7" s="1086" t="str">
        <f>C7</f>
        <v>商业</v>
      </c>
      <c r="F7" s="1116">
        <v>100</v>
      </c>
      <c r="G7" s="1086" t="str">
        <f>E7</f>
        <v>商业</v>
      </c>
      <c r="H7" s="1116">
        <v>100</v>
      </c>
      <c r="I7" s="1086" t="str">
        <f>G7</f>
        <v>商业</v>
      </c>
      <c r="J7" s="1116">
        <v>100</v>
      </c>
      <c r="K7" s="1095" t="s">
        <v>1365</v>
      </c>
      <c r="L7" s="1089">
        <v>0.01</v>
      </c>
      <c r="M7" s="1084"/>
      <c r="N7" s="1365" t="s">
        <v>1366</v>
      </c>
      <c r="O7" s="1096" t="str">
        <f>B7</f>
        <v>用途</v>
      </c>
      <c r="P7" s="1090" t="s">
        <v>1362</v>
      </c>
      <c r="Q7" s="1091">
        <f t="shared" si="0"/>
        <v>100</v>
      </c>
      <c r="R7" s="1090" t="s">
        <v>1362</v>
      </c>
      <c r="S7" s="1091">
        <f t="shared" si="1"/>
        <v>100</v>
      </c>
      <c r="T7" s="1090" t="s">
        <v>1362</v>
      </c>
      <c r="U7" s="1091">
        <f t="shared" si="2"/>
        <v>100</v>
      </c>
      <c r="V7" s="1085"/>
      <c r="W7" s="1365" t="s">
        <v>1363</v>
      </c>
      <c r="X7" s="1097" t="str">
        <f t="shared" ref="X7:X20" si="6">O7</f>
        <v>用途</v>
      </c>
      <c r="Y7" s="1092">
        <f>D7/F7</f>
        <v>1</v>
      </c>
      <c r="Z7" s="1092">
        <f>D7/H7</f>
        <v>1</v>
      </c>
      <c r="AA7" s="1092">
        <f>D7/J7</f>
        <v>1</v>
      </c>
    </row>
    <row r="8" spans="1:27" s="1160" customFormat="1" ht="31.5">
      <c r="A8" s="1364"/>
      <c r="B8" s="1145" t="s">
        <v>1367</v>
      </c>
      <c r="C8" s="1161">
        <f>案例及位置图!C59</f>
        <v>33.270000000000003</v>
      </c>
      <c r="D8" s="1147">
        <v>100</v>
      </c>
      <c r="E8" s="1148" t="s">
        <v>1459</v>
      </c>
      <c r="F8" s="1148">
        <v>100</v>
      </c>
      <c r="G8" s="1148" t="s">
        <v>1462</v>
      </c>
      <c r="H8" s="1148">
        <v>101</v>
      </c>
      <c r="I8" s="1148" t="s">
        <v>1459</v>
      </c>
      <c r="J8" s="1148">
        <v>100</v>
      </c>
      <c r="K8" s="1150" t="s">
        <v>1368</v>
      </c>
      <c r="L8" s="1163">
        <v>5.0000000000000001E-3</v>
      </c>
      <c r="M8" s="1152"/>
      <c r="N8" s="1365"/>
      <c r="O8" s="1153" t="str">
        <f t="shared" ref="O8:O20" si="7">B8</f>
        <v>土地使用年限（年）</v>
      </c>
      <c r="P8" s="1154" t="s">
        <v>1369</v>
      </c>
      <c r="Q8" s="1155">
        <f>F8</f>
        <v>100</v>
      </c>
      <c r="R8" s="1154" t="s">
        <v>1369</v>
      </c>
      <c r="S8" s="1155">
        <f>H8</f>
        <v>101</v>
      </c>
      <c r="T8" s="1154" t="s">
        <v>1369</v>
      </c>
      <c r="U8" s="1155">
        <f>J8</f>
        <v>100</v>
      </c>
      <c r="V8" s="1156"/>
      <c r="W8" s="1365"/>
      <c r="X8" s="1162" t="str">
        <f t="shared" si="6"/>
        <v>土地使用年限（年）</v>
      </c>
      <c r="Y8" s="1159">
        <f>D8/F8</f>
        <v>1</v>
      </c>
      <c r="Z8" s="1159">
        <f>D8/H8</f>
        <v>0.99009900990099009</v>
      </c>
      <c r="AA8" s="1159">
        <f>D8/J8</f>
        <v>1</v>
      </c>
    </row>
    <row r="9" spans="1:27" ht="31.5" hidden="1">
      <c r="A9" s="1364"/>
      <c r="B9" s="1098" t="s">
        <v>1370</v>
      </c>
      <c r="C9" s="1099"/>
      <c r="D9" s="1087">
        <v>100</v>
      </c>
      <c r="E9" s="1116"/>
      <c r="F9" s="1116">
        <v>100</v>
      </c>
      <c r="G9" s="1116"/>
      <c r="H9" s="1116">
        <v>100</v>
      </c>
      <c r="I9" s="1116"/>
      <c r="J9" s="1116">
        <v>100</v>
      </c>
      <c r="K9" s="1088" t="s">
        <v>1371</v>
      </c>
      <c r="L9" s="1089">
        <v>0.01</v>
      </c>
      <c r="M9" s="1084"/>
      <c r="N9" s="1365"/>
      <c r="O9" s="1096" t="str">
        <f>B9</f>
        <v>地上容积率</v>
      </c>
      <c r="P9" s="1090" t="s">
        <v>1372</v>
      </c>
      <c r="Q9" s="1091">
        <f>F9</f>
        <v>100</v>
      </c>
      <c r="R9" s="1090" t="s">
        <v>1372</v>
      </c>
      <c r="S9" s="1091">
        <f>H9</f>
        <v>100</v>
      </c>
      <c r="T9" s="1090" t="s">
        <v>1373</v>
      </c>
      <c r="U9" s="1091">
        <f>J9</f>
        <v>100</v>
      </c>
      <c r="V9" s="1085"/>
      <c r="W9" s="1365"/>
      <c r="X9" s="1097" t="str">
        <f t="shared" si="6"/>
        <v>地上容积率</v>
      </c>
      <c r="Y9" s="1092">
        <f>D9/F9</f>
        <v>1</v>
      </c>
      <c r="Z9" s="1092">
        <f>D9/H9</f>
        <v>1</v>
      </c>
      <c r="AA9" s="1092">
        <f>D9/J9</f>
        <v>1</v>
      </c>
    </row>
    <row r="10" spans="1:27" hidden="1">
      <c r="A10" s="1364"/>
      <c r="B10" s="1093" t="s">
        <v>1374</v>
      </c>
      <c r="C10" s="1099"/>
      <c r="D10" s="1087">
        <v>100</v>
      </c>
      <c r="E10" s="1116"/>
      <c r="F10" s="1116">
        <v>100</v>
      </c>
      <c r="G10" s="1116"/>
      <c r="H10" s="1116">
        <v>100</v>
      </c>
      <c r="I10" s="1116"/>
      <c r="J10" s="1116">
        <v>100</v>
      </c>
      <c r="K10" s="1088"/>
      <c r="L10" s="1089">
        <v>0.01</v>
      </c>
      <c r="M10" s="1084"/>
      <c r="N10" s="1365"/>
      <c r="O10" s="1096" t="str">
        <f t="shared" si="7"/>
        <v>其他权益状况修正</v>
      </c>
      <c r="P10" s="1090" t="s">
        <v>1372</v>
      </c>
      <c r="Q10" s="1091">
        <f t="shared" si="0"/>
        <v>100</v>
      </c>
      <c r="R10" s="1090" t="s">
        <v>1372</v>
      </c>
      <c r="S10" s="1091">
        <f t="shared" si="1"/>
        <v>100</v>
      </c>
      <c r="T10" s="1090" t="s">
        <v>1372</v>
      </c>
      <c r="U10" s="1091">
        <f t="shared" si="2"/>
        <v>100</v>
      </c>
      <c r="V10" s="1085"/>
      <c r="W10" s="1365"/>
      <c r="X10" s="1097" t="str">
        <f t="shared" si="6"/>
        <v>其他权益状况修正</v>
      </c>
      <c r="Y10" s="1092">
        <f>D10/F10</f>
        <v>1</v>
      </c>
      <c r="Z10" s="1092">
        <f>D10/H10</f>
        <v>1</v>
      </c>
      <c r="AA10" s="1092">
        <f>D10/J10</f>
        <v>1</v>
      </c>
    </row>
    <row r="11" spans="1:27" s="1160" customFormat="1" ht="12" customHeight="1">
      <c r="A11" s="1364" t="s">
        <v>1375</v>
      </c>
      <c r="B11" s="1145" t="s">
        <v>1376</v>
      </c>
      <c r="C11" s="1146" t="s">
        <v>1441</v>
      </c>
      <c r="D11" s="1147">
        <v>100</v>
      </c>
      <c r="E11" s="1149" t="str">
        <f t="shared" ref="E11:E18" si="8">C11</f>
        <v>好</v>
      </c>
      <c r="F11" s="1148">
        <v>100</v>
      </c>
      <c r="G11" s="1149" t="s">
        <v>1454</v>
      </c>
      <c r="H11" s="1148">
        <v>98</v>
      </c>
      <c r="I11" s="1149" t="str">
        <f t="shared" ref="I11:I18" si="9">E11</f>
        <v>好</v>
      </c>
      <c r="J11" s="1148">
        <v>100</v>
      </c>
      <c r="K11" s="1150" t="s">
        <v>1377</v>
      </c>
      <c r="L11" s="1151">
        <v>0.05</v>
      </c>
      <c r="M11" s="1152"/>
      <c r="N11" s="1349" t="s">
        <v>1375</v>
      </c>
      <c r="O11" s="1153" t="str">
        <f t="shared" si="7"/>
        <v>商业繁华度</v>
      </c>
      <c r="P11" s="1154" t="s">
        <v>1372</v>
      </c>
      <c r="Q11" s="1155">
        <f t="shared" si="0"/>
        <v>100</v>
      </c>
      <c r="R11" s="1154" t="s">
        <v>1372</v>
      </c>
      <c r="S11" s="1155">
        <f t="shared" si="1"/>
        <v>98</v>
      </c>
      <c r="T11" s="1154" t="s">
        <v>1372</v>
      </c>
      <c r="U11" s="1155">
        <f t="shared" si="2"/>
        <v>100</v>
      </c>
      <c r="V11" s="1156"/>
      <c r="W11" s="1366" t="s">
        <v>1375</v>
      </c>
      <c r="X11" s="1158" t="str">
        <f t="shared" si="6"/>
        <v>商业繁华度</v>
      </c>
      <c r="Y11" s="1159">
        <f t="shared" si="3"/>
        <v>1</v>
      </c>
      <c r="Z11" s="1159">
        <f t="shared" si="4"/>
        <v>1.0204081632653061</v>
      </c>
      <c r="AA11" s="1159">
        <f t="shared" si="5"/>
        <v>1</v>
      </c>
    </row>
    <row r="12" spans="1:27" s="1160" customFormat="1">
      <c r="A12" s="1364"/>
      <c r="B12" s="1145" t="s">
        <v>1378</v>
      </c>
      <c r="C12" s="1146" t="s">
        <v>1441</v>
      </c>
      <c r="D12" s="1147">
        <v>100</v>
      </c>
      <c r="E12" s="1149" t="str">
        <f t="shared" si="8"/>
        <v>好</v>
      </c>
      <c r="F12" s="1148">
        <v>100</v>
      </c>
      <c r="G12" s="1149" t="s">
        <v>1451</v>
      </c>
      <c r="H12" s="1148">
        <v>98</v>
      </c>
      <c r="I12" s="1149" t="str">
        <f t="shared" si="9"/>
        <v>好</v>
      </c>
      <c r="J12" s="1148">
        <v>100</v>
      </c>
      <c r="K12" s="1150" t="s">
        <v>1379</v>
      </c>
      <c r="L12" s="1151">
        <v>0.05</v>
      </c>
      <c r="M12" s="1152"/>
      <c r="N12" s="1349"/>
      <c r="O12" s="1153" t="str">
        <f t="shared" si="7"/>
        <v>交通便捷度</v>
      </c>
      <c r="P12" s="1154" t="s">
        <v>1372</v>
      </c>
      <c r="Q12" s="1155">
        <f t="shared" si="0"/>
        <v>100</v>
      </c>
      <c r="R12" s="1154" t="s">
        <v>1372</v>
      </c>
      <c r="S12" s="1155">
        <f t="shared" si="1"/>
        <v>98</v>
      </c>
      <c r="T12" s="1154" t="s">
        <v>1372</v>
      </c>
      <c r="U12" s="1155">
        <f t="shared" si="2"/>
        <v>100</v>
      </c>
      <c r="V12" s="1156"/>
      <c r="W12" s="1367"/>
      <c r="X12" s="1158" t="str">
        <f t="shared" si="6"/>
        <v>交通便捷度</v>
      </c>
      <c r="Y12" s="1159">
        <f t="shared" si="3"/>
        <v>1</v>
      </c>
      <c r="Z12" s="1159">
        <f t="shared" si="4"/>
        <v>1.0204081632653061</v>
      </c>
      <c r="AA12" s="1159">
        <f t="shared" si="5"/>
        <v>1</v>
      </c>
    </row>
    <row r="13" spans="1:27" ht="21">
      <c r="A13" s="1364"/>
      <c r="B13" s="1100" t="s">
        <v>1380</v>
      </c>
      <c r="C13" s="1099" t="s">
        <v>1442</v>
      </c>
      <c r="D13" s="1087">
        <v>100</v>
      </c>
      <c r="E13" s="1086" t="str">
        <f t="shared" si="8"/>
        <v>齐全</v>
      </c>
      <c r="F13" s="1116">
        <v>100</v>
      </c>
      <c r="G13" s="1086" t="str">
        <f>E13</f>
        <v>齐全</v>
      </c>
      <c r="H13" s="1116">
        <v>100</v>
      </c>
      <c r="I13" s="1086" t="str">
        <f t="shared" si="9"/>
        <v>齐全</v>
      </c>
      <c r="J13" s="1116">
        <v>100</v>
      </c>
      <c r="K13" s="1088" t="s">
        <v>1381</v>
      </c>
      <c r="L13" s="1089">
        <v>0.05</v>
      </c>
      <c r="M13" s="1084"/>
      <c r="N13" s="1349"/>
      <c r="O13" s="1096" t="str">
        <f t="shared" si="7"/>
        <v>公用设施及基础设施水平</v>
      </c>
      <c r="P13" s="1090" t="s">
        <v>1372</v>
      </c>
      <c r="Q13" s="1091">
        <f>F13</f>
        <v>100</v>
      </c>
      <c r="R13" s="1090" t="s">
        <v>1372</v>
      </c>
      <c r="S13" s="1091">
        <f>H13</f>
        <v>100</v>
      </c>
      <c r="T13" s="1090" t="s">
        <v>1373</v>
      </c>
      <c r="U13" s="1091">
        <f>J13</f>
        <v>100</v>
      </c>
      <c r="V13" s="1085"/>
      <c r="W13" s="1367"/>
      <c r="X13" s="1101" t="str">
        <f t="shared" si="6"/>
        <v>公用设施及基础设施水平</v>
      </c>
      <c r="Y13" s="1092">
        <f>D13/F13</f>
        <v>1</v>
      </c>
      <c r="Z13" s="1092">
        <f>D13/H13</f>
        <v>1</v>
      </c>
      <c r="AA13" s="1092">
        <f>D13/J13</f>
        <v>1</v>
      </c>
    </row>
    <row r="14" spans="1:27">
      <c r="A14" s="1364"/>
      <c r="B14" s="1100" t="s">
        <v>1382</v>
      </c>
      <c r="C14" s="1099" t="s">
        <v>1441</v>
      </c>
      <c r="D14" s="1087">
        <v>100</v>
      </c>
      <c r="E14" s="1086" t="str">
        <f t="shared" si="8"/>
        <v>好</v>
      </c>
      <c r="F14" s="1116">
        <v>100</v>
      </c>
      <c r="G14" s="1086" t="str">
        <f>E14</f>
        <v>好</v>
      </c>
      <c r="H14" s="1116">
        <v>100</v>
      </c>
      <c r="I14" s="1086" t="str">
        <f t="shared" si="9"/>
        <v>好</v>
      </c>
      <c r="J14" s="1116">
        <v>100</v>
      </c>
      <c r="K14" s="1088" t="s">
        <v>1379</v>
      </c>
      <c r="L14" s="1089">
        <v>0.05</v>
      </c>
      <c r="M14" s="1084"/>
      <c r="N14" s="1349"/>
      <c r="O14" s="1096" t="str">
        <f t="shared" si="7"/>
        <v>自然及人文环境</v>
      </c>
      <c r="P14" s="1090" t="s">
        <v>1372</v>
      </c>
      <c r="Q14" s="1091">
        <f t="shared" si="0"/>
        <v>100</v>
      </c>
      <c r="R14" s="1090" t="s">
        <v>1372</v>
      </c>
      <c r="S14" s="1091">
        <f t="shared" si="1"/>
        <v>100</v>
      </c>
      <c r="T14" s="1090" t="s">
        <v>1372</v>
      </c>
      <c r="U14" s="1091">
        <f t="shared" si="2"/>
        <v>100</v>
      </c>
      <c r="V14" s="1085"/>
      <c r="W14" s="1367"/>
      <c r="X14" s="1101" t="str">
        <f t="shared" si="6"/>
        <v>自然及人文环境</v>
      </c>
      <c r="Y14" s="1092">
        <f t="shared" si="3"/>
        <v>1</v>
      </c>
      <c r="Z14" s="1092">
        <f t="shared" si="4"/>
        <v>1</v>
      </c>
      <c r="AA14" s="1092">
        <f t="shared" si="5"/>
        <v>1</v>
      </c>
    </row>
    <row r="15" spans="1:27" s="1160" customFormat="1">
      <c r="A15" s="1364"/>
      <c r="B15" s="1145" t="s">
        <v>1383</v>
      </c>
      <c r="C15" s="1146" t="s">
        <v>1554</v>
      </c>
      <c r="D15" s="1147">
        <v>100</v>
      </c>
      <c r="E15" s="1149" t="s">
        <v>1555</v>
      </c>
      <c r="F15" s="1148">
        <v>96</v>
      </c>
      <c r="G15" s="1149" t="str">
        <f>E15</f>
        <v>单面临街</v>
      </c>
      <c r="H15" s="1148">
        <f>F15</f>
        <v>96</v>
      </c>
      <c r="I15" s="1149" t="str">
        <f t="shared" si="9"/>
        <v>单面临街</v>
      </c>
      <c r="J15" s="1148">
        <f>H15</f>
        <v>96</v>
      </c>
      <c r="K15" s="1150" t="s">
        <v>1384</v>
      </c>
      <c r="L15" s="1151">
        <v>0.05</v>
      </c>
      <c r="M15" s="1152"/>
      <c r="N15" s="1349"/>
      <c r="O15" s="1153" t="str">
        <f t="shared" si="7"/>
        <v>临街状况</v>
      </c>
      <c r="P15" s="1154" t="s">
        <v>1372</v>
      </c>
      <c r="Q15" s="1155">
        <f>F15</f>
        <v>96</v>
      </c>
      <c r="R15" s="1154" t="s">
        <v>1373</v>
      </c>
      <c r="S15" s="1155">
        <f>H15</f>
        <v>96</v>
      </c>
      <c r="T15" s="1154" t="s">
        <v>1372</v>
      </c>
      <c r="U15" s="1155">
        <f>J15</f>
        <v>96</v>
      </c>
      <c r="V15" s="1156"/>
      <c r="W15" s="1367"/>
      <c r="X15" s="1158" t="str">
        <f t="shared" si="6"/>
        <v>临街状况</v>
      </c>
      <c r="Y15" s="1159">
        <f>D15/F15</f>
        <v>1.0416666666666667</v>
      </c>
      <c r="Z15" s="1159">
        <f>D15/H15</f>
        <v>1.0416666666666667</v>
      </c>
      <c r="AA15" s="1159">
        <f>D15/J15</f>
        <v>1.0416666666666667</v>
      </c>
    </row>
    <row r="16" spans="1:27">
      <c r="A16" s="1364"/>
      <c r="B16" s="1098" t="s">
        <v>1443</v>
      </c>
      <c r="C16" s="1099" t="s">
        <v>1441</v>
      </c>
      <c r="D16" s="1087">
        <v>100</v>
      </c>
      <c r="E16" s="1086" t="str">
        <f t="shared" si="8"/>
        <v>好</v>
      </c>
      <c r="F16" s="1116">
        <v>100</v>
      </c>
      <c r="G16" s="1086" t="str">
        <f>E16</f>
        <v>好</v>
      </c>
      <c r="H16" s="1116">
        <v>100</v>
      </c>
      <c r="I16" s="1086" t="str">
        <f t="shared" si="9"/>
        <v>好</v>
      </c>
      <c r="J16" s="1116">
        <v>100</v>
      </c>
      <c r="K16" s="1088" t="s">
        <v>1377</v>
      </c>
      <c r="L16" s="1089">
        <v>0.05</v>
      </c>
      <c r="M16" s="1084"/>
      <c r="N16" s="1349"/>
      <c r="O16" s="1096" t="str">
        <f t="shared" si="7"/>
        <v>可视性</v>
      </c>
      <c r="P16" s="1090" t="s">
        <v>1372</v>
      </c>
      <c r="Q16" s="1091">
        <f>F16</f>
        <v>100</v>
      </c>
      <c r="R16" s="1090" t="s">
        <v>1373</v>
      </c>
      <c r="S16" s="1091">
        <f>H16</f>
        <v>100</v>
      </c>
      <c r="T16" s="1090" t="s">
        <v>1372</v>
      </c>
      <c r="U16" s="1091">
        <f>J16</f>
        <v>100</v>
      </c>
      <c r="V16" s="1085"/>
      <c r="W16" s="1367"/>
      <c r="X16" s="1101" t="str">
        <f t="shared" si="6"/>
        <v>可视性</v>
      </c>
      <c r="Y16" s="1092">
        <f>D16/F16</f>
        <v>1</v>
      </c>
      <c r="Z16" s="1092">
        <f>D16/H16</f>
        <v>1</v>
      </c>
      <c r="AA16" s="1092">
        <f>D16/J16</f>
        <v>1</v>
      </c>
    </row>
    <row r="17" spans="1:27" s="1160" customFormat="1">
      <c r="A17" s="1364"/>
      <c r="B17" s="1145" t="s">
        <v>1385</v>
      </c>
      <c r="C17" s="1146" t="s">
        <v>1446</v>
      </c>
      <c r="D17" s="1147">
        <v>100</v>
      </c>
      <c r="E17" s="1149" t="str">
        <f t="shared" si="8"/>
        <v>大</v>
      </c>
      <c r="F17" s="1148">
        <v>100</v>
      </c>
      <c r="G17" s="1177" t="s">
        <v>1452</v>
      </c>
      <c r="H17" s="1176">
        <v>99</v>
      </c>
      <c r="I17" s="1149" t="str">
        <f t="shared" si="9"/>
        <v>大</v>
      </c>
      <c r="J17" s="1148">
        <v>100</v>
      </c>
      <c r="K17" s="1150" t="s">
        <v>1377</v>
      </c>
      <c r="L17" s="1151">
        <v>0.05</v>
      </c>
      <c r="M17" s="1152"/>
      <c r="N17" s="1349"/>
      <c r="O17" s="1153" t="str">
        <f t="shared" si="7"/>
        <v>人流量</v>
      </c>
      <c r="P17" s="1154" t="s">
        <v>1372</v>
      </c>
      <c r="Q17" s="1155">
        <f>F17</f>
        <v>100</v>
      </c>
      <c r="R17" s="1154" t="s">
        <v>1372</v>
      </c>
      <c r="S17" s="1155">
        <f>H17</f>
        <v>99</v>
      </c>
      <c r="T17" s="1154" t="s">
        <v>1372</v>
      </c>
      <c r="U17" s="1155">
        <f>J17</f>
        <v>100</v>
      </c>
      <c r="V17" s="1156"/>
      <c r="W17" s="1367"/>
      <c r="X17" s="1158" t="str">
        <f t="shared" si="6"/>
        <v>人流量</v>
      </c>
      <c r="Y17" s="1159">
        <f>D17/F17</f>
        <v>1</v>
      </c>
      <c r="Z17" s="1159">
        <f>D17/H17</f>
        <v>1.0101010101010102</v>
      </c>
      <c r="AA17" s="1159">
        <f>D17/J17</f>
        <v>1</v>
      </c>
    </row>
    <row r="18" spans="1:27" ht="21">
      <c r="A18" s="1364"/>
      <c r="B18" s="1098" t="s">
        <v>1386</v>
      </c>
      <c r="C18" s="1099" t="s">
        <v>1444</v>
      </c>
      <c r="D18" s="1087">
        <v>100</v>
      </c>
      <c r="E18" s="1086" t="str">
        <f t="shared" si="8"/>
        <v>1层</v>
      </c>
      <c r="F18" s="1116">
        <v>100</v>
      </c>
      <c r="G18" s="1086" t="str">
        <f>E18</f>
        <v>1层</v>
      </c>
      <c r="H18" s="1116">
        <v>100</v>
      </c>
      <c r="I18" s="1086" t="str">
        <f t="shared" si="9"/>
        <v>1层</v>
      </c>
      <c r="J18" s="1116">
        <v>100</v>
      </c>
      <c r="K18" s="1088" t="s">
        <v>1387</v>
      </c>
      <c r="L18" s="1089">
        <v>0.05</v>
      </c>
      <c r="M18" s="1084"/>
      <c r="N18" s="1349"/>
      <c r="O18" s="1096" t="str">
        <f t="shared" si="7"/>
        <v>楼层</v>
      </c>
      <c r="P18" s="1090" t="s">
        <v>1372</v>
      </c>
      <c r="Q18" s="1091">
        <f>F18</f>
        <v>100</v>
      </c>
      <c r="R18" s="1090" t="s">
        <v>1373</v>
      </c>
      <c r="S18" s="1091">
        <f>H18</f>
        <v>100</v>
      </c>
      <c r="T18" s="1090" t="s">
        <v>1372</v>
      </c>
      <c r="U18" s="1091">
        <f>J18</f>
        <v>100</v>
      </c>
      <c r="V18" s="1085"/>
      <c r="W18" s="1367"/>
      <c r="X18" s="1101" t="str">
        <f t="shared" si="6"/>
        <v>楼层</v>
      </c>
      <c r="Y18" s="1092">
        <f>D18/F18</f>
        <v>1</v>
      </c>
      <c r="Z18" s="1092">
        <f>D18/H18</f>
        <v>1</v>
      </c>
      <c r="AA18" s="1092">
        <f>D18/J18</f>
        <v>1</v>
      </c>
    </row>
    <row r="19" spans="1:27" ht="21">
      <c r="A19" s="1364"/>
      <c r="B19" s="1093" t="s">
        <v>1388</v>
      </c>
      <c r="C19" s="1099"/>
      <c r="D19" s="1087">
        <v>100</v>
      </c>
      <c r="E19" s="1116"/>
      <c r="F19" s="1116">
        <v>100</v>
      </c>
      <c r="G19" s="1116"/>
      <c r="H19" s="1116">
        <v>100</v>
      </c>
      <c r="I19" s="1116"/>
      <c r="J19" s="1116">
        <v>100</v>
      </c>
      <c r="K19" s="1088"/>
      <c r="L19" s="1089">
        <v>0.05</v>
      </c>
      <c r="M19" s="1084"/>
      <c r="N19" s="1349"/>
      <c r="O19" s="1096" t="str">
        <f t="shared" si="7"/>
        <v>特殊因素（需详细注明）</v>
      </c>
      <c r="P19" s="1090" t="s">
        <v>1372</v>
      </c>
      <c r="Q19" s="1091">
        <f>F19</f>
        <v>100</v>
      </c>
      <c r="R19" s="1090" t="s">
        <v>1372</v>
      </c>
      <c r="S19" s="1091">
        <f>H19</f>
        <v>100</v>
      </c>
      <c r="T19" s="1090" t="s">
        <v>1373</v>
      </c>
      <c r="U19" s="1091">
        <f>J19</f>
        <v>100</v>
      </c>
      <c r="V19" s="1085"/>
      <c r="W19" s="1367"/>
      <c r="X19" s="1101" t="str">
        <f t="shared" si="6"/>
        <v>特殊因素（需详细注明）</v>
      </c>
      <c r="Y19" s="1092">
        <f>D19/F19</f>
        <v>1</v>
      </c>
      <c r="Z19" s="1092">
        <f>D19/H19</f>
        <v>1</v>
      </c>
      <c r="AA19" s="1092">
        <f>D19/J19</f>
        <v>1</v>
      </c>
    </row>
    <row r="20" spans="1:27">
      <c r="A20" s="1364"/>
      <c r="B20" s="1098"/>
      <c r="C20" s="1099"/>
      <c r="D20" s="1087">
        <v>100</v>
      </c>
      <c r="E20" s="1116"/>
      <c r="F20" s="1116">
        <v>100</v>
      </c>
      <c r="G20" s="1116"/>
      <c r="H20" s="1116">
        <v>100</v>
      </c>
      <c r="I20" s="1116"/>
      <c r="J20" s="1116">
        <v>100</v>
      </c>
      <c r="K20" s="1088"/>
      <c r="L20" s="1089">
        <v>0.05</v>
      </c>
      <c r="M20" s="1084"/>
      <c r="N20" s="1349"/>
      <c r="O20" s="1096">
        <f t="shared" si="7"/>
        <v>0</v>
      </c>
      <c r="P20" s="1090" t="s">
        <v>1372</v>
      </c>
      <c r="Q20" s="1091">
        <f t="shared" si="0"/>
        <v>100</v>
      </c>
      <c r="R20" s="1090" t="s">
        <v>1372</v>
      </c>
      <c r="S20" s="1091">
        <f t="shared" si="1"/>
        <v>100</v>
      </c>
      <c r="T20" s="1090" t="s">
        <v>1372</v>
      </c>
      <c r="U20" s="1091">
        <f t="shared" si="2"/>
        <v>100</v>
      </c>
      <c r="V20" s="1085"/>
      <c r="W20" s="1367"/>
      <c r="X20" s="1101">
        <f t="shared" si="6"/>
        <v>0</v>
      </c>
      <c r="Y20" s="1092">
        <f t="shared" si="3"/>
        <v>1</v>
      </c>
      <c r="Z20" s="1092">
        <f t="shared" si="4"/>
        <v>1</v>
      </c>
      <c r="AA20" s="1092">
        <f t="shared" si="5"/>
        <v>1</v>
      </c>
    </row>
    <row r="21" spans="1:27" s="1160" customFormat="1" ht="21">
      <c r="A21" s="1369" t="s">
        <v>1389</v>
      </c>
      <c r="B21" s="1145" t="s">
        <v>1390</v>
      </c>
      <c r="C21" s="1146" t="s">
        <v>1445</v>
      </c>
      <c r="D21" s="1147">
        <v>100</v>
      </c>
      <c r="E21" s="1176" t="s">
        <v>1455</v>
      </c>
      <c r="F21" s="1176">
        <v>96</v>
      </c>
      <c r="G21" s="1176" t="str">
        <f>E21</f>
        <v>沿街商业</v>
      </c>
      <c r="H21" s="1176">
        <f>F21</f>
        <v>96</v>
      </c>
      <c r="I21" s="1176" t="str">
        <f>E21</f>
        <v>沿街商业</v>
      </c>
      <c r="J21" s="1176">
        <f>F21</f>
        <v>96</v>
      </c>
      <c r="K21" s="1150" t="s">
        <v>1391</v>
      </c>
      <c r="L21" s="1151">
        <v>0.05</v>
      </c>
      <c r="M21" s="1152"/>
      <c r="N21" s="1370" t="s">
        <v>1389</v>
      </c>
      <c r="O21" s="1153" t="str">
        <f>B21</f>
        <v>商业类型</v>
      </c>
      <c r="P21" s="1154" t="s">
        <v>210</v>
      </c>
      <c r="Q21" s="1155">
        <f t="shared" si="0"/>
        <v>96</v>
      </c>
      <c r="R21" s="1154" t="s">
        <v>210</v>
      </c>
      <c r="S21" s="1155">
        <f t="shared" si="1"/>
        <v>96</v>
      </c>
      <c r="T21" s="1154" t="s">
        <v>210</v>
      </c>
      <c r="U21" s="1155">
        <f t="shared" si="2"/>
        <v>96</v>
      </c>
      <c r="V21" s="1156"/>
      <c r="W21" s="1368"/>
      <c r="X21" s="1158"/>
      <c r="Y21" s="1159">
        <f>D21/F21</f>
        <v>1.0416666666666667</v>
      </c>
      <c r="Z21" s="1159">
        <f>D21/H21</f>
        <v>1.0416666666666667</v>
      </c>
      <c r="AA21" s="1159">
        <f>D21/J21</f>
        <v>1.0416666666666667</v>
      </c>
    </row>
    <row r="22" spans="1:27" s="1160" customFormat="1" ht="21">
      <c r="A22" s="1369"/>
      <c r="B22" s="1145" t="s">
        <v>1392</v>
      </c>
      <c r="C22" s="1146" t="s">
        <v>1446</v>
      </c>
      <c r="D22" s="1147">
        <v>100</v>
      </c>
      <c r="E22" s="1148" t="s">
        <v>1452</v>
      </c>
      <c r="F22" s="1148">
        <v>97</v>
      </c>
      <c r="G22" s="1148" t="str">
        <f>E22</f>
        <v>较大</v>
      </c>
      <c r="H22" s="1148">
        <f>F22</f>
        <v>97</v>
      </c>
      <c r="I22" s="1148" t="str">
        <f>G22</f>
        <v>较大</v>
      </c>
      <c r="J22" s="1148">
        <f>F22</f>
        <v>97</v>
      </c>
      <c r="K22" s="1150" t="s">
        <v>1391</v>
      </c>
      <c r="L22" s="1151">
        <v>0.05</v>
      </c>
      <c r="M22" s="1152"/>
      <c r="N22" s="1370"/>
      <c r="O22" s="1153" t="str">
        <f t="shared" ref="O22:O35" si="10">B22</f>
        <v>项目建筑规模</v>
      </c>
      <c r="P22" s="1154" t="s">
        <v>210</v>
      </c>
      <c r="Q22" s="1155">
        <f t="shared" si="0"/>
        <v>97</v>
      </c>
      <c r="R22" s="1154" t="s">
        <v>210</v>
      </c>
      <c r="S22" s="1155">
        <f t="shared" si="1"/>
        <v>97</v>
      </c>
      <c r="T22" s="1154" t="s">
        <v>210</v>
      </c>
      <c r="U22" s="1155">
        <f t="shared" si="2"/>
        <v>97</v>
      </c>
      <c r="V22" s="1156"/>
      <c r="W22" s="1157"/>
      <c r="X22" s="1158"/>
      <c r="Y22" s="1159">
        <f t="shared" si="3"/>
        <v>1.0309278350515463</v>
      </c>
      <c r="Z22" s="1159">
        <f t="shared" si="4"/>
        <v>1.0309278350515463</v>
      </c>
      <c r="AA22" s="1159">
        <f t="shared" si="5"/>
        <v>1.0309278350515463</v>
      </c>
    </row>
    <row r="23" spans="1:27">
      <c r="A23" s="1369"/>
      <c r="B23" s="1098" t="s">
        <v>1393</v>
      </c>
      <c r="C23" s="1103" t="s">
        <v>1447</v>
      </c>
      <c r="D23" s="1087">
        <v>100</v>
      </c>
      <c r="E23" s="1116" t="str">
        <f>C23</f>
        <v>钢混</v>
      </c>
      <c r="F23" s="1116">
        <v>100</v>
      </c>
      <c r="G23" s="1116" t="str">
        <f>E23</f>
        <v>钢混</v>
      </c>
      <c r="H23" s="1116">
        <v>100</v>
      </c>
      <c r="I23" s="1116" t="str">
        <f t="shared" ref="I23:I29" si="11">E23</f>
        <v>钢混</v>
      </c>
      <c r="J23" s="1116">
        <v>100</v>
      </c>
      <c r="K23" s="1088" t="s">
        <v>1394</v>
      </c>
      <c r="L23" s="1089">
        <v>0.05</v>
      </c>
      <c r="M23" s="1084"/>
      <c r="N23" s="1370"/>
      <c r="O23" s="1096" t="str">
        <f t="shared" si="10"/>
        <v>建筑结构</v>
      </c>
      <c r="P23" s="1090" t="s">
        <v>210</v>
      </c>
      <c r="Q23" s="1091">
        <f t="shared" si="0"/>
        <v>100</v>
      </c>
      <c r="R23" s="1090" t="s">
        <v>210</v>
      </c>
      <c r="S23" s="1091">
        <f t="shared" si="1"/>
        <v>100</v>
      </c>
      <c r="T23" s="1090" t="s">
        <v>210</v>
      </c>
      <c r="U23" s="1091">
        <f t="shared" si="2"/>
        <v>100</v>
      </c>
      <c r="V23" s="1085"/>
      <c r="W23" s="1102"/>
      <c r="X23" s="1101"/>
      <c r="Y23" s="1092">
        <f t="shared" si="3"/>
        <v>1</v>
      </c>
      <c r="Z23" s="1092">
        <f t="shared" si="4"/>
        <v>1</v>
      </c>
      <c r="AA23" s="1092">
        <f t="shared" si="5"/>
        <v>1</v>
      </c>
    </row>
    <row r="24" spans="1:27">
      <c r="A24" s="1369"/>
      <c r="B24" s="1100" t="s">
        <v>1086</v>
      </c>
      <c r="C24" s="1104" t="s">
        <v>1448</v>
      </c>
      <c r="D24" s="1087">
        <v>100</v>
      </c>
      <c r="E24" s="1116" t="str">
        <f>C24</f>
        <v>精装</v>
      </c>
      <c r="F24" s="1116">
        <v>100</v>
      </c>
      <c r="G24" s="1116" t="str">
        <f>E24</f>
        <v>精装</v>
      </c>
      <c r="H24" s="1116">
        <v>100</v>
      </c>
      <c r="I24" s="1116" t="str">
        <f t="shared" si="11"/>
        <v>精装</v>
      </c>
      <c r="J24" s="1116">
        <v>100</v>
      </c>
      <c r="K24" s="1088" t="s">
        <v>1395</v>
      </c>
      <c r="L24" s="1089">
        <v>0.05</v>
      </c>
      <c r="M24" s="1084"/>
      <c r="N24" s="1370"/>
      <c r="O24" s="1096" t="str">
        <f t="shared" si="10"/>
        <v>公共部分装修</v>
      </c>
      <c r="P24" s="1090" t="s">
        <v>210</v>
      </c>
      <c r="Q24" s="1091">
        <f t="shared" si="0"/>
        <v>100</v>
      </c>
      <c r="R24" s="1090" t="s">
        <v>210</v>
      </c>
      <c r="S24" s="1091">
        <f t="shared" si="1"/>
        <v>100</v>
      </c>
      <c r="T24" s="1090" t="s">
        <v>210</v>
      </c>
      <c r="U24" s="1091">
        <f t="shared" si="2"/>
        <v>100</v>
      </c>
      <c r="V24" s="1085"/>
      <c r="W24" s="1102"/>
      <c r="X24" s="1101"/>
      <c r="Y24" s="1092">
        <f>D24/F24</f>
        <v>1</v>
      </c>
      <c r="Z24" s="1092">
        <f>D24/H24</f>
        <v>1</v>
      </c>
      <c r="AA24" s="1092">
        <f>D24/J24</f>
        <v>1</v>
      </c>
    </row>
    <row r="25" spans="1:27" s="1160" customFormat="1" ht="52.5">
      <c r="A25" s="1369"/>
      <c r="B25" s="1145" t="s">
        <v>1396</v>
      </c>
      <c r="C25" s="1146" t="s">
        <v>1561</v>
      </c>
      <c r="D25" s="1147">
        <v>100</v>
      </c>
      <c r="E25" s="1148" t="s">
        <v>1464</v>
      </c>
      <c r="F25" s="1148">
        <v>100</v>
      </c>
      <c r="G25" s="1148" t="s">
        <v>1457</v>
      </c>
      <c r="H25" s="1148">
        <v>103</v>
      </c>
      <c r="I25" s="1148" t="str">
        <f t="shared" si="11"/>
        <v>80-85</v>
      </c>
      <c r="J25" s="1148">
        <v>100</v>
      </c>
      <c r="K25" s="1150" t="s">
        <v>1397</v>
      </c>
      <c r="L25" s="1163">
        <v>0.01</v>
      </c>
      <c r="M25" s="1152"/>
      <c r="N25" s="1370"/>
      <c r="O25" s="1153" t="str">
        <f t="shared" si="10"/>
        <v>成新率</v>
      </c>
      <c r="P25" s="1154" t="s">
        <v>1372</v>
      </c>
      <c r="Q25" s="1155">
        <f t="shared" si="0"/>
        <v>100</v>
      </c>
      <c r="R25" s="1154" t="s">
        <v>1372</v>
      </c>
      <c r="S25" s="1155">
        <f t="shared" si="1"/>
        <v>103</v>
      </c>
      <c r="T25" s="1154" t="s">
        <v>1372</v>
      </c>
      <c r="U25" s="1155">
        <f t="shared" si="2"/>
        <v>100</v>
      </c>
      <c r="V25" s="1156"/>
      <c r="W25" s="1157"/>
      <c r="X25" s="1158" t="str">
        <f>O25</f>
        <v>成新率</v>
      </c>
      <c r="Y25" s="1159">
        <f>D25/F25</f>
        <v>1</v>
      </c>
      <c r="Z25" s="1159">
        <f>D25/H25</f>
        <v>0.970873786407767</v>
      </c>
      <c r="AA25" s="1159">
        <f>D25/J25</f>
        <v>1</v>
      </c>
    </row>
    <row r="26" spans="1:27" s="1160" customFormat="1">
      <c r="A26" s="1369"/>
      <c r="B26" s="1145" t="s">
        <v>1398</v>
      </c>
      <c r="C26" s="1164" t="s">
        <v>1448</v>
      </c>
      <c r="D26" s="1147">
        <v>100</v>
      </c>
      <c r="E26" s="1148" t="str">
        <f>C26</f>
        <v>精装</v>
      </c>
      <c r="F26" s="1148">
        <v>100</v>
      </c>
      <c r="G26" s="1148" t="s">
        <v>1456</v>
      </c>
      <c r="H26" s="1148">
        <v>97</v>
      </c>
      <c r="I26" s="1148" t="str">
        <f t="shared" si="11"/>
        <v>精装</v>
      </c>
      <c r="J26" s="1148">
        <v>100</v>
      </c>
      <c r="K26" s="1150" t="s">
        <v>1399</v>
      </c>
      <c r="L26" s="1151">
        <v>0.05</v>
      </c>
      <c r="M26" s="1152"/>
      <c r="N26" s="1370"/>
      <c r="O26" s="1153" t="str">
        <f t="shared" si="10"/>
        <v>内部装修</v>
      </c>
      <c r="P26" s="1154" t="s">
        <v>210</v>
      </c>
      <c r="Q26" s="1155">
        <f t="shared" si="0"/>
        <v>100</v>
      </c>
      <c r="R26" s="1154" t="s">
        <v>210</v>
      </c>
      <c r="S26" s="1155">
        <f t="shared" si="1"/>
        <v>97</v>
      </c>
      <c r="T26" s="1154" t="s">
        <v>210</v>
      </c>
      <c r="U26" s="1155">
        <f t="shared" si="2"/>
        <v>100</v>
      </c>
      <c r="V26" s="1156"/>
      <c r="W26" s="1157"/>
      <c r="X26" s="1158"/>
      <c r="Y26" s="1159">
        <f t="shared" si="3"/>
        <v>1</v>
      </c>
      <c r="Z26" s="1159">
        <f t="shared" si="4"/>
        <v>1.0309278350515463</v>
      </c>
      <c r="AA26" s="1159">
        <f t="shared" si="5"/>
        <v>1</v>
      </c>
    </row>
    <row r="27" spans="1:27">
      <c r="A27" s="1369"/>
      <c r="B27" s="1098" t="s">
        <v>1400</v>
      </c>
      <c r="C27" s="1099" t="s">
        <v>1449</v>
      </c>
      <c r="D27" s="1087">
        <v>100</v>
      </c>
      <c r="E27" s="1086" t="str">
        <f>C27</f>
        <v>六通</v>
      </c>
      <c r="F27" s="1116">
        <v>100</v>
      </c>
      <c r="G27" s="1086" t="str">
        <f>E27</f>
        <v>六通</v>
      </c>
      <c r="H27" s="1116">
        <v>100</v>
      </c>
      <c r="I27" s="1086" t="str">
        <f t="shared" si="11"/>
        <v>六通</v>
      </c>
      <c r="J27" s="1116">
        <v>100</v>
      </c>
      <c r="K27" s="1088" t="s">
        <v>1401</v>
      </c>
      <c r="L27" s="1089">
        <v>0.05</v>
      </c>
      <c r="M27" s="1084"/>
      <c r="N27" s="1370"/>
      <c r="O27" s="1096" t="str">
        <f t="shared" si="10"/>
        <v>基础设施水平</v>
      </c>
      <c r="P27" s="1090" t="s">
        <v>1372</v>
      </c>
      <c r="Q27" s="1091">
        <f t="shared" si="0"/>
        <v>100</v>
      </c>
      <c r="R27" s="1090" t="s">
        <v>1372</v>
      </c>
      <c r="S27" s="1091">
        <f t="shared" si="1"/>
        <v>100</v>
      </c>
      <c r="T27" s="1090" t="s">
        <v>1372</v>
      </c>
      <c r="U27" s="1091">
        <f t="shared" si="2"/>
        <v>100</v>
      </c>
      <c r="V27" s="1085"/>
      <c r="W27" s="1102"/>
      <c r="X27" s="1101" t="str">
        <f t="shared" ref="X27:X35" si="12">O27</f>
        <v>基础设施水平</v>
      </c>
      <c r="Y27" s="1092">
        <f>D27/F27</f>
        <v>1</v>
      </c>
      <c r="Z27" s="1092">
        <f>D27/H27</f>
        <v>1</v>
      </c>
      <c r="AA27" s="1092">
        <f>D27/J27</f>
        <v>1</v>
      </c>
    </row>
    <row r="28" spans="1:27">
      <c r="A28" s="1369"/>
      <c r="B28" s="1100" t="s">
        <v>1087</v>
      </c>
      <c r="C28" s="1099" t="s">
        <v>1450</v>
      </c>
      <c r="D28" s="1087">
        <v>100</v>
      </c>
      <c r="E28" s="1086" t="str">
        <f>C28</f>
        <v>可餐饮</v>
      </c>
      <c r="F28" s="1116">
        <v>100</v>
      </c>
      <c r="G28" s="1086" t="str">
        <f>E28</f>
        <v>可餐饮</v>
      </c>
      <c r="H28" s="1116">
        <v>100</v>
      </c>
      <c r="I28" s="1086" t="str">
        <f t="shared" si="11"/>
        <v>可餐饮</v>
      </c>
      <c r="J28" s="1116">
        <v>100</v>
      </c>
      <c r="K28" s="1088" t="s">
        <v>1402</v>
      </c>
      <c r="L28" s="1089">
        <v>0.05</v>
      </c>
      <c r="M28" s="1084"/>
      <c r="N28" s="1370"/>
      <c r="O28" s="1096" t="str">
        <f t="shared" si="10"/>
        <v>业态</v>
      </c>
      <c r="P28" s="1090" t="s">
        <v>1373</v>
      </c>
      <c r="Q28" s="1091">
        <f t="shared" si="0"/>
        <v>100</v>
      </c>
      <c r="R28" s="1090" t="s">
        <v>1373</v>
      </c>
      <c r="S28" s="1091">
        <f t="shared" si="1"/>
        <v>100</v>
      </c>
      <c r="T28" s="1090" t="s">
        <v>1373</v>
      </c>
      <c r="U28" s="1091">
        <f t="shared" si="2"/>
        <v>100</v>
      </c>
      <c r="V28" s="1085"/>
      <c r="W28" s="1102"/>
      <c r="X28" s="1101" t="str">
        <f t="shared" si="12"/>
        <v>业态</v>
      </c>
      <c r="Y28" s="1092">
        <f>D28/F28</f>
        <v>1</v>
      </c>
      <c r="Z28" s="1092">
        <f>D28/H28</f>
        <v>1</v>
      </c>
      <c r="AA28" s="1092">
        <f>D28/J28</f>
        <v>1</v>
      </c>
    </row>
    <row r="29" spans="1:27" s="1160" customFormat="1" ht="21" customHeight="1">
      <c r="A29" s="1369"/>
      <c r="B29" s="1145" t="s">
        <v>1088</v>
      </c>
      <c r="C29" s="1164" t="s">
        <v>1552</v>
      </c>
      <c r="D29" s="1147">
        <v>100</v>
      </c>
      <c r="E29" s="1148" t="s">
        <v>1553</v>
      </c>
      <c r="F29" s="1148">
        <v>98</v>
      </c>
      <c r="G29" s="1148" t="str">
        <f>E29</f>
        <v>标准</v>
      </c>
      <c r="H29" s="1148">
        <f>F29</f>
        <v>98</v>
      </c>
      <c r="I29" s="1148" t="str">
        <f t="shared" si="11"/>
        <v>标准</v>
      </c>
      <c r="J29" s="1148">
        <f>H29</f>
        <v>98</v>
      </c>
      <c r="K29" s="1150" t="s">
        <v>1403</v>
      </c>
      <c r="L29" s="1151">
        <v>0.05</v>
      </c>
      <c r="M29" s="1152"/>
      <c r="N29" s="1370"/>
      <c r="O29" s="1153" t="str">
        <f t="shared" si="10"/>
        <v>层高</v>
      </c>
      <c r="P29" s="1154" t="s">
        <v>1373</v>
      </c>
      <c r="Q29" s="1155">
        <f t="shared" si="0"/>
        <v>98</v>
      </c>
      <c r="R29" s="1154" t="s">
        <v>1373</v>
      </c>
      <c r="S29" s="1155">
        <f t="shared" si="1"/>
        <v>98</v>
      </c>
      <c r="T29" s="1154" t="s">
        <v>1373</v>
      </c>
      <c r="U29" s="1155">
        <f t="shared" si="2"/>
        <v>98</v>
      </c>
      <c r="V29" s="1156"/>
      <c r="W29" s="1371" t="s">
        <v>1404</v>
      </c>
      <c r="X29" s="1158" t="str">
        <f t="shared" si="12"/>
        <v>层高</v>
      </c>
      <c r="Y29" s="1159">
        <f t="shared" si="3"/>
        <v>1.0204081632653061</v>
      </c>
      <c r="Z29" s="1159">
        <f t="shared" si="4"/>
        <v>1.0204081632653061</v>
      </c>
      <c r="AA29" s="1159">
        <f t="shared" si="5"/>
        <v>1.0204081632653061</v>
      </c>
    </row>
    <row r="30" spans="1:27" ht="21">
      <c r="A30" s="1369"/>
      <c r="B30" s="1098" t="s">
        <v>1405</v>
      </c>
      <c r="C30" s="1174">
        <f>E51</f>
        <v>7229.5</v>
      </c>
      <c r="D30" s="1087">
        <v>100</v>
      </c>
      <c r="E30" s="1116">
        <v>23.25</v>
      </c>
      <c r="F30" s="1116">
        <v>108</v>
      </c>
      <c r="G30" s="1116">
        <v>21.8</v>
      </c>
      <c r="H30" s="1116">
        <f>F30</f>
        <v>108</v>
      </c>
      <c r="I30" s="1116">
        <v>12</v>
      </c>
      <c r="J30" s="1116">
        <f>H30</f>
        <v>108</v>
      </c>
      <c r="K30" s="1088"/>
      <c r="L30" s="1089">
        <v>0.05</v>
      </c>
      <c r="M30" s="1084"/>
      <c r="N30" s="1370"/>
      <c r="O30" s="1096" t="str">
        <f t="shared" si="10"/>
        <v>单套建筑面积（平方米）</v>
      </c>
      <c r="P30" s="1090" t="s">
        <v>1373</v>
      </c>
      <c r="Q30" s="1091">
        <f t="shared" si="0"/>
        <v>108</v>
      </c>
      <c r="R30" s="1090" t="s">
        <v>1373</v>
      </c>
      <c r="S30" s="1091">
        <f t="shared" si="1"/>
        <v>108</v>
      </c>
      <c r="T30" s="1090" t="s">
        <v>1373</v>
      </c>
      <c r="U30" s="1091">
        <f t="shared" si="2"/>
        <v>108</v>
      </c>
      <c r="V30" s="1085"/>
      <c r="W30" s="1371"/>
      <c r="X30" s="1101" t="str">
        <f t="shared" si="12"/>
        <v>单套建筑面积（平方米）</v>
      </c>
      <c r="Y30" s="1092">
        <f t="shared" si="3"/>
        <v>0.92592592592592593</v>
      </c>
      <c r="Z30" s="1092">
        <f t="shared" si="4"/>
        <v>0.92592592592592593</v>
      </c>
      <c r="AA30" s="1092">
        <f t="shared" si="5"/>
        <v>0.92592592592592593</v>
      </c>
    </row>
    <row r="31" spans="1:27">
      <c r="A31" s="1369"/>
      <c r="B31" s="1105" t="s">
        <v>1406</v>
      </c>
      <c r="C31" s="1099" t="s">
        <v>1451</v>
      </c>
      <c r="D31" s="1087">
        <v>100</v>
      </c>
      <c r="E31" s="1086" t="str">
        <f>C31</f>
        <v>较好</v>
      </c>
      <c r="F31" s="1116">
        <v>100</v>
      </c>
      <c r="G31" s="1086" t="str">
        <f>E31</f>
        <v>较好</v>
      </c>
      <c r="H31" s="1116">
        <v>100</v>
      </c>
      <c r="I31" s="1086" t="str">
        <f>G31</f>
        <v>较好</v>
      </c>
      <c r="J31" s="1116">
        <v>100</v>
      </c>
      <c r="K31" s="1088"/>
      <c r="L31" s="1089">
        <v>0.05</v>
      </c>
      <c r="M31" s="1084"/>
      <c r="N31" s="1370"/>
      <c r="O31" s="1096" t="str">
        <f t="shared" si="10"/>
        <v>进深比</v>
      </c>
      <c r="P31" s="1090" t="s">
        <v>1373</v>
      </c>
      <c r="Q31" s="1091">
        <f t="shared" si="0"/>
        <v>100</v>
      </c>
      <c r="R31" s="1090" t="s">
        <v>1373</v>
      </c>
      <c r="S31" s="1091">
        <f t="shared" si="1"/>
        <v>100</v>
      </c>
      <c r="T31" s="1090" t="s">
        <v>1373</v>
      </c>
      <c r="U31" s="1091">
        <f t="shared" si="2"/>
        <v>100</v>
      </c>
      <c r="V31" s="1085"/>
      <c r="W31" s="1371"/>
      <c r="X31" s="1101" t="str">
        <f t="shared" si="12"/>
        <v>进深比</v>
      </c>
      <c r="Y31" s="1092">
        <f t="shared" si="3"/>
        <v>1</v>
      </c>
      <c r="Z31" s="1092">
        <f t="shared" si="4"/>
        <v>1</v>
      </c>
      <c r="AA31" s="1092">
        <f t="shared" si="5"/>
        <v>1</v>
      </c>
    </row>
    <row r="32" spans="1:27">
      <c r="A32" s="1369"/>
      <c r="B32" s="1100" t="s">
        <v>1407</v>
      </c>
      <c r="C32" s="1099" t="s">
        <v>1441</v>
      </c>
      <c r="D32" s="1087">
        <v>100</v>
      </c>
      <c r="E32" s="1086" t="str">
        <f>C32</f>
        <v>好</v>
      </c>
      <c r="F32" s="1116">
        <v>100</v>
      </c>
      <c r="G32" s="1086" t="str">
        <f>E32</f>
        <v>好</v>
      </c>
      <c r="H32" s="1116">
        <v>100</v>
      </c>
      <c r="I32" s="1086" t="str">
        <f>G32</f>
        <v>好</v>
      </c>
      <c r="J32" s="1116">
        <v>100</v>
      </c>
      <c r="K32" s="1088"/>
      <c r="L32" s="1089">
        <v>0.05</v>
      </c>
      <c r="M32" s="1084"/>
      <c r="N32" s="1370"/>
      <c r="O32" s="1096" t="str">
        <f>B32</f>
        <v>内部装修维护情况</v>
      </c>
      <c r="P32" s="1090" t="s">
        <v>1372</v>
      </c>
      <c r="Q32" s="1091">
        <f t="shared" si="0"/>
        <v>100</v>
      </c>
      <c r="R32" s="1090" t="s">
        <v>1372</v>
      </c>
      <c r="S32" s="1091">
        <f t="shared" si="1"/>
        <v>100</v>
      </c>
      <c r="T32" s="1090" t="s">
        <v>1372</v>
      </c>
      <c r="U32" s="1091">
        <f t="shared" si="2"/>
        <v>100</v>
      </c>
      <c r="V32" s="1085"/>
      <c r="W32" s="1371"/>
      <c r="X32" s="1101" t="str">
        <f t="shared" si="12"/>
        <v>内部装修维护情况</v>
      </c>
      <c r="Y32" s="1092">
        <f t="shared" si="3"/>
        <v>1</v>
      </c>
      <c r="Z32" s="1092">
        <f t="shared" si="4"/>
        <v>1</v>
      </c>
      <c r="AA32" s="1092">
        <f t="shared" si="5"/>
        <v>1</v>
      </c>
    </row>
    <row r="33" spans="1:27">
      <c r="A33" s="1369"/>
      <c r="B33" s="1100"/>
      <c r="C33" s="1100"/>
      <c r="D33" s="1087">
        <v>100</v>
      </c>
      <c r="E33" s="1116"/>
      <c r="F33" s="1116">
        <v>100</v>
      </c>
      <c r="G33" s="1116"/>
      <c r="H33" s="1116">
        <v>100</v>
      </c>
      <c r="I33" s="1116"/>
      <c r="J33" s="1116">
        <v>100</v>
      </c>
      <c r="K33" s="1088"/>
      <c r="L33" s="1089">
        <v>0.05</v>
      </c>
      <c r="M33" s="1084"/>
      <c r="N33" s="1370"/>
      <c r="O33" s="1096"/>
      <c r="P33" s="1090" t="s">
        <v>1372</v>
      </c>
      <c r="Q33" s="1091">
        <f t="shared" si="0"/>
        <v>100</v>
      </c>
      <c r="R33" s="1090" t="s">
        <v>1372</v>
      </c>
      <c r="S33" s="1091">
        <f t="shared" si="1"/>
        <v>100</v>
      </c>
      <c r="T33" s="1090" t="s">
        <v>1372</v>
      </c>
      <c r="U33" s="1091">
        <f t="shared" si="2"/>
        <v>100</v>
      </c>
      <c r="V33" s="1085"/>
      <c r="W33" s="1371"/>
      <c r="X33" s="1101">
        <f t="shared" si="12"/>
        <v>0</v>
      </c>
      <c r="Y33" s="1092">
        <f t="shared" si="3"/>
        <v>1</v>
      </c>
      <c r="Z33" s="1092">
        <f t="shared" si="4"/>
        <v>1</v>
      </c>
      <c r="AA33" s="1092">
        <f t="shared" si="5"/>
        <v>1</v>
      </c>
    </row>
    <row r="34" spans="1:27" ht="21">
      <c r="A34" s="1370"/>
      <c r="B34" s="1093" t="s">
        <v>1388</v>
      </c>
      <c r="C34" s="1086"/>
      <c r="D34" s="1087">
        <v>100</v>
      </c>
      <c r="E34" s="1116"/>
      <c r="F34" s="1116">
        <v>100</v>
      </c>
      <c r="G34" s="1116"/>
      <c r="H34" s="1116">
        <v>100</v>
      </c>
      <c r="I34" s="1116"/>
      <c r="J34" s="1116">
        <v>100</v>
      </c>
      <c r="K34" s="1088"/>
      <c r="L34" s="1089">
        <v>0.05</v>
      </c>
      <c r="M34" s="1084"/>
      <c r="N34" s="1370"/>
      <c r="O34" s="1096" t="str">
        <f t="shared" si="10"/>
        <v>特殊因素（需详细注明）</v>
      </c>
      <c r="P34" s="1090" t="s">
        <v>1372</v>
      </c>
      <c r="Q34" s="1091">
        <f t="shared" si="0"/>
        <v>100</v>
      </c>
      <c r="R34" s="1090" t="s">
        <v>1372</v>
      </c>
      <c r="S34" s="1091">
        <f t="shared" si="1"/>
        <v>100</v>
      </c>
      <c r="T34" s="1090" t="s">
        <v>1372</v>
      </c>
      <c r="U34" s="1091">
        <f t="shared" si="2"/>
        <v>100</v>
      </c>
      <c r="V34" s="1085"/>
      <c r="W34" s="1371"/>
      <c r="X34" s="1101" t="str">
        <f t="shared" si="12"/>
        <v>特殊因素（需详细注明）</v>
      </c>
      <c r="Y34" s="1092">
        <f t="shared" si="3"/>
        <v>1</v>
      </c>
      <c r="Z34" s="1092">
        <f t="shared" si="4"/>
        <v>1</v>
      </c>
      <c r="AA34" s="1092">
        <f t="shared" si="5"/>
        <v>1</v>
      </c>
    </row>
    <row r="35" spans="1:27">
      <c r="A35" s="1370"/>
      <c r="B35" s="1094"/>
      <c r="C35" s="1086"/>
      <c r="D35" s="1087">
        <v>100</v>
      </c>
      <c r="E35" s="1116"/>
      <c r="F35" s="1116">
        <v>100</v>
      </c>
      <c r="G35" s="1116"/>
      <c r="H35" s="1116">
        <v>100</v>
      </c>
      <c r="I35" s="1116"/>
      <c r="J35" s="1116">
        <v>100</v>
      </c>
      <c r="K35" s="1088"/>
      <c r="L35" s="1089">
        <v>0.05</v>
      </c>
      <c r="M35" s="1084"/>
      <c r="N35" s="1370"/>
      <c r="O35" s="1096">
        <f t="shared" si="10"/>
        <v>0</v>
      </c>
      <c r="P35" s="1090" t="s">
        <v>1372</v>
      </c>
      <c r="Q35" s="1091">
        <f t="shared" si="0"/>
        <v>100</v>
      </c>
      <c r="R35" s="1090" t="s">
        <v>1372</v>
      </c>
      <c r="S35" s="1091">
        <f t="shared" si="1"/>
        <v>100</v>
      </c>
      <c r="T35" s="1090" t="s">
        <v>1372</v>
      </c>
      <c r="U35" s="1091">
        <f t="shared" si="2"/>
        <v>100</v>
      </c>
      <c r="V35" s="1085"/>
      <c r="W35" s="1371"/>
      <c r="X35" s="1101">
        <f t="shared" si="12"/>
        <v>0</v>
      </c>
      <c r="Y35" s="1092">
        <f t="shared" si="3"/>
        <v>1</v>
      </c>
      <c r="Z35" s="1092">
        <f t="shared" si="4"/>
        <v>1</v>
      </c>
      <c r="AA35" s="1092">
        <f t="shared" si="5"/>
        <v>1</v>
      </c>
    </row>
    <row r="36" spans="1:27">
      <c r="A36" s="1349" t="s">
        <v>1408</v>
      </c>
      <c r="B36" s="1349"/>
      <c r="C36" s="1349" t="s">
        <v>1409</v>
      </c>
      <c r="D36" s="1349"/>
      <c r="E36" s="1375">
        <f>C41</f>
        <v>61750</v>
      </c>
      <c r="F36" s="1375"/>
      <c r="G36" s="1375">
        <f>D41</f>
        <v>61290</v>
      </c>
      <c r="H36" s="1375"/>
      <c r="I36" s="1375">
        <f>E41</f>
        <v>59850</v>
      </c>
      <c r="J36" s="1375"/>
      <c r="K36" s="1376" t="s">
        <v>1410</v>
      </c>
      <c r="L36" s="1376"/>
      <c r="N36" s="1372" t="str">
        <f>A36</f>
        <v>成交单价（元/平方米）</v>
      </c>
      <c r="O36" s="1373"/>
      <c r="P36" s="1360">
        <f>E36</f>
        <v>61750</v>
      </c>
      <c r="Q36" s="1360"/>
      <c r="R36" s="1360">
        <f>G36</f>
        <v>61290</v>
      </c>
      <c r="S36" s="1360"/>
      <c r="T36" s="1360">
        <f>I36</f>
        <v>59850</v>
      </c>
      <c r="U36" s="1360"/>
    </row>
    <row r="37" spans="1:27" ht="12" customHeight="1">
      <c r="A37" s="1349" t="s">
        <v>1411</v>
      </c>
      <c r="B37" s="1349"/>
      <c r="C37" s="1374">
        <f>P38</f>
        <v>65345</v>
      </c>
      <c r="D37" s="1349"/>
      <c r="E37" s="1374">
        <f>P37</f>
        <v>65264</v>
      </c>
      <c r="F37" s="1349"/>
      <c r="G37" s="1374">
        <f>R37</f>
        <v>67516</v>
      </c>
      <c r="H37" s="1349"/>
      <c r="I37" s="1374">
        <f>T37</f>
        <v>63256</v>
      </c>
      <c r="J37" s="1349"/>
      <c r="K37" s="1376"/>
      <c r="L37" s="1376"/>
      <c r="N37" s="1372" t="str">
        <f>A37</f>
        <v>比较价值（元/平方米）</v>
      </c>
      <c r="O37" s="1373"/>
      <c r="P37" s="1377">
        <f>ROUND(PRODUCT(P36,Y5:Y35),0)</f>
        <v>65264</v>
      </c>
      <c r="Q37" s="1377"/>
      <c r="R37" s="1377">
        <f>ROUND(PRODUCT(R36,Z5:Z35),0)</f>
        <v>67516</v>
      </c>
      <c r="S37" s="1377"/>
      <c r="T37" s="1377">
        <f>ROUND(PRODUCT(T36,AA5:AA35),0)</f>
        <v>63256</v>
      </c>
      <c r="U37" s="1377"/>
    </row>
    <row r="38" spans="1:27" ht="31.5" customHeight="1">
      <c r="A38" s="1378" t="s">
        <v>1412</v>
      </c>
      <c r="B38" s="1378"/>
      <c r="C38" s="1379">
        <f>P38</f>
        <v>65345</v>
      </c>
      <c r="D38" s="1380"/>
      <c r="E38" s="1380"/>
      <c r="F38" s="1380"/>
      <c r="G38" s="1380"/>
      <c r="H38" s="1380"/>
      <c r="I38" s="1380"/>
      <c r="J38" s="1381"/>
      <c r="K38" s="1376"/>
      <c r="L38" s="1376"/>
      <c r="N38" s="1372" t="str">
        <f>A38</f>
        <v>估价对象商业用房的比较价值（楼面单价，元/平方米）</v>
      </c>
      <c r="O38" s="1373"/>
      <c r="P38" s="1382">
        <f>ROUND(AVERAGE(P37:T37),0)</f>
        <v>65345</v>
      </c>
      <c r="Q38" s="1382"/>
      <c r="R38" s="1382"/>
      <c r="S38" s="1382"/>
      <c r="T38" s="1382"/>
      <c r="U38" s="1382"/>
    </row>
    <row r="39" spans="1:27" ht="12" customHeight="1">
      <c r="B39" s="1106"/>
      <c r="C39" s="1106"/>
      <c r="D39" s="1106"/>
      <c r="E39" s="1106"/>
      <c r="F39" s="1106"/>
      <c r="G39" s="1107"/>
      <c r="H39" s="1106"/>
      <c r="K39" s="1106"/>
      <c r="L39" s="1106"/>
      <c r="N39" s="1383" t="s">
        <v>1413</v>
      </c>
      <c r="O39" s="1383"/>
      <c r="P39" s="1384">
        <f>(P37-P36)/P36</f>
        <v>5.6906882591093118E-2</v>
      </c>
      <c r="Q39" s="1384"/>
      <c r="R39" s="1384">
        <f>(R37-R36)/R36</f>
        <v>0.1015826399086311</v>
      </c>
      <c r="S39" s="1384"/>
      <c r="T39" s="1384">
        <f>(T37-T36)/T36</f>
        <v>5.6908939014202173E-2</v>
      </c>
      <c r="U39" s="1384"/>
    </row>
    <row r="40" spans="1:27">
      <c r="B40" s="1106">
        <v>0.95</v>
      </c>
      <c r="C40" s="1106">
        <v>65000</v>
      </c>
      <c r="D40" s="1106">
        <v>64516</v>
      </c>
      <c r="E40" s="1106">
        <v>63000</v>
      </c>
      <c r="F40" s="1106"/>
      <c r="G40" s="1098" t="s">
        <v>1465</v>
      </c>
      <c r="H40" s="1098"/>
      <c r="K40" s="1106"/>
      <c r="L40" s="1106"/>
      <c r="N40" s="1385" t="s">
        <v>1414</v>
      </c>
      <c r="O40" s="1386"/>
      <c r="P40" s="1384">
        <f>P37/R37-1</f>
        <v>-3.3355056579181253E-2</v>
      </c>
      <c r="Q40" s="1384"/>
      <c r="R40" s="1384">
        <f>R37/T37-1</f>
        <v>6.7345390160617136E-2</v>
      </c>
      <c r="S40" s="1384"/>
      <c r="T40" s="1384">
        <f>T37/P37-1</f>
        <v>-3.0767344937484675E-2</v>
      </c>
      <c r="U40" s="1384"/>
    </row>
    <row r="41" spans="1:27">
      <c r="B41" s="1106"/>
      <c r="C41" s="1106">
        <f>ROUND(C40*$B$40,0)</f>
        <v>61750</v>
      </c>
      <c r="D41" s="1106">
        <f>ROUND(D40*$B$40,0)</f>
        <v>61290</v>
      </c>
      <c r="E41" s="1106">
        <f>ROUND(E40*$B$40,0)</f>
        <v>59850</v>
      </c>
      <c r="F41" s="1106"/>
      <c r="G41" s="1098" t="s">
        <v>1538</v>
      </c>
      <c r="H41" s="1098">
        <v>0</v>
      </c>
      <c r="I41" s="1083" t="s">
        <v>1545</v>
      </c>
      <c r="J41" s="1083">
        <v>103</v>
      </c>
      <c r="K41" s="1106"/>
      <c r="L41" s="1106"/>
      <c r="N41" s="1385" t="s">
        <v>1415</v>
      </c>
      <c r="O41" s="1386"/>
      <c r="P41" s="1384">
        <f>P36/R36-1</f>
        <v>7.5053026594877892E-3</v>
      </c>
      <c r="Q41" s="1384"/>
      <c r="R41" s="1384">
        <f>R36/T36-1</f>
        <v>2.4060150375939893E-2</v>
      </c>
      <c r="S41" s="1384"/>
      <c r="T41" s="1384">
        <f>T36/P36-1</f>
        <v>-3.0769230769230771E-2</v>
      </c>
      <c r="U41" s="1384"/>
    </row>
    <row r="42" spans="1:27">
      <c r="B42" s="1106"/>
      <c r="C42" s="1106"/>
      <c r="D42" s="1106"/>
      <c r="E42" s="1106"/>
      <c r="F42" s="1106"/>
      <c r="G42" s="1098" t="s">
        <v>1539</v>
      </c>
      <c r="H42" s="1098">
        <v>0</v>
      </c>
      <c r="I42" s="1083" t="s">
        <v>1543</v>
      </c>
      <c r="J42" s="1083">
        <v>102</v>
      </c>
      <c r="K42" s="1106"/>
      <c r="L42" s="1106"/>
      <c r="N42" s="1108"/>
      <c r="O42" s="1108"/>
      <c r="P42" s="1387"/>
      <c r="Q42" s="1387"/>
      <c r="R42" s="1387"/>
      <c r="S42" s="1387"/>
      <c r="T42" s="1387"/>
      <c r="U42" s="1387"/>
    </row>
    <row r="43" spans="1:27" s="1109" customFormat="1">
      <c r="B43" s="1098" t="s">
        <v>1367</v>
      </c>
      <c r="C43" s="1106">
        <v>1</v>
      </c>
      <c r="D43" s="1106"/>
      <c r="E43" s="1110"/>
      <c r="F43" s="1110"/>
      <c r="G43" s="1098" t="s">
        <v>1466</v>
      </c>
      <c r="H43" s="1098">
        <v>0</v>
      </c>
      <c r="I43" s="1083" t="s">
        <v>1546</v>
      </c>
      <c r="J43" s="1083">
        <v>101</v>
      </c>
      <c r="K43" s="1106"/>
      <c r="L43" s="1106"/>
      <c r="S43" s="1111"/>
    </row>
    <row r="44" spans="1:27" s="1109" customFormat="1">
      <c r="B44" s="1098" t="s">
        <v>1460</v>
      </c>
      <c r="C44" s="1098">
        <v>103</v>
      </c>
      <c r="D44" s="1106"/>
      <c r="E44" s="1110"/>
      <c r="F44" s="1110"/>
      <c r="G44" s="1098" t="s">
        <v>1551</v>
      </c>
      <c r="H44" s="1098">
        <v>108</v>
      </c>
      <c r="I44" s="1083" t="s">
        <v>1547</v>
      </c>
      <c r="J44" s="1083">
        <v>100</v>
      </c>
      <c r="K44" s="1106"/>
      <c r="L44" s="1106"/>
      <c r="S44" s="1111"/>
    </row>
    <row r="45" spans="1:27" s="1109" customFormat="1">
      <c r="B45" s="1098" t="s">
        <v>1461</v>
      </c>
      <c r="C45" s="1098">
        <v>102</v>
      </c>
      <c r="D45" s="1112"/>
      <c r="E45" s="1112"/>
      <c r="F45" s="1112"/>
      <c r="G45" s="1098" t="s">
        <v>1467</v>
      </c>
      <c r="H45" s="1098">
        <v>107</v>
      </c>
      <c r="I45" s="1083" t="s">
        <v>1548</v>
      </c>
      <c r="J45" s="1083">
        <v>99</v>
      </c>
      <c r="S45" s="1111"/>
    </row>
    <row r="46" spans="1:27">
      <c r="B46" s="1098" t="s">
        <v>1462</v>
      </c>
      <c r="C46" s="1098">
        <v>101</v>
      </c>
      <c r="G46" s="1098" t="s">
        <v>1541</v>
      </c>
      <c r="H46" s="1098">
        <v>106</v>
      </c>
      <c r="I46" s="1083" t="s">
        <v>1549</v>
      </c>
      <c r="J46" s="1083">
        <v>98</v>
      </c>
    </row>
    <row r="47" spans="1:27">
      <c r="B47" s="1098" t="s">
        <v>1463</v>
      </c>
      <c r="C47" s="1098">
        <v>100</v>
      </c>
      <c r="G47" s="1098" t="s">
        <v>1542</v>
      </c>
      <c r="H47" s="1098">
        <v>105</v>
      </c>
    </row>
    <row r="48" spans="1:27">
      <c r="G48" s="1098" t="s">
        <v>1544</v>
      </c>
      <c r="H48" s="1098">
        <v>104</v>
      </c>
    </row>
    <row r="50" spans="1:12" ht="21.75" customHeight="1">
      <c r="A50" s="981" t="s">
        <v>69</v>
      </c>
      <c r="B50" s="981" t="s">
        <v>1058</v>
      </c>
      <c r="C50" s="981" t="s">
        <v>668</v>
      </c>
      <c r="D50" s="982" t="s">
        <v>1059</v>
      </c>
      <c r="E50" s="982" t="s">
        <v>1060</v>
      </c>
      <c r="F50" s="982" t="s">
        <v>1550</v>
      </c>
      <c r="G50" s="982" t="s">
        <v>1073</v>
      </c>
      <c r="H50" s="982" t="s">
        <v>1072</v>
      </c>
      <c r="I50" s="982" t="s">
        <v>1343</v>
      </c>
      <c r="J50" s="982" t="s">
        <v>1540</v>
      </c>
      <c r="K50" s="982" t="s">
        <v>1076</v>
      </c>
      <c r="L50" s="982" t="s">
        <v>1077</v>
      </c>
    </row>
    <row r="51" spans="1:12" ht="14.25">
      <c r="A51" s="988">
        <v>1</v>
      </c>
      <c r="B51" s="989" t="str">
        <f>面积!B16</f>
        <v>第1</v>
      </c>
      <c r="C51" s="989" t="str">
        <f>面积!C16</f>
        <v>第1</v>
      </c>
      <c r="D51" s="989">
        <f>面积!D16</f>
        <v>2</v>
      </c>
      <c r="E51" s="989">
        <f>面积!E16</f>
        <v>7229.5</v>
      </c>
      <c r="F51" s="989">
        <v>1</v>
      </c>
      <c r="G51" s="997"/>
      <c r="H51" s="1076">
        <v>1</v>
      </c>
      <c r="I51" s="1076">
        <v>1</v>
      </c>
      <c r="J51" s="1172">
        <v>1</v>
      </c>
      <c r="K51" s="988">
        <f>结果!H4</f>
        <v>68105</v>
      </c>
      <c r="L51" s="988">
        <f>结果!G4</f>
        <v>49237</v>
      </c>
    </row>
    <row r="52" spans="1:12" ht="22.5">
      <c r="A52" s="988">
        <v>2</v>
      </c>
      <c r="B52" s="989" t="str">
        <f>面积!B17</f>
        <v>第1</v>
      </c>
      <c r="C52" s="989" t="str">
        <f>面积!C17</f>
        <v>第2</v>
      </c>
      <c r="D52" s="989">
        <f>面积!D17</f>
        <v>2</v>
      </c>
      <c r="E52" s="989">
        <f>面积!E17</f>
        <v>6516.18</v>
      </c>
      <c r="F52" s="989">
        <v>1.01</v>
      </c>
      <c r="G52" s="989" t="s">
        <v>1468</v>
      </c>
      <c r="H52" s="1078">
        <v>0.7</v>
      </c>
      <c r="I52" s="1078">
        <v>0.98</v>
      </c>
      <c r="J52" s="1172">
        <v>0.98</v>
      </c>
      <c r="K52" s="988">
        <f>ROUND($K$51*H52*I52*J52*F52,0)</f>
        <v>46243</v>
      </c>
      <c r="L52" s="988">
        <f>ROUND(E52*K52/10000,0)</f>
        <v>30133</v>
      </c>
    </row>
    <row r="53" spans="1:12" ht="22.5">
      <c r="A53" s="988">
        <v>3</v>
      </c>
      <c r="B53" s="989" t="str">
        <f>面积!B18</f>
        <v>第1</v>
      </c>
      <c r="C53" s="989" t="str">
        <f>面积!C18</f>
        <v>第3</v>
      </c>
      <c r="D53" s="989">
        <f>面积!D18</f>
        <v>1</v>
      </c>
      <c r="E53" s="989">
        <f>面积!E18</f>
        <v>6950.5</v>
      </c>
      <c r="F53" s="989">
        <v>1.01</v>
      </c>
      <c r="G53" s="989" t="s">
        <v>1074</v>
      </c>
      <c r="H53" s="1078">
        <f>H52</f>
        <v>0.7</v>
      </c>
      <c r="I53" s="1078">
        <v>0.98</v>
      </c>
      <c r="J53" s="1172">
        <v>0.98</v>
      </c>
      <c r="K53" s="988">
        <f t="shared" ref="K53:K55" si="13">ROUND($K$51*H53*I53*J53*F53,0)</f>
        <v>46243</v>
      </c>
      <c r="L53" s="988">
        <f>ROUND(E53*K53/10000,0)</f>
        <v>32141</v>
      </c>
    </row>
    <row r="54" spans="1:12" ht="33.75">
      <c r="A54" s="988">
        <v>4</v>
      </c>
      <c r="B54" s="989" t="str">
        <f>面积!B19</f>
        <v>第1</v>
      </c>
      <c r="C54" s="989" t="str">
        <f>面积!C19</f>
        <v>第4</v>
      </c>
      <c r="D54" s="989">
        <f>面积!D19</f>
        <v>1</v>
      </c>
      <c r="E54" s="989">
        <f>面积!E19</f>
        <v>6949.11</v>
      </c>
      <c r="F54" s="989">
        <v>1.01</v>
      </c>
      <c r="G54" s="989" t="s">
        <v>1075</v>
      </c>
      <c r="H54" s="998">
        <f>H53</f>
        <v>0.7</v>
      </c>
      <c r="I54" s="998">
        <v>0.98</v>
      </c>
      <c r="J54" s="1172">
        <v>0.98</v>
      </c>
      <c r="K54" s="988">
        <f t="shared" si="13"/>
        <v>46243</v>
      </c>
      <c r="L54" s="988">
        <f>ROUND(E54*K54/10000,0)</f>
        <v>32135</v>
      </c>
    </row>
    <row r="55" spans="1:12" ht="14.25">
      <c r="A55" s="988">
        <v>5</v>
      </c>
      <c r="B55" s="989" t="str">
        <f>面积!B20</f>
        <v>第1</v>
      </c>
      <c r="C55" s="989" t="str">
        <f>面积!C20</f>
        <v>第5</v>
      </c>
      <c r="D55" s="989">
        <f>面积!D20</f>
        <v>1</v>
      </c>
      <c r="E55" s="989">
        <f>面积!E20</f>
        <v>7551.63</v>
      </c>
      <c r="F55" s="989">
        <v>1</v>
      </c>
      <c r="G55" s="892"/>
      <c r="H55" s="998">
        <v>0.6</v>
      </c>
      <c r="I55" s="998">
        <v>0.98</v>
      </c>
      <c r="J55" s="1172">
        <v>0.94</v>
      </c>
      <c r="K55" s="988">
        <f t="shared" si="13"/>
        <v>37643</v>
      </c>
      <c r="L55" s="988">
        <f>ROUND(E55*K55/10000,0)</f>
        <v>28427</v>
      </c>
    </row>
    <row r="56" spans="1:12" ht="14.25">
      <c r="A56" s="988">
        <v>6</v>
      </c>
      <c r="B56" s="989" t="str">
        <f>面积!B21</f>
        <v>第1</v>
      </c>
      <c r="C56" s="989" t="str">
        <f>面积!C21</f>
        <v>第6</v>
      </c>
      <c r="D56" s="989">
        <f>面积!D21</f>
        <v>1</v>
      </c>
      <c r="E56" s="989">
        <f>面积!E21</f>
        <v>5854.18</v>
      </c>
      <c r="F56" s="989">
        <v>1.02</v>
      </c>
      <c r="G56" s="892"/>
      <c r="H56" s="998">
        <v>0.55000000000000004</v>
      </c>
      <c r="I56" s="998">
        <v>0.98</v>
      </c>
      <c r="J56" s="1172">
        <v>0.94</v>
      </c>
      <c r="K56" s="988">
        <f>ROUND($K$51*H56*I56*J56*F56,0)</f>
        <v>35196</v>
      </c>
      <c r="L56" s="988">
        <f>ROUND(E56*K56/10000,0)</f>
        <v>20604</v>
      </c>
    </row>
    <row r="57" spans="1:12" ht="14.25">
      <c r="A57" s="982" t="s">
        <v>83</v>
      </c>
      <c r="B57" s="982"/>
      <c r="C57" s="982"/>
      <c r="D57" s="982"/>
      <c r="E57" s="993">
        <f>SUM(E51:E56)</f>
        <v>41051.1</v>
      </c>
      <c r="F57" s="989"/>
      <c r="G57" s="1078"/>
      <c r="H57" s="892"/>
      <c r="I57" s="892"/>
      <c r="J57" s="1172"/>
      <c r="K57" s="1171">
        <f>ROUND(L57*10000/E57,0)</f>
        <v>46936</v>
      </c>
      <c r="L57" s="988">
        <f>SUM(L51:L56)</f>
        <v>192677</v>
      </c>
    </row>
    <row r="58" spans="1:12" ht="13.5">
      <c r="G58" s="1119"/>
    </row>
    <row r="59" spans="1:12" ht="13.5">
      <c r="A59" s="1119"/>
      <c r="B59" s="1119"/>
      <c r="C59" s="1119"/>
      <c r="D59" s="1119"/>
      <c r="E59" s="1119"/>
      <c r="F59" s="1119"/>
      <c r="G59" s="1119"/>
    </row>
    <row r="61" spans="1:12">
      <c r="I61" s="1083" t="s">
        <v>1556</v>
      </c>
      <c r="J61" s="1083">
        <v>1</v>
      </c>
    </row>
    <row r="62" spans="1:12">
      <c r="I62" s="1083" t="s">
        <v>1557</v>
      </c>
      <c r="J62" s="1083">
        <v>98</v>
      </c>
    </row>
    <row r="63" spans="1:12">
      <c r="I63" s="1083" t="s">
        <v>1558</v>
      </c>
      <c r="J63" s="1083">
        <v>96</v>
      </c>
    </row>
    <row r="64" spans="1:12">
      <c r="I64" s="1083" t="s">
        <v>1559</v>
      </c>
      <c r="J64" s="1083">
        <v>94</v>
      </c>
    </row>
    <row r="73" spans="3:12" ht="94.5">
      <c r="C73" s="1094" t="s">
        <v>1416</v>
      </c>
      <c r="D73" s="1086"/>
      <c r="E73" s="1087">
        <v>100</v>
      </c>
      <c r="F73" s="1086"/>
      <c r="G73" s="1087">
        <v>100</v>
      </c>
      <c r="H73" s="1086"/>
      <c r="I73" s="1087">
        <v>100</v>
      </c>
      <c r="J73" s="1086"/>
      <c r="K73" s="1087">
        <v>100</v>
      </c>
      <c r="L73" s="1115" t="s">
        <v>1417</v>
      </c>
    </row>
    <row r="74" spans="3:12" ht="52.5">
      <c r="C74" s="1094" t="s">
        <v>1418</v>
      </c>
      <c r="D74" s="1086"/>
      <c r="E74" s="1087">
        <v>100</v>
      </c>
      <c r="F74" s="1086"/>
      <c r="G74" s="1087">
        <v>100</v>
      </c>
      <c r="H74" s="1086"/>
      <c r="I74" s="1087">
        <v>100</v>
      </c>
      <c r="J74" s="1086"/>
      <c r="K74" s="1087">
        <v>100</v>
      </c>
      <c r="L74" s="1115" t="s">
        <v>1419</v>
      </c>
    </row>
    <row r="75" spans="3:12" ht="31.5">
      <c r="C75" s="1094" t="s">
        <v>1420</v>
      </c>
      <c r="D75" s="1086"/>
      <c r="E75" s="1087">
        <v>100</v>
      </c>
      <c r="F75" s="1086"/>
      <c r="G75" s="1087">
        <v>100</v>
      </c>
      <c r="H75" s="1086"/>
      <c r="I75" s="1087">
        <v>100</v>
      </c>
      <c r="J75" s="1086"/>
      <c r="K75" s="1087">
        <v>100</v>
      </c>
      <c r="L75" s="1115" t="s">
        <v>1379</v>
      </c>
    </row>
    <row r="76" spans="3:12" ht="31.5">
      <c r="C76" s="1094" t="s">
        <v>1421</v>
      </c>
      <c r="D76" s="1086"/>
      <c r="E76" s="1087">
        <v>100</v>
      </c>
      <c r="F76" s="1086"/>
      <c r="G76" s="1087">
        <v>100</v>
      </c>
      <c r="H76" s="1086"/>
      <c r="I76" s="1087">
        <v>100</v>
      </c>
      <c r="J76" s="1086"/>
      <c r="K76" s="1087">
        <v>100</v>
      </c>
      <c r="L76" s="1115" t="s">
        <v>1379</v>
      </c>
    </row>
  </sheetData>
  <mergeCells count="78">
    <mergeCell ref="N41:O41"/>
    <mergeCell ref="P41:Q41"/>
    <mergeCell ref="R41:S41"/>
    <mergeCell ref="T41:U41"/>
    <mergeCell ref="P42:Q42"/>
    <mergeCell ref="R42:S42"/>
    <mergeCell ref="T42:U42"/>
    <mergeCell ref="N39:O39"/>
    <mergeCell ref="P39:Q39"/>
    <mergeCell ref="R39:S39"/>
    <mergeCell ref="T39:U39"/>
    <mergeCell ref="N40:O40"/>
    <mergeCell ref="P40:Q40"/>
    <mergeCell ref="R40:S40"/>
    <mergeCell ref="T40:U40"/>
    <mergeCell ref="P37:Q37"/>
    <mergeCell ref="R37:S37"/>
    <mergeCell ref="T37:U37"/>
    <mergeCell ref="A38:B38"/>
    <mergeCell ref="C38:J38"/>
    <mergeCell ref="N38:O38"/>
    <mergeCell ref="P38:U38"/>
    <mergeCell ref="N36:O36"/>
    <mergeCell ref="P36:Q36"/>
    <mergeCell ref="R36:S36"/>
    <mergeCell ref="T36:U36"/>
    <mergeCell ref="A37:B37"/>
    <mergeCell ref="C37:D37"/>
    <mergeCell ref="E37:F37"/>
    <mergeCell ref="G37:H37"/>
    <mergeCell ref="I37:J37"/>
    <mergeCell ref="N37:O37"/>
    <mergeCell ref="A36:B36"/>
    <mergeCell ref="C36:D36"/>
    <mergeCell ref="E36:F36"/>
    <mergeCell ref="G36:H36"/>
    <mergeCell ref="I36:J36"/>
    <mergeCell ref="K36:L38"/>
    <mergeCell ref="A7:A10"/>
    <mergeCell ref="N7:N10"/>
    <mergeCell ref="W7:W10"/>
    <mergeCell ref="A11:A20"/>
    <mergeCell ref="N11:N20"/>
    <mergeCell ref="W11:W21"/>
    <mergeCell ref="A21:A35"/>
    <mergeCell ref="N21:N35"/>
    <mergeCell ref="W29:W35"/>
    <mergeCell ref="A5:B5"/>
    <mergeCell ref="N5:O5"/>
    <mergeCell ref="W5:X5"/>
    <mergeCell ref="A6:B6"/>
    <mergeCell ref="N6:O6"/>
    <mergeCell ref="W6:X6"/>
    <mergeCell ref="AA2:AA4"/>
    <mergeCell ref="C3:D3"/>
    <mergeCell ref="E3:F3"/>
    <mergeCell ref="G3:H3"/>
    <mergeCell ref="I3:J3"/>
    <mergeCell ref="C4:D4"/>
    <mergeCell ref="E4:F4"/>
    <mergeCell ref="G4:H4"/>
    <mergeCell ref="I4:J4"/>
    <mergeCell ref="P2:Q4"/>
    <mergeCell ref="R2:S4"/>
    <mergeCell ref="T2:U4"/>
    <mergeCell ref="W2:X4"/>
    <mergeCell ref="Y2:Y4"/>
    <mergeCell ref="Z2:Z4"/>
    <mergeCell ref="A1:L1"/>
    <mergeCell ref="M1:X1"/>
    <mergeCell ref="Y1:Z1"/>
    <mergeCell ref="A2:B4"/>
    <mergeCell ref="C2:D2"/>
    <mergeCell ref="E2:F2"/>
    <mergeCell ref="G2:H2"/>
    <mergeCell ref="I2:J2"/>
    <mergeCell ref="K2:L4"/>
    <mergeCell ref="N2:O4"/>
  </mergeCells>
  <phoneticPr fontId="89" type="noConversion"/>
  <pageMargins left="0.7" right="0.7" top="0.75" bottom="0.75" header="0.3" footer="0.3"/>
  <pageSetup paperSize="9" scale="65" orientation="portrait" r:id="rId1"/>
  <colBreaks count="1" manualBreakCount="1">
    <brk id="13" max="1048575" man="1"/>
  </colBreaks>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55"/>
  <sheetViews>
    <sheetView view="pageBreakPreview" topLeftCell="A13" workbookViewId="0">
      <selection activeCell="L27" sqref="L27"/>
    </sheetView>
  </sheetViews>
  <sheetFormatPr defaultRowHeight="13.5"/>
  <cols>
    <col min="1" max="1" width="2.625" style="142" customWidth="1"/>
    <col min="2" max="2" width="6.125" style="167" customWidth="1"/>
    <col min="3" max="3" width="17.875" style="142" customWidth="1"/>
    <col min="4" max="4" width="9" style="142"/>
    <col min="5" max="5" width="13.75" style="142" customWidth="1"/>
    <col min="6" max="9" width="13" style="142" customWidth="1"/>
    <col min="10" max="10" width="2.625" style="142" customWidth="1"/>
    <col min="11" max="14" width="12.875" style="142" customWidth="1"/>
    <col min="15" max="16384" width="9" style="142"/>
  </cols>
  <sheetData>
    <row r="1" spans="2:14">
      <c r="B1" s="1390" t="s">
        <v>709</v>
      </c>
      <c r="C1" s="1391"/>
      <c r="D1" s="1391"/>
      <c r="E1" s="1391"/>
      <c r="F1" s="1391"/>
      <c r="G1" s="1391"/>
      <c r="H1" s="1391"/>
      <c r="I1" s="1392"/>
    </row>
    <row r="2" spans="2:14">
      <c r="B2" s="1393" t="s">
        <v>686</v>
      </c>
      <c r="C2" s="1394"/>
      <c r="D2" s="1394"/>
      <c r="E2" s="1394"/>
      <c r="F2" s="1394"/>
      <c r="G2" s="1394"/>
      <c r="H2" s="1394"/>
      <c r="I2" s="1395"/>
    </row>
    <row r="3" spans="2:14" ht="14.25">
      <c r="B3" s="254" t="s">
        <v>69</v>
      </c>
      <c r="C3" s="255" t="s">
        <v>687</v>
      </c>
      <c r="D3" s="256" t="s">
        <v>75</v>
      </c>
      <c r="E3" s="847" t="s">
        <v>844</v>
      </c>
      <c r="F3" s="254" t="s">
        <v>710</v>
      </c>
      <c r="G3" s="254" t="s">
        <v>711</v>
      </c>
      <c r="H3" s="254" t="s">
        <v>712</v>
      </c>
      <c r="I3" s="254" t="s">
        <v>713</v>
      </c>
      <c r="K3" s="848"/>
      <c r="L3" s="848"/>
      <c r="M3" s="848"/>
    </row>
    <row r="4" spans="2:14" ht="14.25">
      <c r="B4" s="254">
        <v>1</v>
      </c>
      <c r="C4" s="255" t="s">
        <v>108</v>
      </c>
      <c r="D4" s="256"/>
      <c r="E4" s="1165">
        <v>12</v>
      </c>
      <c r="F4" s="254"/>
      <c r="G4" s="254"/>
      <c r="H4" s="254"/>
      <c r="I4" s="254"/>
      <c r="K4" s="848"/>
      <c r="L4" s="849"/>
      <c r="M4" s="833"/>
    </row>
    <row r="5" spans="2:14">
      <c r="B5" s="254">
        <v>2</v>
      </c>
      <c r="C5" s="255" t="s">
        <v>306</v>
      </c>
      <c r="D5" s="257">
        <f>SUM(E5:I5)</f>
        <v>7229.5</v>
      </c>
      <c r="E5" s="254">
        <f>面积!E16</f>
        <v>7229.5</v>
      </c>
      <c r="F5" s="254"/>
      <c r="G5" s="254"/>
      <c r="H5" s="254"/>
      <c r="I5" s="254"/>
      <c r="K5" s="850"/>
      <c r="L5" s="363"/>
      <c r="M5" s="363"/>
    </row>
    <row r="6" spans="2:14" ht="14.25">
      <c r="B6" s="254">
        <v>3</v>
      </c>
      <c r="C6" s="255" t="s">
        <v>688</v>
      </c>
      <c r="D6" s="255"/>
      <c r="E6" s="254">
        <v>365</v>
      </c>
      <c r="F6" s="254"/>
      <c r="G6" s="254"/>
      <c r="H6" s="254"/>
      <c r="I6" s="254"/>
      <c r="K6" s="848"/>
      <c r="L6" s="363"/>
      <c r="M6" s="363"/>
    </row>
    <row r="7" spans="2:14">
      <c r="B7" s="254">
        <v>4</v>
      </c>
      <c r="C7" s="255" t="s">
        <v>309</v>
      </c>
      <c r="D7" s="256"/>
      <c r="E7" s="258">
        <v>0.1</v>
      </c>
      <c r="F7" s="258"/>
      <c r="G7" s="258"/>
      <c r="H7" s="258"/>
      <c r="I7" s="258"/>
      <c r="K7" s="850"/>
      <c r="L7" s="363"/>
      <c r="M7" s="962"/>
    </row>
    <row r="8" spans="2:14" ht="14.25">
      <c r="B8" s="254">
        <v>5</v>
      </c>
      <c r="C8" s="255" t="s">
        <v>690</v>
      </c>
      <c r="D8" s="257">
        <f>SUM(E8:I8)</f>
        <v>2850</v>
      </c>
      <c r="E8" s="254">
        <f>ROUND(E4*E5*E6*(1-E7)/10000,0)</f>
        <v>2850</v>
      </c>
      <c r="F8" s="254"/>
      <c r="G8" s="254"/>
      <c r="H8" s="254"/>
      <c r="I8" s="254"/>
      <c r="K8" s="848"/>
      <c r="L8" s="363"/>
      <c r="M8" s="962"/>
    </row>
    <row r="9" spans="2:14" ht="14.25">
      <c r="B9" s="1396" t="s">
        <v>358</v>
      </c>
      <c r="C9" s="1396"/>
      <c r="D9" s="1396"/>
      <c r="E9" s="1396"/>
      <c r="F9" s="1396"/>
      <c r="G9" s="1396"/>
      <c r="H9" s="1396"/>
      <c r="I9" s="1396"/>
      <c r="K9" s="961"/>
      <c r="L9" s="962"/>
      <c r="M9" s="962"/>
    </row>
    <row r="10" spans="2:14" s="252" customFormat="1">
      <c r="B10" s="260" t="s">
        <v>69</v>
      </c>
      <c r="C10" s="261" t="s">
        <v>87</v>
      </c>
      <c r="D10" s="262" t="s">
        <v>75</v>
      </c>
      <c r="E10" s="263" t="s">
        <v>41</v>
      </c>
      <c r="F10" s="263" t="s">
        <v>359</v>
      </c>
      <c r="G10" s="263" t="s">
        <v>360</v>
      </c>
      <c r="H10" s="1397"/>
      <c r="I10" s="1398"/>
      <c r="K10" s="850"/>
      <c r="L10" s="851"/>
      <c r="M10" s="363"/>
      <c r="N10" s="142"/>
    </row>
    <row r="11" spans="2:14" s="252" customFormat="1">
      <c r="B11" s="260">
        <v>1.1000000000000001</v>
      </c>
      <c r="C11" s="264" t="s">
        <v>361</v>
      </c>
      <c r="D11" s="262">
        <f>ROUND(E11*F11/10000,0)</f>
        <v>3470</v>
      </c>
      <c r="E11" s="265">
        <f>E5</f>
        <v>7229.5</v>
      </c>
      <c r="F11" s="263">
        <v>4800</v>
      </c>
      <c r="G11" s="266"/>
      <c r="H11" s="1399"/>
      <c r="I11" s="1400"/>
    </row>
    <row r="12" spans="2:14" s="252" customFormat="1" ht="14.25" customHeight="1">
      <c r="B12" s="260">
        <v>1.2</v>
      </c>
      <c r="C12" s="264" t="s">
        <v>362</v>
      </c>
      <c r="D12" s="262">
        <f>ROUND(D11*G12,0)</f>
        <v>174</v>
      </c>
      <c r="E12" s="267"/>
      <c r="F12" s="267"/>
      <c r="G12" s="266">
        <v>0.05</v>
      </c>
      <c r="H12" s="1388" t="s">
        <v>363</v>
      </c>
      <c r="I12" s="1389"/>
      <c r="K12" s="294"/>
      <c r="L12" s="295"/>
      <c r="M12" s="296"/>
      <c r="N12" s="296"/>
    </row>
    <row r="13" spans="2:14" s="252" customFormat="1" ht="14.25" customHeight="1">
      <c r="B13" s="260">
        <v>1.3</v>
      </c>
      <c r="C13" s="264" t="s">
        <v>364</v>
      </c>
      <c r="D13" s="262">
        <f>ROUND(D11*G13,0)</f>
        <v>0</v>
      </c>
      <c r="E13" s="267"/>
      <c r="F13" s="267"/>
      <c r="G13" s="266">
        <v>0</v>
      </c>
      <c r="H13" s="1388" t="s">
        <v>365</v>
      </c>
      <c r="I13" s="1389"/>
      <c r="K13" s="297"/>
      <c r="L13" s="254"/>
      <c r="M13" s="298"/>
      <c r="N13" s="298"/>
    </row>
    <row r="14" spans="2:14" s="252" customFormat="1">
      <c r="B14" s="260">
        <v>1.4</v>
      </c>
      <c r="C14" s="264" t="s">
        <v>366</v>
      </c>
      <c r="D14" s="262">
        <f>ROUND(F14*E14/10000,0)</f>
        <v>145</v>
      </c>
      <c r="E14" s="268">
        <f>E5</f>
        <v>7229.5</v>
      </c>
      <c r="F14" s="263">
        <v>200</v>
      </c>
      <c r="G14" s="264"/>
      <c r="H14" s="1388" t="s">
        <v>367</v>
      </c>
      <c r="I14" s="1389"/>
      <c r="K14" s="297"/>
      <c r="L14" s="254"/>
      <c r="M14" s="298"/>
      <c r="N14" s="298"/>
    </row>
    <row r="15" spans="2:14" s="252" customFormat="1">
      <c r="B15" s="260">
        <v>1.5</v>
      </c>
      <c r="C15" s="264" t="s">
        <v>368</v>
      </c>
      <c r="D15" s="262">
        <f>ROUND(D11*G15,0)</f>
        <v>52</v>
      </c>
      <c r="E15" s="267"/>
      <c r="F15" s="267"/>
      <c r="G15" s="269">
        <v>1.4999999999999999E-2</v>
      </c>
      <c r="H15" s="1388" t="s">
        <v>369</v>
      </c>
      <c r="I15" s="1389"/>
      <c r="K15" s="297"/>
      <c r="L15" s="254"/>
      <c r="M15" s="298"/>
      <c r="N15" s="298"/>
    </row>
    <row r="16" spans="2:14" s="252" customFormat="1">
      <c r="B16" s="261">
        <v>1</v>
      </c>
      <c r="C16" s="264" t="s">
        <v>370</v>
      </c>
      <c r="D16" s="262">
        <f>SUM(D11:D15)</f>
        <v>3841</v>
      </c>
      <c r="E16" s="264"/>
      <c r="F16" s="267"/>
      <c r="G16" s="267"/>
      <c r="H16" s="1388" t="s">
        <v>371</v>
      </c>
      <c r="I16" s="1389"/>
      <c r="K16" s="297"/>
      <c r="L16" s="298"/>
      <c r="M16" s="298"/>
      <c r="N16" s="298"/>
    </row>
    <row r="17" spans="2:14" s="252" customFormat="1">
      <c r="B17" s="261">
        <v>2</v>
      </c>
      <c r="C17" s="264" t="s">
        <v>331</v>
      </c>
      <c r="D17" s="262">
        <f>ROUND(D16*G17,0)</f>
        <v>115</v>
      </c>
      <c r="E17" s="270"/>
      <c r="F17" s="270"/>
      <c r="G17" s="271">
        <v>0.03</v>
      </c>
      <c r="H17" s="1388" t="s">
        <v>372</v>
      </c>
      <c r="I17" s="1389"/>
      <c r="K17" s="297"/>
      <c r="L17" s="298"/>
      <c r="M17" s="298"/>
      <c r="N17" s="298"/>
    </row>
    <row r="18" spans="2:14" s="252" customFormat="1">
      <c r="B18" s="261">
        <v>3</v>
      </c>
      <c r="C18" s="264" t="s">
        <v>373</v>
      </c>
      <c r="D18" s="262" t="s">
        <v>239</v>
      </c>
      <c r="E18" s="267"/>
      <c r="F18" s="267"/>
      <c r="G18" s="271">
        <v>0.03</v>
      </c>
      <c r="H18" s="1388" t="s">
        <v>714</v>
      </c>
      <c r="I18" s="1389"/>
      <c r="K18" s="261"/>
      <c r="L18" s="295"/>
      <c r="M18" s="299"/>
      <c r="N18" s="295"/>
    </row>
    <row r="19" spans="2:14" s="252" customFormat="1">
      <c r="B19" s="261">
        <v>4</v>
      </c>
      <c r="C19" s="272" t="s">
        <v>375</v>
      </c>
      <c r="D19" s="1407"/>
      <c r="E19" s="1408"/>
      <c r="F19" s="1408"/>
      <c r="G19" s="1408"/>
      <c r="H19" s="1408"/>
      <c r="I19" s="1409"/>
    </row>
    <row r="20" spans="2:14" s="252" customFormat="1">
      <c r="B20" s="260">
        <v>4.0999999999999996</v>
      </c>
      <c r="C20" s="264" t="s">
        <v>378</v>
      </c>
      <c r="D20" s="262">
        <f>ROUND((D16+D17)*G20*G21/2,0)</f>
        <v>188</v>
      </c>
      <c r="E20" s="264"/>
      <c r="F20" s="267"/>
      <c r="G20" s="273">
        <v>4.7500000000000001E-2</v>
      </c>
      <c r="H20" s="1388" t="s">
        <v>379</v>
      </c>
      <c r="I20" s="1389"/>
    </row>
    <row r="21" spans="2:14" s="252" customFormat="1">
      <c r="B21" s="260">
        <v>4.2</v>
      </c>
      <c r="C21" s="264" t="s">
        <v>381</v>
      </c>
      <c r="D21" s="274">
        <f>ROUND(G18*G21*G20/2,4)</f>
        <v>1.4E-3</v>
      </c>
      <c r="E21" s="264"/>
      <c r="F21" s="267"/>
      <c r="G21" s="275">
        <v>2</v>
      </c>
      <c r="H21" s="1388" t="s">
        <v>382</v>
      </c>
      <c r="I21" s="1389"/>
    </row>
    <row r="22" spans="2:14" s="252" customFormat="1">
      <c r="B22" s="261">
        <v>5</v>
      </c>
      <c r="C22" s="272" t="s">
        <v>384</v>
      </c>
      <c r="D22" s="1407"/>
      <c r="E22" s="1408"/>
      <c r="F22" s="1408"/>
      <c r="G22" s="1408"/>
      <c r="H22" s="1408"/>
      <c r="I22" s="1409"/>
    </row>
    <row r="23" spans="2:14" s="252" customFormat="1">
      <c r="B23" s="260">
        <v>5.0999999999999996</v>
      </c>
      <c r="C23" s="264" t="s">
        <v>715</v>
      </c>
      <c r="D23" s="262">
        <f>ROUND((D16+D17)*G23,0)</f>
        <v>1187</v>
      </c>
      <c r="E23" s="264"/>
      <c r="F23" s="267"/>
      <c r="G23" s="1410">
        <v>0.3</v>
      </c>
      <c r="H23" s="1388" t="s">
        <v>387</v>
      </c>
      <c r="I23" s="1389"/>
    </row>
    <row r="24" spans="2:14" s="252" customFormat="1" ht="16.5" customHeight="1">
      <c r="B24" s="260">
        <v>5.2</v>
      </c>
      <c r="C24" s="264" t="s">
        <v>388</v>
      </c>
      <c r="D24" s="274">
        <f>ROUND(G18*G23,4)</f>
        <v>8.9999999999999993E-3</v>
      </c>
      <c r="E24" s="264"/>
      <c r="F24" s="267"/>
      <c r="G24" s="1411"/>
      <c r="H24" s="1388" t="s">
        <v>389</v>
      </c>
      <c r="I24" s="1389"/>
    </row>
    <row r="25" spans="2:14" s="252" customFormat="1" ht="19.5" customHeight="1">
      <c r="B25" s="261">
        <v>6</v>
      </c>
      <c r="C25" s="272" t="s">
        <v>390</v>
      </c>
      <c r="D25" s="262" t="s">
        <v>239</v>
      </c>
      <c r="E25" s="261"/>
      <c r="F25" s="261"/>
      <c r="G25" s="271">
        <v>5.6000000000000001E-2</v>
      </c>
      <c r="H25" s="1388" t="s">
        <v>391</v>
      </c>
      <c r="I25" s="1389"/>
    </row>
    <row r="26" spans="2:14" s="252" customFormat="1" ht="15.75" customHeight="1">
      <c r="B26" s="261">
        <v>7</v>
      </c>
      <c r="C26" s="272" t="s">
        <v>392</v>
      </c>
      <c r="D26" s="262">
        <f>ROUND((D16+D17+D20+D23)/(1-G18-D21-D24-G25/(1+5%)),0)</f>
        <v>5882</v>
      </c>
      <c r="E26" s="272"/>
      <c r="F26" s="272"/>
      <c r="G26" s="276"/>
      <c r="H26" s="1388" t="s">
        <v>393</v>
      </c>
      <c r="I26" s="1389"/>
      <c r="K26" s="181" t="s">
        <v>349</v>
      </c>
      <c r="L26" s="182">
        <f>ROUND(L33*L27,0)</f>
        <v>471</v>
      </c>
      <c r="M26" s="183"/>
      <c r="N26" s="183"/>
    </row>
    <row r="27" spans="2:14" s="252" customFormat="1">
      <c r="B27" s="261">
        <v>8</v>
      </c>
      <c r="C27" s="272" t="s">
        <v>394</v>
      </c>
      <c r="D27" s="262" t="s">
        <v>239</v>
      </c>
      <c r="E27" s="261"/>
      <c r="F27" s="261"/>
      <c r="G27" s="277">
        <v>0.8</v>
      </c>
      <c r="H27" s="1388"/>
      <c r="I27" s="1389"/>
      <c r="K27" s="184" t="s">
        <v>350</v>
      </c>
      <c r="L27" s="185">
        <v>0.1</v>
      </c>
      <c r="M27" s="184" t="s">
        <v>351</v>
      </c>
      <c r="N27" s="185"/>
    </row>
    <row r="28" spans="2:14" s="252" customFormat="1">
      <c r="B28" s="261">
        <v>9</v>
      </c>
      <c r="C28" s="272" t="s">
        <v>716</v>
      </c>
      <c r="D28" s="262">
        <f>ROUND(D26*G27,0)</f>
        <v>4706</v>
      </c>
      <c r="E28" s="261"/>
      <c r="F28" s="261"/>
      <c r="G28" s="271"/>
      <c r="H28" s="1388" t="s">
        <v>395</v>
      </c>
      <c r="I28" s="1389"/>
      <c r="K28" s="1401" t="s">
        <v>352</v>
      </c>
      <c r="L28" s="1402"/>
      <c r="M28" s="1402"/>
      <c r="N28" s="1403"/>
    </row>
    <row r="29" spans="2:14">
      <c r="B29" s="1393" t="s">
        <v>691</v>
      </c>
      <c r="C29" s="1394"/>
      <c r="D29" s="1394"/>
      <c r="E29" s="1394"/>
      <c r="F29" s="1394"/>
      <c r="G29" s="1394"/>
      <c r="H29" s="1394"/>
      <c r="I29" s="1395"/>
      <c r="K29" s="1404" t="s">
        <v>353</v>
      </c>
      <c r="L29" s="1404"/>
      <c r="M29" s="1405" t="s">
        <v>354</v>
      </c>
      <c r="N29" s="1406"/>
    </row>
    <row r="30" spans="2:14">
      <c r="B30" s="259" t="s">
        <v>69</v>
      </c>
      <c r="C30" s="259" t="s">
        <v>687</v>
      </c>
      <c r="D30" s="152" t="s">
        <v>75</v>
      </c>
      <c r="E30" s="259" t="s">
        <v>692</v>
      </c>
      <c r="F30" s="259" t="s">
        <v>359</v>
      </c>
      <c r="G30" s="259" t="s">
        <v>360</v>
      </c>
      <c r="H30" s="259"/>
      <c r="I30" s="259" t="s">
        <v>693</v>
      </c>
      <c r="K30" s="181" t="s">
        <v>355</v>
      </c>
      <c r="L30" s="192">
        <f>L26/L34</f>
        <v>0.18855084067253802</v>
      </c>
      <c r="M30" s="193" t="s">
        <v>717</v>
      </c>
      <c r="N30" s="192" t="e">
        <f>#REF!/D43</f>
        <v>#REF!</v>
      </c>
    </row>
    <row r="31" spans="2:14" s="253" customFormat="1">
      <c r="B31" s="259">
        <v>1</v>
      </c>
      <c r="C31" s="278" t="s">
        <v>694</v>
      </c>
      <c r="D31" s="152">
        <f>SUM(D32:D34)</f>
        <v>206</v>
      </c>
      <c r="E31" s="278"/>
      <c r="F31" s="278"/>
      <c r="G31" s="279"/>
      <c r="H31" s="1412" t="s">
        <v>695</v>
      </c>
      <c r="I31" s="1413"/>
      <c r="K31" s="181" t="s">
        <v>356</v>
      </c>
      <c r="L31" s="192">
        <f>1-L30</f>
        <v>0.81144915932746198</v>
      </c>
      <c r="M31" s="193" t="s">
        <v>718</v>
      </c>
      <c r="N31" s="194" t="e">
        <f>1-N30</f>
        <v>#REF!</v>
      </c>
    </row>
    <row r="32" spans="2:14">
      <c r="B32" s="254">
        <v>1.1000000000000001</v>
      </c>
      <c r="C32" s="255" t="s">
        <v>696</v>
      </c>
      <c r="D32" s="152">
        <f>ROUND(D8*G32/(1+5%),0)</f>
        <v>152</v>
      </c>
      <c r="E32" s="255"/>
      <c r="F32" s="255"/>
      <c r="G32" s="280">
        <f>G25</f>
        <v>5.6000000000000001E-2</v>
      </c>
      <c r="H32" s="1388" t="s">
        <v>697</v>
      </c>
      <c r="I32" s="1389"/>
      <c r="K32" s="253"/>
      <c r="L32" s="253"/>
      <c r="M32" s="253"/>
      <c r="N32" s="253"/>
    </row>
    <row r="33" spans="2:16">
      <c r="B33" s="254">
        <v>1.2</v>
      </c>
      <c r="C33" s="255" t="s">
        <v>316</v>
      </c>
      <c r="D33" s="152">
        <f>ROUND(E33*G33*F33,0)</f>
        <v>49</v>
      </c>
      <c r="E33" s="1003">
        <f>D26</f>
        <v>5882</v>
      </c>
      <c r="F33" s="255">
        <v>0.7</v>
      </c>
      <c r="G33" s="280">
        <v>1.2E-2</v>
      </c>
      <c r="H33" s="1388" t="s">
        <v>698</v>
      </c>
      <c r="I33" s="1389"/>
      <c r="K33" s="142" t="s">
        <v>716</v>
      </c>
      <c r="L33" s="861">
        <f>D28</f>
        <v>4706</v>
      </c>
    </row>
    <row r="34" spans="2:16">
      <c r="B34" s="254">
        <v>1.3</v>
      </c>
      <c r="C34" s="255" t="s">
        <v>319</v>
      </c>
      <c r="D34" s="152">
        <f>ROUND(E34*F34/10000,0)</f>
        <v>5</v>
      </c>
      <c r="E34" s="255">
        <f>ROUND(E5/面积!E22*面积!F22,2)</f>
        <v>2471.09</v>
      </c>
      <c r="F34" s="281">
        <v>20</v>
      </c>
      <c r="G34" s="280"/>
      <c r="H34" s="1388" t="s">
        <v>699</v>
      </c>
      <c r="I34" s="1389"/>
      <c r="K34" s="142" t="s">
        <v>704</v>
      </c>
      <c r="L34" s="862">
        <f>D40</f>
        <v>2498</v>
      </c>
    </row>
    <row r="35" spans="2:16" s="253" customFormat="1">
      <c r="B35" s="259">
        <v>2</v>
      </c>
      <c r="C35" s="278" t="s">
        <v>325</v>
      </c>
      <c r="D35" s="152">
        <f>ROUND(D26*G35,0)</f>
        <v>88</v>
      </c>
      <c r="E35" s="278"/>
      <c r="F35" s="278"/>
      <c r="G35" s="282">
        <v>1.4999999999999999E-2</v>
      </c>
      <c r="H35" s="1412" t="s">
        <v>326</v>
      </c>
      <c r="I35" s="1413"/>
      <c r="K35" s="142"/>
      <c r="L35" s="142"/>
      <c r="M35" s="142"/>
      <c r="N35" s="142"/>
    </row>
    <row r="36" spans="2:16" s="253" customFormat="1">
      <c r="B36" s="259">
        <v>3</v>
      </c>
      <c r="C36" s="278" t="s">
        <v>328</v>
      </c>
      <c r="D36" s="152">
        <f>ROUND(D28*G36,0)</f>
        <v>1</v>
      </c>
      <c r="E36" s="278"/>
      <c r="F36" s="278"/>
      <c r="G36" s="282">
        <v>2.5000000000000001E-4</v>
      </c>
      <c r="H36" s="1412" t="s">
        <v>719</v>
      </c>
      <c r="I36" s="1413"/>
    </row>
    <row r="37" spans="2:16" s="253" customFormat="1">
      <c r="B37" s="259">
        <v>4</v>
      </c>
      <c r="C37" s="278" t="s">
        <v>331</v>
      </c>
      <c r="D37" s="152">
        <f>ROUND(D8*G37,0)</f>
        <v>57</v>
      </c>
      <c r="E37" s="278"/>
      <c r="F37" s="278"/>
      <c r="G37" s="283">
        <v>0.02</v>
      </c>
      <c r="H37" s="1412" t="s">
        <v>314</v>
      </c>
      <c r="I37" s="1413"/>
    </row>
    <row r="38" spans="2:16" s="253" customFormat="1">
      <c r="B38" s="259">
        <v>5</v>
      </c>
      <c r="C38" s="278" t="s">
        <v>702</v>
      </c>
      <c r="D38" s="152">
        <f>ROUND(D31+D35+D36+D37,0)</f>
        <v>352</v>
      </c>
      <c r="E38" s="278"/>
      <c r="F38" s="278"/>
      <c r="G38" s="278"/>
      <c r="H38" s="278"/>
      <c r="I38" s="278"/>
      <c r="K38" s="1322" t="s">
        <v>1509</v>
      </c>
      <c r="L38" s="1322"/>
      <c r="M38" s="1322" t="s">
        <v>80</v>
      </c>
      <c r="N38" s="1322"/>
      <c r="O38" s="1322" t="s">
        <v>81</v>
      </c>
      <c r="P38" s="1322"/>
    </row>
    <row r="39" spans="2:16">
      <c r="B39" s="1393" t="s">
        <v>703</v>
      </c>
      <c r="C39" s="1394"/>
      <c r="D39" s="1394"/>
      <c r="E39" s="1394"/>
      <c r="F39" s="1394"/>
      <c r="G39" s="1394"/>
      <c r="H39" s="1394"/>
      <c r="I39" s="1395"/>
      <c r="K39" s="1175" t="s">
        <v>82</v>
      </c>
      <c r="L39" s="1175" t="s">
        <v>76</v>
      </c>
      <c r="M39" s="1175" t="s">
        <v>82</v>
      </c>
      <c r="N39" s="1175" t="s">
        <v>76</v>
      </c>
      <c r="O39" s="1175" t="s">
        <v>82</v>
      </c>
      <c r="P39" s="1175" t="s">
        <v>76</v>
      </c>
    </row>
    <row r="40" spans="2:16">
      <c r="B40" s="259">
        <v>1</v>
      </c>
      <c r="C40" s="278" t="s">
        <v>704</v>
      </c>
      <c r="D40" s="284">
        <f>ROUND(D8-D38,0)</f>
        <v>2498</v>
      </c>
      <c r="E40" s="255"/>
      <c r="F40" s="259" t="s">
        <v>705</v>
      </c>
      <c r="G40" s="285">
        <v>0.03</v>
      </c>
      <c r="H40" s="48"/>
      <c r="I40" s="255"/>
      <c r="M40" s="142">
        <f>ROUND(O40*L30,0)</f>
        <v>9284</v>
      </c>
      <c r="N40" s="142">
        <f>ROUND(M40*10000/E5,0)</f>
        <v>12842</v>
      </c>
      <c r="O40" s="142">
        <f>结果!G4</f>
        <v>49237</v>
      </c>
      <c r="P40" s="142">
        <f>比较!K51</f>
        <v>68105</v>
      </c>
    </row>
    <row r="41" spans="2:16">
      <c r="B41" s="259">
        <v>2</v>
      </c>
      <c r="C41" s="278" t="s">
        <v>720</v>
      </c>
      <c r="D41" s="286">
        <v>0.06</v>
      </c>
      <c r="E41" s="255"/>
      <c r="F41" s="255"/>
      <c r="G41" s="255"/>
      <c r="H41" s="48"/>
      <c r="I41" s="255"/>
      <c r="K41" s="142">
        <f>O41-M41</f>
        <v>139959</v>
      </c>
      <c r="L41" s="142">
        <f>P41-N41</f>
        <v>34094</v>
      </c>
      <c r="M41" s="142">
        <f>ROUND(N40*结果!C16/10000,0)</f>
        <v>52718</v>
      </c>
      <c r="N41" s="142">
        <f>N40</f>
        <v>12842</v>
      </c>
      <c r="O41" s="142">
        <f>结果!I16</f>
        <v>192677</v>
      </c>
      <c r="P41" s="142">
        <f>结果!J16</f>
        <v>46936</v>
      </c>
    </row>
    <row r="42" spans="2:16">
      <c r="B42" s="259">
        <v>3</v>
      </c>
      <c r="C42" s="278" t="s">
        <v>285</v>
      </c>
      <c r="D42" s="151">
        <f>比较!C8</f>
        <v>33.270000000000003</v>
      </c>
      <c r="E42" s="255"/>
      <c r="F42" s="255"/>
      <c r="G42" s="255"/>
      <c r="H42" s="255"/>
      <c r="I42" s="255"/>
    </row>
    <row r="43" spans="2:16">
      <c r="B43" s="259">
        <v>4</v>
      </c>
      <c r="C43" s="287" t="s">
        <v>721</v>
      </c>
      <c r="D43" s="284">
        <f>ROUND(D40/(D41-G40)*(1-POWER(((1+G40)/(1+D41)),D42)),0)</f>
        <v>51231</v>
      </c>
      <c r="E43" s="255"/>
      <c r="F43" s="288"/>
      <c r="G43" s="255"/>
      <c r="H43" s="255"/>
      <c r="I43" s="255"/>
    </row>
    <row r="44" spans="2:16">
      <c r="C44" s="852" t="s">
        <v>846</v>
      </c>
      <c r="D44" s="142">
        <f>ROUND(D43*10000/E5,0)</f>
        <v>70864</v>
      </c>
    </row>
    <row r="45" spans="2:16" s="145" customFormat="1">
      <c r="B45" s="289"/>
      <c r="C45" s="173"/>
      <c r="D45" s="290"/>
      <c r="E45" s="291"/>
      <c r="F45" s="292"/>
      <c r="G45" s="293"/>
      <c r="H45" s="293"/>
      <c r="I45" s="293"/>
      <c r="K45" s="142"/>
      <c r="L45" s="142"/>
      <c r="M45" s="142"/>
      <c r="N45" s="142"/>
    </row>
    <row r="46" spans="2:16" s="145" customFormat="1">
      <c r="B46" s="289"/>
      <c r="C46" s="173"/>
      <c r="D46" s="290"/>
      <c r="E46" s="291"/>
      <c r="F46" s="292"/>
      <c r="G46" s="293"/>
      <c r="H46" s="293"/>
      <c r="I46" s="293"/>
    </row>
    <row r="47" spans="2:16" s="145" customFormat="1">
      <c r="B47" s="972" t="s">
        <v>1078</v>
      </c>
      <c r="C47" s="1002"/>
      <c r="D47" s="290"/>
      <c r="E47" s="291"/>
      <c r="F47" s="292"/>
      <c r="G47" s="293"/>
      <c r="H47" s="293"/>
      <c r="I47" s="293"/>
    </row>
    <row r="48" spans="2:16">
      <c r="B48" s="972" t="s">
        <v>1079</v>
      </c>
      <c r="C48" s="1002">
        <v>41</v>
      </c>
      <c r="K48" s="147"/>
      <c r="L48" s="147"/>
      <c r="M48" s="147"/>
      <c r="N48" s="147"/>
    </row>
    <row r="49" spans="2:4">
      <c r="B49" s="972" t="s">
        <v>1080</v>
      </c>
      <c r="C49" s="1002">
        <v>25</v>
      </c>
      <c r="D49" s="142">
        <v>0.6</v>
      </c>
    </row>
    <row r="50" spans="2:4">
      <c r="B50" s="972" t="s">
        <v>1081</v>
      </c>
      <c r="C50" s="1002">
        <v>21</v>
      </c>
      <c r="D50" s="142">
        <v>0.5</v>
      </c>
    </row>
    <row r="51" spans="2:4">
      <c r="B51" s="972" t="s">
        <v>1082</v>
      </c>
      <c r="C51" s="1002">
        <v>15</v>
      </c>
      <c r="D51" s="142">
        <v>0.4</v>
      </c>
    </row>
    <row r="52" spans="2:4">
      <c r="B52" s="972" t="s">
        <v>1083</v>
      </c>
      <c r="C52" s="1002">
        <v>12</v>
      </c>
      <c r="D52" s="142">
        <v>0.3</v>
      </c>
    </row>
    <row r="53" spans="2:4">
      <c r="B53" s="972" t="s">
        <v>1084</v>
      </c>
      <c r="C53" s="1002">
        <v>7</v>
      </c>
      <c r="D53" s="142">
        <v>0.2</v>
      </c>
    </row>
    <row r="55" spans="2:4">
      <c r="B55" s="167" t="s">
        <v>1085</v>
      </c>
    </row>
  </sheetData>
  <mergeCells count="38">
    <mergeCell ref="K38:L38"/>
    <mergeCell ref="M38:N38"/>
    <mergeCell ref="O38:P38"/>
    <mergeCell ref="H36:I36"/>
    <mergeCell ref="H37:I37"/>
    <mergeCell ref="B39:I39"/>
    <mergeCell ref="G23:G24"/>
    <mergeCell ref="B29:I29"/>
    <mergeCell ref="H31:I31"/>
    <mergeCell ref="H32:I32"/>
    <mergeCell ref="H33:I33"/>
    <mergeCell ref="H34:I34"/>
    <mergeCell ref="H35:I35"/>
    <mergeCell ref="H25:I25"/>
    <mergeCell ref="H26:I26"/>
    <mergeCell ref="H27:I27"/>
    <mergeCell ref="K28:N28"/>
    <mergeCell ref="H28:I28"/>
    <mergeCell ref="K29:L29"/>
    <mergeCell ref="M29:N29"/>
    <mergeCell ref="D19:I19"/>
    <mergeCell ref="H20:I20"/>
    <mergeCell ref="H21:I21"/>
    <mergeCell ref="D22:I22"/>
    <mergeCell ref="H23:I23"/>
    <mergeCell ref="H24:I24"/>
    <mergeCell ref="H18:I18"/>
    <mergeCell ref="B1:I1"/>
    <mergeCell ref="B2:I2"/>
    <mergeCell ref="B9:I9"/>
    <mergeCell ref="H10:I10"/>
    <mergeCell ref="H11:I11"/>
    <mergeCell ref="H12:I12"/>
    <mergeCell ref="H13:I13"/>
    <mergeCell ref="H14:I14"/>
    <mergeCell ref="H15:I15"/>
    <mergeCell ref="H16:I16"/>
    <mergeCell ref="H17:I17"/>
  </mergeCells>
  <phoneticPr fontId="93" type="noConversion"/>
  <pageMargins left="0.69861111111111107" right="0.69861111111111107" top="0.75" bottom="0.75" header="0.3" footer="0.3"/>
  <pageSetup paperSize="9" scale="77"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0"/>
  <sheetViews>
    <sheetView view="pageBreakPreview" zoomScale="115" workbookViewId="0">
      <selection activeCell="C23" sqref="C23"/>
    </sheetView>
  </sheetViews>
  <sheetFormatPr defaultColWidth="9" defaultRowHeight="13.5"/>
  <cols>
    <col min="1" max="1" width="4.5" customWidth="1"/>
    <col min="2" max="2" width="16.125" bestFit="1" customWidth="1"/>
    <col min="12" max="12" width="6.25" customWidth="1"/>
    <col min="21" max="21" width="4.25" customWidth="1"/>
  </cols>
  <sheetData>
    <row r="1" spans="1:25" ht="14.25">
      <c r="A1" s="1207" t="s">
        <v>764</v>
      </c>
      <c r="B1" s="1208"/>
      <c r="C1" s="1208"/>
      <c r="D1" s="1208"/>
      <c r="E1" s="1208"/>
      <c r="F1" s="1208"/>
      <c r="G1" s="1208"/>
      <c r="H1" s="1208"/>
      <c r="I1" s="1208"/>
      <c r="J1" s="1208"/>
      <c r="K1" s="1208"/>
      <c r="L1" s="1208"/>
      <c r="M1" s="1208"/>
      <c r="N1" s="1208"/>
      <c r="O1" s="1208"/>
      <c r="P1" s="1208"/>
      <c r="Q1" s="1208"/>
      <c r="R1" s="1208"/>
      <c r="S1" s="1208"/>
      <c r="T1" s="1208"/>
      <c r="U1" s="1208"/>
      <c r="V1" s="1208"/>
      <c r="W1" s="1208"/>
      <c r="X1" s="1208"/>
      <c r="Y1" s="1209"/>
    </row>
    <row r="2" spans="1:25">
      <c r="A2" s="1210" t="s">
        <v>196</v>
      </c>
      <c r="B2" s="1210"/>
      <c r="C2" s="1210"/>
      <c r="D2" s="1210"/>
      <c r="E2" s="1210"/>
      <c r="F2" s="1210"/>
      <c r="G2" s="1210"/>
      <c r="H2" s="1210"/>
      <c r="I2" s="1210"/>
      <c r="J2" s="1210"/>
      <c r="K2" s="1221"/>
      <c r="L2" s="1210" t="s">
        <v>197</v>
      </c>
      <c r="M2" s="1210"/>
      <c r="N2" s="1210"/>
      <c r="O2" s="1210"/>
      <c r="P2" s="1210"/>
      <c r="Q2" s="1210"/>
      <c r="R2" s="1210"/>
      <c r="S2" s="1210"/>
      <c r="T2" s="1221"/>
      <c r="U2" s="1211" t="s">
        <v>198</v>
      </c>
      <c r="V2" s="1210"/>
      <c r="W2" s="1210"/>
      <c r="X2" s="1210"/>
      <c r="Y2" s="1212"/>
    </row>
    <row r="3" spans="1:25">
      <c r="A3" s="1215" t="s">
        <v>199</v>
      </c>
      <c r="B3" s="1216"/>
      <c r="C3" s="1213" t="s">
        <v>200</v>
      </c>
      <c r="D3" s="1214"/>
      <c r="E3" s="1213" t="s">
        <v>765</v>
      </c>
      <c r="F3" s="1214"/>
      <c r="G3" s="1213" t="s">
        <v>766</v>
      </c>
      <c r="H3" s="1214"/>
      <c r="I3" s="1213" t="s">
        <v>767</v>
      </c>
      <c r="J3" s="1214"/>
      <c r="K3" s="1222"/>
      <c r="L3" s="1215" t="s">
        <v>199</v>
      </c>
      <c r="M3" s="1216"/>
      <c r="N3" s="1215" t="str">
        <f>E3</f>
        <v>案例J</v>
      </c>
      <c r="O3" s="1216"/>
      <c r="P3" s="1215" t="str">
        <f>G3</f>
        <v>案例K</v>
      </c>
      <c r="Q3" s="1216"/>
      <c r="R3" s="1215" t="str">
        <f>I3</f>
        <v>案例L</v>
      </c>
      <c r="S3" s="1216"/>
      <c r="T3" s="1222"/>
      <c r="U3" s="1215" t="s">
        <v>199</v>
      </c>
      <c r="V3" s="1216"/>
      <c r="W3" s="1219" t="str">
        <f>N3</f>
        <v>案例J</v>
      </c>
      <c r="X3" s="1219" t="str">
        <f>P3</f>
        <v>案例K</v>
      </c>
      <c r="Y3" s="1219" t="str">
        <f>R3</f>
        <v>案例L</v>
      </c>
    </row>
    <row r="4" spans="1:25">
      <c r="A4" s="1217"/>
      <c r="B4" s="1218"/>
      <c r="C4" s="1213" t="s">
        <v>204</v>
      </c>
      <c r="D4" s="1214"/>
      <c r="E4" s="1213" t="s">
        <v>768</v>
      </c>
      <c r="F4" s="1214"/>
      <c r="G4" s="1213" t="s">
        <v>769</v>
      </c>
      <c r="H4" s="1214"/>
      <c r="I4" s="1213" t="s">
        <v>206</v>
      </c>
      <c r="J4" s="1214"/>
      <c r="K4" s="1222"/>
      <c r="L4" s="1217"/>
      <c r="M4" s="1218"/>
      <c r="N4" s="1227"/>
      <c r="O4" s="1228"/>
      <c r="P4" s="1217"/>
      <c r="Q4" s="1218"/>
      <c r="R4" s="1217"/>
      <c r="S4" s="1218"/>
      <c r="T4" s="1222"/>
      <c r="U4" s="1217"/>
      <c r="V4" s="1218"/>
      <c r="W4" s="1220"/>
      <c r="X4" s="1220"/>
      <c r="Y4" s="1220"/>
    </row>
    <row r="5" spans="1:25">
      <c r="A5" s="1205" t="s">
        <v>208</v>
      </c>
      <c r="B5" s="1234"/>
      <c r="C5" s="116" t="s">
        <v>209</v>
      </c>
      <c r="D5" s="117">
        <v>100</v>
      </c>
      <c r="E5" s="116" t="s">
        <v>209</v>
      </c>
      <c r="F5" s="117">
        <v>100</v>
      </c>
      <c r="G5" s="116" t="s">
        <v>209</v>
      </c>
      <c r="H5" s="117">
        <v>100</v>
      </c>
      <c r="I5" s="116" t="s">
        <v>209</v>
      </c>
      <c r="J5" s="117">
        <v>100</v>
      </c>
      <c r="K5" s="1222"/>
      <c r="L5" s="1205" t="str">
        <f>A5</f>
        <v>交易时间</v>
      </c>
      <c r="M5" s="1206"/>
      <c r="N5" s="135" t="s">
        <v>210</v>
      </c>
      <c r="O5" s="136">
        <f>F5</f>
        <v>100</v>
      </c>
      <c r="P5" s="135" t="s">
        <v>210</v>
      </c>
      <c r="Q5" s="136">
        <f t="shared" ref="Q5:Q20" si="0">H5</f>
        <v>100</v>
      </c>
      <c r="R5" s="135" t="s">
        <v>210</v>
      </c>
      <c r="S5" s="136">
        <f>J5</f>
        <v>100</v>
      </c>
      <c r="T5" s="1222"/>
      <c r="U5" s="1205" t="str">
        <f>L5</f>
        <v>交易时间</v>
      </c>
      <c r="V5" s="1234"/>
      <c r="W5" s="117">
        <f>D5/F5</f>
        <v>1</v>
      </c>
      <c r="X5" s="117">
        <f>D5/H5</f>
        <v>1</v>
      </c>
      <c r="Y5" s="117">
        <f>D5/J5</f>
        <v>1</v>
      </c>
    </row>
    <row r="6" spans="1:25">
      <c r="A6" s="1205" t="s">
        <v>211</v>
      </c>
      <c r="B6" s="1234"/>
      <c r="C6" s="116" t="s">
        <v>212</v>
      </c>
      <c r="D6" s="117">
        <v>100</v>
      </c>
      <c r="E6" s="116" t="s">
        <v>212</v>
      </c>
      <c r="F6" s="117">
        <v>100</v>
      </c>
      <c r="G6" s="116" t="s">
        <v>212</v>
      </c>
      <c r="H6" s="117">
        <v>100</v>
      </c>
      <c r="I6" s="116" t="s">
        <v>212</v>
      </c>
      <c r="J6" s="117">
        <v>100</v>
      </c>
      <c r="K6" s="1222"/>
      <c r="L6" s="1205" t="str">
        <f>A6</f>
        <v>交易情况</v>
      </c>
      <c r="M6" s="1206"/>
      <c r="N6" s="135" t="s">
        <v>210</v>
      </c>
      <c r="O6" s="136">
        <f>F6</f>
        <v>100</v>
      </c>
      <c r="P6" s="135" t="s">
        <v>210</v>
      </c>
      <c r="Q6" s="136">
        <f t="shared" si="0"/>
        <v>100</v>
      </c>
      <c r="R6" s="135" t="s">
        <v>210</v>
      </c>
      <c r="S6" s="136">
        <f>J6</f>
        <v>100</v>
      </c>
      <c r="T6" s="1222"/>
      <c r="U6" s="1205" t="str">
        <f>L6</f>
        <v>交易情况</v>
      </c>
      <c r="V6" s="1234"/>
      <c r="W6" s="117">
        <f>D6/F6</f>
        <v>1</v>
      </c>
      <c r="X6" s="117">
        <f>D6/H6</f>
        <v>1</v>
      </c>
      <c r="Y6" s="117">
        <f>D6/J6</f>
        <v>1</v>
      </c>
    </row>
    <row r="7" spans="1:25">
      <c r="A7" s="1414" t="s">
        <v>213</v>
      </c>
      <c r="B7" s="118" t="s">
        <v>214</v>
      </c>
      <c r="C7" s="119" t="s">
        <v>72</v>
      </c>
      <c r="D7" s="117">
        <v>100</v>
      </c>
      <c r="E7" s="119" t="s">
        <v>72</v>
      </c>
      <c r="F7" s="117">
        <v>100</v>
      </c>
      <c r="G7" s="119" t="s">
        <v>72</v>
      </c>
      <c r="H7" s="117">
        <v>100</v>
      </c>
      <c r="I7" s="119" t="s">
        <v>72</v>
      </c>
      <c r="J7" s="117">
        <v>100</v>
      </c>
      <c r="K7" s="1222"/>
      <c r="L7" s="1414" t="str">
        <f>A7</f>
        <v>权益状况</v>
      </c>
      <c r="M7" s="137" t="str">
        <f>B7</f>
        <v>土地用途</v>
      </c>
      <c r="N7" s="135" t="s">
        <v>210</v>
      </c>
      <c r="O7" s="136">
        <f>F7</f>
        <v>100</v>
      </c>
      <c r="P7" s="135" t="s">
        <v>210</v>
      </c>
      <c r="Q7" s="136">
        <f t="shared" si="0"/>
        <v>100</v>
      </c>
      <c r="R7" s="135" t="s">
        <v>210</v>
      </c>
      <c r="S7" s="136">
        <f>J7</f>
        <v>100</v>
      </c>
      <c r="T7" s="1222"/>
      <c r="U7" s="1414" t="str">
        <f>L7</f>
        <v>权益状况</v>
      </c>
      <c r="V7" s="137" t="str">
        <f>M7</f>
        <v>土地用途</v>
      </c>
      <c r="W7" s="117">
        <f>D7/F7</f>
        <v>1</v>
      </c>
      <c r="X7" s="117">
        <f>D7/H7</f>
        <v>1</v>
      </c>
      <c r="Y7" s="117">
        <f>D7/J7</f>
        <v>1</v>
      </c>
    </row>
    <row r="8" spans="1:25" s="114" customFormat="1">
      <c r="A8" s="1415"/>
      <c r="B8" s="120" t="s">
        <v>216</v>
      </c>
      <c r="C8" s="121" t="s">
        <v>770</v>
      </c>
      <c r="D8" s="122">
        <v>100</v>
      </c>
      <c r="E8" s="121" t="s">
        <v>663</v>
      </c>
      <c r="F8" s="122">
        <v>102</v>
      </c>
      <c r="G8" s="121" t="s">
        <v>663</v>
      </c>
      <c r="H8" s="122">
        <v>102</v>
      </c>
      <c r="I8" s="121" t="s">
        <v>663</v>
      </c>
      <c r="J8" s="122">
        <v>102</v>
      </c>
      <c r="K8" s="1222"/>
      <c r="L8" s="1415"/>
      <c r="M8" s="138" t="str">
        <f t="shared" ref="M8:M20" si="1">B8</f>
        <v>土地使用年限</v>
      </c>
      <c r="N8" s="139" t="s">
        <v>210</v>
      </c>
      <c r="O8" s="140">
        <f t="shared" ref="O8:O20" si="2">F8</f>
        <v>102</v>
      </c>
      <c r="P8" s="139" t="s">
        <v>210</v>
      </c>
      <c r="Q8" s="140">
        <f t="shared" si="0"/>
        <v>102</v>
      </c>
      <c r="R8" s="139" t="s">
        <v>210</v>
      </c>
      <c r="S8" s="140">
        <f t="shared" ref="S8:S20" si="3">J8</f>
        <v>102</v>
      </c>
      <c r="T8" s="1223"/>
      <c r="U8" s="1415"/>
      <c r="V8" s="138" t="str">
        <f t="shared" ref="V8:V20" si="4">M8</f>
        <v>土地使用年限</v>
      </c>
      <c r="W8" s="122">
        <f>D8/F8</f>
        <v>0.98039215686274506</v>
      </c>
      <c r="X8" s="122">
        <f>D8/H8</f>
        <v>0.98039215686274506</v>
      </c>
      <c r="Y8" s="122">
        <f>D8/J8</f>
        <v>0.98039215686274506</v>
      </c>
    </row>
    <row r="9" spans="1:25" s="114" customFormat="1">
      <c r="A9" s="1416" t="s">
        <v>219</v>
      </c>
      <c r="B9" s="123" t="s">
        <v>220</v>
      </c>
      <c r="C9" s="121" t="s">
        <v>771</v>
      </c>
      <c r="D9" s="122">
        <v>100</v>
      </c>
      <c r="E9" s="121" t="s">
        <v>772</v>
      </c>
      <c r="F9" s="122">
        <v>102</v>
      </c>
      <c r="G9" s="121" t="s">
        <v>773</v>
      </c>
      <c r="H9" s="122">
        <v>98</v>
      </c>
      <c r="I9" s="121" t="s">
        <v>771</v>
      </c>
      <c r="J9" s="122">
        <v>100</v>
      </c>
      <c r="K9" s="1222"/>
      <c r="L9" s="1416" t="str">
        <f>A9</f>
        <v>区位状况</v>
      </c>
      <c r="M9" s="138" t="str">
        <f t="shared" si="1"/>
        <v>土地级别</v>
      </c>
      <c r="N9" s="139" t="s">
        <v>210</v>
      </c>
      <c r="O9" s="140">
        <f t="shared" si="2"/>
        <v>102</v>
      </c>
      <c r="P9" s="139" t="s">
        <v>210</v>
      </c>
      <c r="Q9" s="140">
        <f t="shared" si="0"/>
        <v>98</v>
      </c>
      <c r="R9" s="139" t="s">
        <v>210</v>
      </c>
      <c r="S9" s="140">
        <f t="shared" si="3"/>
        <v>100</v>
      </c>
      <c r="T9" s="1223"/>
      <c r="U9" s="1416" t="str">
        <f>L9</f>
        <v>区位状况</v>
      </c>
      <c r="V9" s="138" t="str">
        <f t="shared" si="4"/>
        <v>土地级别</v>
      </c>
      <c r="W9" s="122">
        <f>D9/F9</f>
        <v>0.98039215686274506</v>
      </c>
      <c r="X9" s="122">
        <f>D9/H9</f>
        <v>1.0204081632653061</v>
      </c>
      <c r="Y9" s="122">
        <f>D9/J9</f>
        <v>1</v>
      </c>
    </row>
    <row r="10" spans="1:25">
      <c r="A10" s="1416"/>
      <c r="B10" s="124" t="s">
        <v>224</v>
      </c>
      <c r="C10" s="119" t="s">
        <v>223</v>
      </c>
      <c r="D10" s="117">
        <v>100</v>
      </c>
      <c r="E10" s="119" t="s">
        <v>223</v>
      </c>
      <c r="F10" s="117">
        <v>100</v>
      </c>
      <c r="G10" s="119" t="s">
        <v>223</v>
      </c>
      <c r="H10" s="117">
        <v>100</v>
      </c>
      <c r="I10" s="119" t="s">
        <v>223</v>
      </c>
      <c r="J10" s="117">
        <v>100</v>
      </c>
      <c r="K10" s="1222"/>
      <c r="L10" s="1416"/>
      <c r="M10" s="137" t="str">
        <f t="shared" si="1"/>
        <v>交通便捷度</v>
      </c>
      <c r="N10" s="135" t="s">
        <v>210</v>
      </c>
      <c r="O10" s="136">
        <f t="shared" si="2"/>
        <v>100</v>
      </c>
      <c r="P10" s="135" t="s">
        <v>210</v>
      </c>
      <c r="Q10" s="136">
        <f t="shared" si="0"/>
        <v>100</v>
      </c>
      <c r="R10" s="135" t="s">
        <v>210</v>
      </c>
      <c r="S10" s="136">
        <f t="shared" si="3"/>
        <v>100</v>
      </c>
      <c r="T10" s="1223"/>
      <c r="U10" s="1416"/>
      <c r="V10" s="137" t="str">
        <f t="shared" si="4"/>
        <v>交通便捷度</v>
      </c>
      <c r="W10" s="117">
        <f t="shared" ref="W10:W20" si="5">D10/F10</f>
        <v>1</v>
      </c>
      <c r="X10" s="117">
        <f t="shared" ref="X10:X20" si="6">D10/H10</f>
        <v>1</v>
      </c>
      <c r="Y10" s="117">
        <f t="shared" ref="Y10:Y20" si="7">D10/J10</f>
        <v>1</v>
      </c>
    </row>
    <row r="11" spans="1:25" s="114" customFormat="1">
      <c r="A11" s="1416"/>
      <c r="B11" s="123" t="s">
        <v>225</v>
      </c>
      <c r="C11" s="125" t="s">
        <v>226</v>
      </c>
      <c r="D11" s="122">
        <v>100</v>
      </c>
      <c r="E11" s="125" t="s">
        <v>774</v>
      </c>
      <c r="F11" s="122">
        <v>100</v>
      </c>
      <c r="G11" s="125" t="s">
        <v>775</v>
      </c>
      <c r="H11" s="122">
        <v>100</v>
      </c>
      <c r="I11" s="125" t="s">
        <v>227</v>
      </c>
      <c r="J11" s="122">
        <v>102</v>
      </c>
      <c r="K11" s="1222"/>
      <c r="L11" s="1416"/>
      <c r="M11" s="138" t="str">
        <f t="shared" si="1"/>
        <v>临路状况</v>
      </c>
      <c r="N11" s="139" t="s">
        <v>210</v>
      </c>
      <c r="O11" s="140">
        <f t="shared" si="2"/>
        <v>100</v>
      </c>
      <c r="P11" s="139" t="s">
        <v>210</v>
      </c>
      <c r="Q11" s="140">
        <f t="shared" si="0"/>
        <v>100</v>
      </c>
      <c r="R11" s="139" t="s">
        <v>210</v>
      </c>
      <c r="S11" s="140">
        <f t="shared" si="3"/>
        <v>102</v>
      </c>
      <c r="T11" s="1223"/>
      <c r="U11" s="1416"/>
      <c r="V11" s="138" t="str">
        <f t="shared" si="4"/>
        <v>临路状况</v>
      </c>
      <c r="W11" s="122">
        <f t="shared" si="5"/>
        <v>1</v>
      </c>
      <c r="X11" s="122">
        <f t="shared" si="6"/>
        <v>1</v>
      </c>
      <c r="Y11" s="122">
        <f t="shared" si="7"/>
        <v>0.98039215686274506</v>
      </c>
    </row>
    <row r="12" spans="1:25">
      <c r="A12" s="1416"/>
      <c r="B12" s="124" t="s">
        <v>228</v>
      </c>
      <c r="C12" s="116" t="s">
        <v>223</v>
      </c>
      <c r="D12" s="117">
        <v>100</v>
      </c>
      <c r="E12" s="116" t="s">
        <v>223</v>
      </c>
      <c r="F12" s="117">
        <v>100</v>
      </c>
      <c r="G12" s="116" t="s">
        <v>223</v>
      </c>
      <c r="H12" s="117">
        <v>100</v>
      </c>
      <c r="I12" s="116" t="s">
        <v>223</v>
      </c>
      <c r="J12" s="117">
        <v>100</v>
      </c>
      <c r="K12" s="1222"/>
      <c r="L12" s="1416"/>
      <c r="M12" s="137" t="str">
        <f t="shared" si="1"/>
        <v>自然及人文环境</v>
      </c>
      <c r="N12" s="135" t="s">
        <v>210</v>
      </c>
      <c r="O12" s="136">
        <f t="shared" si="2"/>
        <v>100</v>
      </c>
      <c r="P12" s="135" t="s">
        <v>210</v>
      </c>
      <c r="Q12" s="136">
        <f t="shared" si="0"/>
        <v>100</v>
      </c>
      <c r="R12" s="135" t="s">
        <v>210</v>
      </c>
      <c r="S12" s="136">
        <f t="shared" si="3"/>
        <v>100</v>
      </c>
      <c r="T12" s="1223"/>
      <c r="U12" s="1416"/>
      <c r="V12" s="137" t="str">
        <f t="shared" si="4"/>
        <v>自然及人文环境</v>
      </c>
      <c r="W12" s="117">
        <f t="shared" si="5"/>
        <v>1</v>
      </c>
      <c r="X12" s="117">
        <f t="shared" si="6"/>
        <v>1</v>
      </c>
      <c r="Y12" s="117">
        <f t="shared" si="7"/>
        <v>1</v>
      </c>
    </row>
    <row r="13" spans="1:25">
      <c r="A13" s="1416"/>
      <c r="B13" s="124" t="s">
        <v>229</v>
      </c>
      <c r="C13" s="116" t="s">
        <v>223</v>
      </c>
      <c r="D13" s="117">
        <v>100</v>
      </c>
      <c r="E13" s="116" t="s">
        <v>223</v>
      </c>
      <c r="F13" s="117">
        <v>100</v>
      </c>
      <c r="G13" s="116" t="s">
        <v>223</v>
      </c>
      <c r="H13" s="117">
        <v>100</v>
      </c>
      <c r="I13" s="116" t="s">
        <v>223</v>
      </c>
      <c r="J13" s="117">
        <v>100</v>
      </c>
      <c r="K13" s="1222"/>
      <c r="L13" s="1416"/>
      <c r="M13" s="137" t="str">
        <f t="shared" si="1"/>
        <v>基础设施情况及公共服务设施状况</v>
      </c>
      <c r="N13" s="135" t="s">
        <v>210</v>
      </c>
      <c r="O13" s="136">
        <f t="shared" si="2"/>
        <v>100</v>
      </c>
      <c r="P13" s="135" t="s">
        <v>210</v>
      </c>
      <c r="Q13" s="136">
        <f t="shared" si="0"/>
        <v>100</v>
      </c>
      <c r="R13" s="135" t="s">
        <v>210</v>
      </c>
      <c r="S13" s="136">
        <f t="shared" si="3"/>
        <v>100</v>
      </c>
      <c r="T13" s="1223"/>
      <c r="U13" s="1416"/>
      <c r="V13" s="137" t="str">
        <f t="shared" si="4"/>
        <v>基础设施情况及公共服务设施状况</v>
      </c>
      <c r="W13" s="117">
        <f t="shared" si="5"/>
        <v>1</v>
      </c>
      <c r="X13" s="117">
        <f t="shared" si="6"/>
        <v>1</v>
      </c>
      <c r="Y13" s="117">
        <f t="shared" si="7"/>
        <v>1</v>
      </c>
    </row>
    <row r="14" spans="1:25" ht="14.25" customHeight="1">
      <c r="A14" s="1252" t="s">
        <v>776</v>
      </c>
      <c r="B14" s="126" t="s">
        <v>231</v>
      </c>
      <c r="C14" s="117" t="s">
        <v>232</v>
      </c>
      <c r="D14" s="117">
        <v>100</v>
      </c>
      <c r="E14" s="117" t="s">
        <v>232</v>
      </c>
      <c r="F14" s="117">
        <v>100</v>
      </c>
      <c r="G14" s="117" t="s">
        <v>232</v>
      </c>
      <c r="H14" s="117">
        <v>100</v>
      </c>
      <c r="I14" s="117" t="s">
        <v>232</v>
      </c>
      <c r="J14" s="117">
        <v>100</v>
      </c>
      <c r="K14" s="1223"/>
      <c r="L14" s="1232" t="str">
        <f>A14</f>
        <v>实体状况</v>
      </c>
      <c r="M14" s="137" t="str">
        <f t="shared" si="1"/>
        <v>建筑物结构</v>
      </c>
      <c r="N14" s="135" t="s">
        <v>210</v>
      </c>
      <c r="O14" s="136">
        <f t="shared" si="2"/>
        <v>100</v>
      </c>
      <c r="P14" s="135" t="s">
        <v>210</v>
      </c>
      <c r="Q14" s="136">
        <f t="shared" si="0"/>
        <v>100</v>
      </c>
      <c r="R14" s="135" t="s">
        <v>210</v>
      </c>
      <c r="S14" s="136">
        <f t="shared" si="3"/>
        <v>100</v>
      </c>
      <c r="T14" s="1223"/>
      <c r="U14" s="1232" t="str">
        <f>A14</f>
        <v>实体状况</v>
      </c>
      <c r="V14" s="137" t="str">
        <f t="shared" si="4"/>
        <v>建筑物结构</v>
      </c>
      <c r="W14" s="117">
        <f t="shared" si="5"/>
        <v>1</v>
      </c>
      <c r="X14" s="117">
        <f t="shared" si="6"/>
        <v>1</v>
      </c>
      <c r="Y14" s="117">
        <f t="shared" si="7"/>
        <v>1</v>
      </c>
    </row>
    <row r="15" spans="1:25" s="114" customFormat="1">
      <c r="A15" s="1253"/>
      <c r="B15" s="127" t="s">
        <v>777</v>
      </c>
      <c r="C15" s="125" t="s">
        <v>778</v>
      </c>
      <c r="D15" s="122">
        <v>100</v>
      </c>
      <c r="E15" s="125" t="s">
        <v>779</v>
      </c>
      <c r="F15" s="122">
        <v>98</v>
      </c>
      <c r="G15" s="125" t="s">
        <v>778</v>
      </c>
      <c r="H15" s="122">
        <v>100</v>
      </c>
      <c r="I15" s="125" t="s">
        <v>779</v>
      </c>
      <c r="J15" s="122">
        <v>98</v>
      </c>
      <c r="K15" s="1223"/>
      <c r="L15" s="1232"/>
      <c r="M15" s="138" t="str">
        <f t="shared" si="1"/>
        <v>配套类型</v>
      </c>
      <c r="N15" s="139" t="s">
        <v>210</v>
      </c>
      <c r="O15" s="140">
        <f t="shared" si="2"/>
        <v>98</v>
      </c>
      <c r="P15" s="139" t="s">
        <v>210</v>
      </c>
      <c r="Q15" s="140">
        <f t="shared" si="0"/>
        <v>100</v>
      </c>
      <c r="R15" s="139" t="s">
        <v>210</v>
      </c>
      <c r="S15" s="140">
        <f t="shared" si="3"/>
        <v>98</v>
      </c>
      <c r="T15" s="1223"/>
      <c r="U15" s="1232"/>
      <c r="V15" s="138" t="str">
        <f t="shared" si="4"/>
        <v>配套类型</v>
      </c>
      <c r="W15" s="122">
        <f t="shared" si="5"/>
        <v>1.0204081632653061</v>
      </c>
      <c r="X15" s="122">
        <f t="shared" si="6"/>
        <v>1</v>
      </c>
      <c r="Y15" s="122">
        <f t="shared" si="7"/>
        <v>1.0204081632653061</v>
      </c>
    </row>
    <row r="16" spans="1:25" s="114" customFormat="1">
      <c r="A16" s="1253"/>
      <c r="B16" s="127" t="s">
        <v>780</v>
      </c>
      <c r="C16" s="125" t="s">
        <v>40</v>
      </c>
      <c r="D16" s="122">
        <v>100</v>
      </c>
      <c r="E16" s="125" t="s">
        <v>72</v>
      </c>
      <c r="F16" s="122">
        <v>95</v>
      </c>
      <c r="G16" s="125" t="s">
        <v>72</v>
      </c>
      <c r="H16" s="122">
        <v>95</v>
      </c>
      <c r="I16" s="125" t="s">
        <v>72</v>
      </c>
      <c r="J16" s="122">
        <v>95</v>
      </c>
      <c r="K16" s="1223"/>
      <c r="L16" s="1232"/>
      <c r="M16" s="138" t="str">
        <f t="shared" si="1"/>
        <v>车位类型</v>
      </c>
      <c r="N16" s="139" t="s">
        <v>210</v>
      </c>
      <c r="O16" s="140">
        <f t="shared" si="2"/>
        <v>95</v>
      </c>
      <c r="P16" s="139" t="s">
        <v>210</v>
      </c>
      <c r="Q16" s="140">
        <f t="shared" si="0"/>
        <v>95</v>
      </c>
      <c r="R16" s="139" t="s">
        <v>210</v>
      </c>
      <c r="S16" s="140">
        <f t="shared" si="3"/>
        <v>95</v>
      </c>
      <c r="T16" s="1223"/>
      <c r="U16" s="1232"/>
      <c r="V16" s="138" t="str">
        <f t="shared" si="4"/>
        <v>车位类型</v>
      </c>
      <c r="W16" s="122">
        <f t="shared" si="5"/>
        <v>1.0526315789473684</v>
      </c>
      <c r="X16" s="122">
        <f t="shared" si="6"/>
        <v>1.0526315789473684</v>
      </c>
      <c r="Y16" s="122">
        <f t="shared" si="7"/>
        <v>1.0526315789473684</v>
      </c>
    </row>
    <row r="17" spans="1:25" s="114" customFormat="1">
      <c r="A17" s="1253"/>
      <c r="B17" s="127" t="s">
        <v>237</v>
      </c>
      <c r="C17" s="122">
        <v>1999</v>
      </c>
      <c r="D17" s="122">
        <v>100</v>
      </c>
      <c r="E17" s="122">
        <v>2008</v>
      </c>
      <c r="F17" s="122">
        <v>102.25</v>
      </c>
      <c r="G17" s="122">
        <v>2005</v>
      </c>
      <c r="H17" s="122">
        <v>101.5</v>
      </c>
      <c r="I17" s="122">
        <v>2005</v>
      </c>
      <c r="J17" s="122">
        <v>101.5</v>
      </c>
      <c r="K17" s="1223"/>
      <c r="L17" s="1232"/>
      <c r="M17" s="138" t="str">
        <f t="shared" si="1"/>
        <v>建成年代</v>
      </c>
      <c r="N17" s="139" t="s">
        <v>210</v>
      </c>
      <c r="O17" s="140">
        <f t="shared" si="2"/>
        <v>102.25</v>
      </c>
      <c r="P17" s="139" t="s">
        <v>210</v>
      </c>
      <c r="Q17" s="140">
        <f t="shared" si="0"/>
        <v>101.5</v>
      </c>
      <c r="R17" s="139" t="s">
        <v>210</v>
      </c>
      <c r="S17" s="140">
        <f t="shared" si="3"/>
        <v>101.5</v>
      </c>
      <c r="T17" s="1223"/>
      <c r="U17" s="1232"/>
      <c r="V17" s="138" t="str">
        <f t="shared" si="4"/>
        <v>建成年代</v>
      </c>
      <c r="W17" s="122">
        <f t="shared" si="5"/>
        <v>0.97799511002444983</v>
      </c>
      <c r="X17" s="122">
        <f t="shared" si="6"/>
        <v>0.98522167487684731</v>
      </c>
      <c r="Y17" s="122">
        <f t="shared" si="7"/>
        <v>0.98522167487684731</v>
      </c>
    </row>
    <row r="18" spans="1:25" s="114" customFormat="1">
      <c r="A18" s="1224"/>
      <c r="B18" s="127" t="s">
        <v>238</v>
      </c>
      <c r="C18" s="125" t="s">
        <v>781</v>
      </c>
      <c r="D18" s="122">
        <v>100</v>
      </c>
      <c r="E18" s="125" t="s">
        <v>782</v>
      </c>
      <c r="F18" s="122">
        <v>96</v>
      </c>
      <c r="G18" s="125" t="s">
        <v>783</v>
      </c>
      <c r="H18" s="122">
        <v>96</v>
      </c>
      <c r="I18" s="125" t="s">
        <v>784</v>
      </c>
      <c r="J18" s="122">
        <v>96</v>
      </c>
      <c r="K18" s="1224"/>
      <c r="L18" s="1233"/>
      <c r="M18" s="138" t="str">
        <f t="shared" si="1"/>
        <v>套均面积</v>
      </c>
      <c r="N18" s="139" t="s">
        <v>210</v>
      </c>
      <c r="O18" s="140">
        <f t="shared" si="2"/>
        <v>96</v>
      </c>
      <c r="P18" s="139" t="s">
        <v>210</v>
      </c>
      <c r="Q18" s="140">
        <f t="shared" si="0"/>
        <v>96</v>
      </c>
      <c r="R18" s="139" t="s">
        <v>210</v>
      </c>
      <c r="S18" s="140">
        <f t="shared" si="3"/>
        <v>96</v>
      </c>
      <c r="T18" s="1224"/>
      <c r="U18" s="1233"/>
      <c r="V18" s="138" t="str">
        <f t="shared" si="4"/>
        <v>套均面积</v>
      </c>
      <c r="W18" s="122">
        <f t="shared" si="5"/>
        <v>1.0416666666666667</v>
      </c>
      <c r="X18" s="122">
        <f t="shared" si="6"/>
        <v>1.0416666666666667</v>
      </c>
      <c r="Y18" s="122">
        <f t="shared" si="7"/>
        <v>1.0416666666666667</v>
      </c>
    </row>
    <row r="19" spans="1:25">
      <c r="A19" s="1253"/>
      <c r="B19" s="126" t="s">
        <v>240</v>
      </c>
      <c r="C19" s="115" t="s">
        <v>241</v>
      </c>
      <c r="D19" s="117">
        <v>100</v>
      </c>
      <c r="E19" s="115" t="s">
        <v>241</v>
      </c>
      <c r="F19" s="117">
        <v>100</v>
      </c>
      <c r="G19" s="115" t="s">
        <v>241</v>
      </c>
      <c r="H19" s="117">
        <v>100</v>
      </c>
      <c r="I19" s="115" t="s">
        <v>241</v>
      </c>
      <c r="J19" s="117">
        <v>100</v>
      </c>
      <c r="K19" s="1223"/>
      <c r="L19" s="1232"/>
      <c r="M19" s="137" t="str">
        <f t="shared" si="1"/>
        <v>公共部分装修</v>
      </c>
      <c r="N19" s="135" t="s">
        <v>210</v>
      </c>
      <c r="O19" s="136">
        <f t="shared" si="2"/>
        <v>100</v>
      </c>
      <c r="P19" s="135" t="s">
        <v>210</v>
      </c>
      <c r="Q19" s="136">
        <f t="shared" si="0"/>
        <v>100</v>
      </c>
      <c r="R19" s="135" t="s">
        <v>210</v>
      </c>
      <c r="S19" s="136">
        <f t="shared" si="3"/>
        <v>100</v>
      </c>
      <c r="T19" s="1223"/>
      <c r="U19" s="1232"/>
      <c r="V19" s="137" t="str">
        <f t="shared" si="4"/>
        <v>公共部分装修</v>
      </c>
      <c r="W19" s="117">
        <f t="shared" si="5"/>
        <v>1</v>
      </c>
      <c r="X19" s="117">
        <f t="shared" si="6"/>
        <v>1</v>
      </c>
      <c r="Y19" s="117">
        <f t="shared" si="7"/>
        <v>1</v>
      </c>
    </row>
    <row r="20" spans="1:25">
      <c r="A20" s="1254"/>
      <c r="B20" s="126" t="s">
        <v>243</v>
      </c>
      <c r="C20" s="119" t="s">
        <v>223</v>
      </c>
      <c r="D20" s="117">
        <v>100</v>
      </c>
      <c r="E20" s="119" t="s">
        <v>223</v>
      </c>
      <c r="F20" s="117">
        <v>100</v>
      </c>
      <c r="G20" s="119" t="s">
        <v>223</v>
      </c>
      <c r="H20" s="117">
        <v>100</v>
      </c>
      <c r="I20" s="119" t="s">
        <v>223</v>
      </c>
      <c r="J20" s="117">
        <v>100</v>
      </c>
      <c r="K20" s="1223"/>
      <c r="L20" s="1232"/>
      <c r="M20" s="137" t="str">
        <f t="shared" si="1"/>
        <v>物业服务条件</v>
      </c>
      <c r="N20" s="135" t="s">
        <v>210</v>
      </c>
      <c r="O20" s="136">
        <f t="shared" si="2"/>
        <v>100</v>
      </c>
      <c r="P20" s="135" t="s">
        <v>210</v>
      </c>
      <c r="Q20" s="136">
        <f t="shared" si="0"/>
        <v>100</v>
      </c>
      <c r="R20" s="135" t="s">
        <v>210</v>
      </c>
      <c r="S20" s="136">
        <f t="shared" si="3"/>
        <v>100</v>
      </c>
      <c r="T20" s="1223"/>
      <c r="U20" s="1232"/>
      <c r="V20" s="137" t="str">
        <f t="shared" si="4"/>
        <v>物业服务条件</v>
      </c>
      <c r="W20" s="117">
        <f t="shared" si="5"/>
        <v>1</v>
      </c>
      <c r="X20" s="117">
        <f t="shared" si="6"/>
        <v>1</v>
      </c>
      <c r="Y20" s="117">
        <f t="shared" si="7"/>
        <v>1</v>
      </c>
    </row>
    <row r="21" spans="1:25">
      <c r="A21" s="128"/>
      <c r="B21" s="128"/>
      <c r="C21" s="128"/>
      <c r="D21" s="128"/>
      <c r="E21" s="128"/>
      <c r="F21" s="128"/>
      <c r="G21" s="128"/>
      <c r="H21" s="128"/>
      <c r="I21" s="128"/>
      <c r="J21" s="128"/>
      <c r="K21" s="128"/>
      <c r="L21" s="1205" t="s">
        <v>244</v>
      </c>
      <c r="M21" s="1234"/>
      <c r="N21" s="1213">
        <v>8270</v>
      </c>
      <c r="O21" s="1214"/>
      <c r="P21" s="1213">
        <v>7838</v>
      </c>
      <c r="Q21" s="1214"/>
      <c r="R21" s="1213">
        <v>7088</v>
      </c>
      <c r="S21" s="1214"/>
      <c r="T21" s="128"/>
      <c r="U21" s="128"/>
      <c r="V21" s="128"/>
      <c r="W21" s="128"/>
      <c r="X21" s="128"/>
      <c r="Y21" s="128"/>
    </row>
    <row r="22" spans="1:25">
      <c r="A22" s="128"/>
      <c r="B22" s="128"/>
      <c r="C22" s="128" t="s">
        <v>781</v>
      </c>
      <c r="D22" s="128">
        <v>100</v>
      </c>
      <c r="E22" s="128"/>
      <c r="F22" s="128"/>
      <c r="G22" s="128"/>
      <c r="H22" s="128"/>
      <c r="I22" s="128"/>
      <c r="J22" s="128"/>
      <c r="K22" s="128"/>
      <c r="L22" s="1205" t="s">
        <v>246</v>
      </c>
      <c r="M22" s="1234"/>
      <c r="N22" s="1237">
        <f>ROUND(N21*W5*W6*W7*W8*W9*W10*W11*W12*W13*W14*W15*W16*W17*W18*W19*W20,0)</f>
        <v>8698</v>
      </c>
      <c r="O22" s="1238"/>
      <c r="P22" s="1237">
        <f>ROUND(P21*X5*X6*X7*X8*X9*X10*X11*X12*X13*X14*X15*X16*X17*X18*X19*X20,0)</f>
        <v>8471</v>
      </c>
      <c r="Q22" s="1238"/>
      <c r="R22" s="1237">
        <f>ROUND(R21*Y5*Y6*Y8*Y9*Y7*Y10*Y11*Y12*Y13*Y14*Y15*Y16*Y17*Y18*Y19*Y20,0)</f>
        <v>7510</v>
      </c>
      <c r="S22" s="1238"/>
      <c r="T22" s="128"/>
      <c r="U22" s="128"/>
      <c r="V22" s="128"/>
      <c r="W22" s="128"/>
      <c r="X22" s="128"/>
      <c r="Y22" s="128"/>
    </row>
    <row r="23" spans="1:25">
      <c r="A23" s="128"/>
      <c r="B23" s="128"/>
      <c r="C23" s="128" t="s">
        <v>785</v>
      </c>
      <c r="D23" s="129">
        <v>98</v>
      </c>
      <c r="E23" s="128"/>
      <c r="F23" s="128"/>
      <c r="G23" s="128"/>
      <c r="H23" s="128"/>
      <c r="I23" s="128"/>
      <c r="J23" s="128"/>
      <c r="K23" s="128"/>
      <c r="L23" s="1239" t="s">
        <v>250</v>
      </c>
      <c r="M23" s="1240"/>
      <c r="N23" s="1241">
        <f>ROUND(AVERAGE(N22:S22),0)</f>
        <v>8226</v>
      </c>
      <c r="O23" s="1242"/>
      <c r="P23" s="1242"/>
      <c r="Q23" s="1242"/>
      <c r="R23" s="1242"/>
      <c r="S23" s="1243"/>
      <c r="T23" s="128"/>
      <c r="U23" s="128"/>
      <c r="V23" s="128"/>
      <c r="W23" s="128"/>
      <c r="X23" s="128"/>
      <c r="Y23" s="128"/>
    </row>
    <row r="24" spans="1:25">
      <c r="A24" s="128"/>
      <c r="B24" s="128"/>
      <c r="C24" s="128" t="s">
        <v>786</v>
      </c>
      <c r="D24" s="128">
        <v>96</v>
      </c>
      <c r="E24" s="128"/>
      <c r="F24" s="128"/>
      <c r="G24" s="130"/>
      <c r="H24" s="130"/>
      <c r="I24" s="128"/>
      <c r="J24" s="128"/>
      <c r="K24" s="128"/>
      <c r="L24" s="1244" t="s">
        <v>253</v>
      </c>
      <c r="M24" s="1245"/>
      <c r="N24" s="1244" t="e">
        <f>ROUND(N23*#REF!/10000,0)</f>
        <v>#REF!</v>
      </c>
      <c r="O24" s="1246"/>
      <c r="P24" s="1246"/>
      <c r="Q24" s="1246"/>
      <c r="R24" s="1246"/>
      <c r="S24" s="1245"/>
      <c r="T24" s="128"/>
      <c r="U24" s="128"/>
      <c r="V24" s="128"/>
      <c r="W24" s="128"/>
      <c r="X24" s="128"/>
      <c r="Y24" s="128"/>
    </row>
    <row r="25" spans="1:25">
      <c r="A25" s="128"/>
      <c r="B25" s="128"/>
      <c r="C25" s="128" t="s">
        <v>787</v>
      </c>
      <c r="D25" s="128">
        <v>94</v>
      </c>
      <c r="E25" s="128"/>
      <c r="F25" s="128"/>
      <c r="G25" s="130"/>
      <c r="H25" s="130"/>
      <c r="I25" s="128"/>
      <c r="J25" s="128"/>
      <c r="K25" s="128"/>
      <c r="L25" s="128"/>
      <c r="M25" s="128"/>
      <c r="N25" s="128"/>
      <c r="O25" s="128"/>
      <c r="P25" s="128"/>
      <c r="Q25" s="141"/>
      <c r="R25" s="128"/>
      <c r="S25" s="128"/>
      <c r="T25" s="128"/>
      <c r="U25" s="128"/>
      <c r="V25" s="128"/>
      <c r="W25" s="128"/>
      <c r="X25" s="128"/>
      <c r="Y25" s="128"/>
    </row>
    <row r="26" spans="1:25">
      <c r="A26" s="128"/>
      <c r="B26" s="128"/>
      <c r="C26" s="128"/>
      <c r="D26" s="128"/>
      <c r="E26" s="128"/>
      <c r="F26" s="128"/>
      <c r="G26" s="130"/>
      <c r="H26" s="130"/>
      <c r="I26" s="128"/>
      <c r="J26" s="128"/>
      <c r="K26" s="128"/>
      <c r="L26" s="128"/>
      <c r="M26" s="128"/>
      <c r="N26" s="128"/>
      <c r="O26" s="128"/>
      <c r="P26" s="128"/>
      <c r="Q26" s="141"/>
      <c r="R26" s="128"/>
      <c r="S26" s="128"/>
      <c r="T26" s="128"/>
      <c r="U26" s="128"/>
      <c r="V26" s="128"/>
      <c r="W26" s="128"/>
      <c r="X26" s="128"/>
      <c r="Y26" s="128"/>
    </row>
    <row r="27" spans="1:25">
      <c r="A27" s="128"/>
      <c r="B27" s="128"/>
      <c r="C27" s="128"/>
      <c r="D27" s="128"/>
      <c r="E27" s="128"/>
      <c r="F27" s="128"/>
      <c r="G27" s="128"/>
      <c r="H27" s="128"/>
      <c r="I27" s="128"/>
      <c r="J27" s="128"/>
      <c r="K27" s="128"/>
      <c r="L27" s="128"/>
      <c r="M27" s="128"/>
      <c r="N27" s="128"/>
      <c r="O27" s="128"/>
      <c r="P27" s="128"/>
      <c r="Q27" s="141"/>
      <c r="R27" s="128"/>
      <c r="S27" s="128"/>
      <c r="T27" s="128"/>
      <c r="U27" s="128"/>
      <c r="V27" s="128"/>
      <c r="W27" s="128"/>
      <c r="X27" s="128"/>
      <c r="Y27" s="128"/>
    </row>
    <row r="28" spans="1:25">
      <c r="A28" s="128"/>
      <c r="B28" s="128"/>
      <c r="C28" s="128"/>
      <c r="D28" s="128"/>
      <c r="E28" s="128"/>
      <c r="F28" s="128"/>
      <c r="G28" s="128"/>
      <c r="H28" s="128"/>
      <c r="I28" s="128"/>
      <c r="J28" s="128"/>
      <c r="K28" s="128"/>
      <c r="L28" s="128"/>
      <c r="M28" s="128"/>
      <c r="N28" s="128"/>
      <c r="O28" s="128"/>
      <c r="P28" s="128"/>
      <c r="Q28" s="141"/>
      <c r="R28" s="128"/>
      <c r="S28" s="128"/>
      <c r="T28" s="128"/>
      <c r="U28" s="128"/>
      <c r="V28" s="128"/>
      <c r="W28" s="128"/>
      <c r="X28" s="128"/>
      <c r="Y28" s="128"/>
    </row>
    <row r="29" spans="1:25">
      <c r="A29" s="128"/>
      <c r="B29" s="128"/>
      <c r="C29" s="128"/>
      <c r="D29" s="128"/>
      <c r="E29" s="128"/>
      <c r="F29" s="128"/>
      <c r="G29" s="128"/>
      <c r="H29" s="128"/>
      <c r="I29" s="128"/>
      <c r="J29" s="128"/>
      <c r="K29" s="128"/>
      <c r="L29" s="128"/>
      <c r="M29" s="128"/>
      <c r="N29" s="128"/>
      <c r="O29" s="128"/>
      <c r="P29" s="128"/>
      <c r="Q29" s="141"/>
      <c r="R29" s="128"/>
      <c r="S29" s="128"/>
      <c r="T29" s="128"/>
      <c r="U29" s="128"/>
      <c r="V29" s="128"/>
      <c r="W29" s="128"/>
      <c r="X29" s="128"/>
      <c r="Y29" s="128"/>
    </row>
    <row r="30" spans="1:25">
      <c r="A30" s="128"/>
      <c r="B30" s="128"/>
      <c r="C30" s="128"/>
      <c r="D30" s="128"/>
      <c r="E30" s="131"/>
      <c r="F30" s="132"/>
      <c r="G30" s="131"/>
      <c r="H30" s="131"/>
      <c r="I30" s="131"/>
      <c r="J30" s="131"/>
      <c r="K30" s="132"/>
      <c r="L30" s="132"/>
      <c r="M30" s="128"/>
      <c r="N30" s="128"/>
      <c r="O30" s="128"/>
      <c r="P30" s="128"/>
      <c r="Q30" s="141"/>
      <c r="R30" s="128"/>
      <c r="S30" s="128"/>
      <c r="T30" s="128"/>
      <c r="U30" s="128"/>
      <c r="V30" s="128"/>
      <c r="W30" s="128"/>
      <c r="X30" s="128"/>
      <c r="Y30" s="128"/>
    </row>
    <row r="31" spans="1:25">
      <c r="A31" s="128"/>
      <c r="B31" s="128"/>
      <c r="C31" s="128"/>
      <c r="D31" s="128"/>
      <c r="E31" s="133"/>
      <c r="F31" s="134"/>
      <c r="G31" s="131"/>
      <c r="H31" s="131"/>
      <c r="I31" s="131"/>
      <c r="J31" s="131"/>
      <c r="K31" s="132"/>
      <c r="L31" s="131"/>
      <c r="M31" s="128"/>
      <c r="N31" s="128"/>
      <c r="O31" s="128"/>
      <c r="P31" s="128"/>
      <c r="Q31" s="141"/>
      <c r="R31" s="128"/>
      <c r="S31" s="128"/>
      <c r="T31" s="128"/>
      <c r="U31" s="128"/>
      <c r="V31" s="128"/>
      <c r="W31" s="128"/>
      <c r="X31" s="128"/>
      <c r="Y31" s="128"/>
    </row>
    <row r="32" spans="1:25">
      <c r="A32" s="128"/>
      <c r="B32" s="128"/>
      <c r="C32" s="128"/>
      <c r="D32" s="128"/>
      <c r="E32" s="128"/>
      <c r="F32" s="128"/>
      <c r="G32" s="128"/>
      <c r="H32" s="128"/>
      <c r="I32" s="128"/>
      <c r="J32" s="128"/>
      <c r="K32" s="128"/>
      <c r="L32" s="128"/>
      <c r="M32" s="128"/>
      <c r="N32" s="128"/>
      <c r="O32" s="128"/>
      <c r="P32" s="128"/>
      <c r="Q32" s="141"/>
      <c r="R32" s="128"/>
      <c r="S32" s="128"/>
      <c r="T32" s="128"/>
      <c r="U32" s="128"/>
      <c r="V32" s="128"/>
      <c r="W32" s="128"/>
      <c r="X32" s="128"/>
      <c r="Y32" s="128"/>
    </row>
    <row r="33" spans="1:25">
      <c r="A33" s="128"/>
      <c r="B33" s="128"/>
      <c r="C33" s="128"/>
      <c r="D33" s="128"/>
      <c r="E33" s="128"/>
      <c r="F33" s="128"/>
      <c r="G33" s="128"/>
      <c r="H33" s="128"/>
      <c r="I33" s="128"/>
      <c r="J33" s="128"/>
      <c r="K33" s="128"/>
      <c r="L33" s="128"/>
      <c r="M33" s="128"/>
      <c r="N33" s="128"/>
      <c r="O33" s="128"/>
      <c r="P33" s="128"/>
      <c r="Q33" s="141"/>
      <c r="R33" s="128"/>
      <c r="S33" s="128"/>
      <c r="T33" s="128"/>
      <c r="U33" s="128"/>
      <c r="V33" s="128"/>
      <c r="W33" s="128"/>
      <c r="X33" s="128"/>
      <c r="Y33" s="128"/>
    </row>
    <row r="34" spans="1:25">
      <c r="A34" s="128"/>
      <c r="B34" s="128"/>
      <c r="C34" s="128"/>
      <c r="D34" s="128"/>
      <c r="E34" s="128"/>
      <c r="F34" s="128"/>
      <c r="G34" s="128"/>
      <c r="H34" s="128"/>
      <c r="I34" s="128"/>
      <c r="J34" s="128"/>
      <c r="K34" s="128"/>
      <c r="L34" s="128"/>
      <c r="M34" s="128"/>
      <c r="N34" s="128"/>
      <c r="O34" s="128"/>
      <c r="P34" s="128"/>
      <c r="Q34" s="141"/>
      <c r="R34" s="128"/>
      <c r="S34" s="128"/>
      <c r="T34" s="128"/>
      <c r="U34" s="128"/>
      <c r="V34" s="128"/>
      <c r="W34" s="128"/>
      <c r="X34" s="128"/>
      <c r="Y34" s="128"/>
    </row>
    <row r="35" spans="1:25">
      <c r="A35" s="128"/>
      <c r="B35" s="128"/>
      <c r="C35" s="128"/>
      <c r="D35" s="128"/>
      <c r="E35" s="128"/>
      <c r="F35" s="128"/>
      <c r="G35" s="128"/>
      <c r="H35" s="128"/>
      <c r="I35" s="128"/>
      <c r="J35" s="128"/>
      <c r="K35" s="128"/>
      <c r="L35" s="128"/>
      <c r="M35" s="128"/>
      <c r="N35" s="128"/>
      <c r="O35" s="128"/>
      <c r="P35" s="128"/>
      <c r="Q35" s="141"/>
      <c r="R35" s="128"/>
      <c r="S35" s="128"/>
      <c r="T35" s="128"/>
      <c r="U35" s="128"/>
      <c r="V35" s="128"/>
      <c r="W35" s="128"/>
      <c r="X35" s="128"/>
      <c r="Y35" s="128"/>
    </row>
    <row r="36" spans="1:25">
      <c r="A36" s="128"/>
      <c r="B36" s="128"/>
      <c r="C36" s="128"/>
      <c r="D36" s="128"/>
      <c r="E36" s="128"/>
      <c r="F36" s="128"/>
      <c r="G36" s="128"/>
      <c r="H36" s="128"/>
      <c r="I36" s="128"/>
      <c r="J36" s="128"/>
      <c r="K36" s="128"/>
      <c r="L36" s="128"/>
      <c r="M36" s="128"/>
      <c r="N36" s="128"/>
      <c r="O36" s="128"/>
      <c r="P36" s="128"/>
      <c r="Q36" s="141"/>
      <c r="R36" s="128"/>
      <c r="S36" s="128"/>
      <c r="T36" s="128"/>
      <c r="U36" s="128"/>
      <c r="V36" s="128"/>
      <c r="W36" s="128"/>
      <c r="X36" s="128"/>
      <c r="Y36" s="128"/>
    </row>
    <row r="37" spans="1:25">
      <c r="A37" s="128"/>
      <c r="B37" s="128"/>
      <c r="C37" s="128"/>
      <c r="D37" s="128"/>
      <c r="E37" s="128"/>
      <c r="F37" s="128"/>
      <c r="G37" s="128"/>
      <c r="H37" s="128"/>
      <c r="I37" s="128"/>
      <c r="J37" s="128"/>
      <c r="K37" s="128"/>
      <c r="L37" s="128"/>
      <c r="M37" s="128"/>
      <c r="N37" s="128"/>
      <c r="O37" s="128"/>
      <c r="P37" s="128"/>
      <c r="Q37" s="141"/>
      <c r="R37" s="128"/>
      <c r="S37" s="128"/>
      <c r="T37" s="128"/>
      <c r="U37" s="128"/>
      <c r="V37" s="128"/>
      <c r="W37" s="128"/>
      <c r="X37" s="128"/>
      <c r="Y37" s="128"/>
    </row>
    <row r="38" spans="1:25">
      <c r="A38" s="128"/>
      <c r="B38" s="128"/>
      <c r="C38" s="128"/>
      <c r="D38" s="128"/>
      <c r="E38" s="128"/>
      <c r="F38" s="128"/>
      <c r="G38" s="128"/>
      <c r="H38" s="128"/>
      <c r="I38" s="128"/>
      <c r="J38" s="128"/>
      <c r="K38" s="128"/>
      <c r="L38" s="128"/>
      <c r="M38" s="128"/>
      <c r="N38" s="128"/>
      <c r="O38" s="128"/>
      <c r="P38" s="128"/>
      <c r="Q38" s="141"/>
      <c r="R38" s="128"/>
      <c r="S38" s="128"/>
      <c r="T38" s="128"/>
      <c r="U38" s="128"/>
      <c r="V38" s="128"/>
      <c r="W38" s="128"/>
      <c r="X38" s="128"/>
      <c r="Y38" s="128"/>
    </row>
    <row r="39" spans="1:25">
      <c r="A39" s="128"/>
      <c r="B39" s="128"/>
      <c r="C39" s="128"/>
      <c r="D39" s="128"/>
      <c r="E39" s="128"/>
      <c r="F39" s="128"/>
      <c r="G39" s="128"/>
      <c r="H39" s="128"/>
      <c r="I39" s="128"/>
      <c r="J39" s="128"/>
      <c r="K39" s="128"/>
      <c r="L39" s="128"/>
      <c r="M39" s="128"/>
      <c r="N39" s="128"/>
      <c r="O39" s="128"/>
      <c r="P39" s="128"/>
      <c r="Q39" s="141"/>
      <c r="R39" s="128"/>
      <c r="S39" s="128"/>
      <c r="T39" s="128"/>
      <c r="U39" s="128"/>
      <c r="V39" s="128"/>
      <c r="W39" s="128"/>
      <c r="X39" s="128"/>
      <c r="Y39" s="128"/>
    </row>
    <row r="40" spans="1:25">
      <c r="A40" s="128"/>
      <c r="B40" s="128"/>
      <c r="C40" s="128"/>
      <c r="D40" s="128"/>
      <c r="E40" s="128"/>
      <c r="F40" s="128"/>
      <c r="G40" s="128"/>
      <c r="H40" s="128"/>
      <c r="I40" s="128"/>
      <c r="J40" s="128"/>
      <c r="K40" s="128"/>
      <c r="L40" s="128"/>
      <c r="M40" s="128"/>
      <c r="N40" s="128"/>
      <c r="O40" s="128"/>
      <c r="P40" s="128"/>
      <c r="Q40" s="141"/>
      <c r="R40" s="128"/>
      <c r="S40" s="128"/>
      <c r="T40" s="128"/>
      <c r="U40" s="128"/>
      <c r="V40" s="128"/>
      <c r="W40" s="128"/>
      <c r="X40" s="128"/>
      <c r="Y40" s="128"/>
    </row>
  </sheetData>
  <mergeCells count="50">
    <mergeCell ref="U9:U13"/>
    <mergeCell ref="U14:U20"/>
    <mergeCell ref="W3:W4"/>
    <mergeCell ref="X3:X4"/>
    <mergeCell ref="Y3:Y4"/>
    <mergeCell ref="U5:V5"/>
    <mergeCell ref="L24:M24"/>
    <mergeCell ref="N24:S24"/>
    <mergeCell ref="A7:A8"/>
    <mergeCell ref="A9:A13"/>
    <mergeCell ref="A14:A20"/>
    <mergeCell ref="K2:K20"/>
    <mergeCell ref="L7:L8"/>
    <mergeCell ref="L9:L13"/>
    <mergeCell ref="L14:L20"/>
    <mergeCell ref="A3:B4"/>
    <mergeCell ref="L22:M22"/>
    <mergeCell ref="N22:O22"/>
    <mergeCell ref="P22:Q22"/>
    <mergeCell ref="R22:S22"/>
    <mergeCell ref="L23:M23"/>
    <mergeCell ref="N23:S23"/>
    <mergeCell ref="A6:B6"/>
    <mergeCell ref="L6:M6"/>
    <mergeCell ref="U6:V6"/>
    <mergeCell ref="L21:M21"/>
    <mergeCell ref="N21:O21"/>
    <mergeCell ref="P21:Q21"/>
    <mergeCell ref="R21:S21"/>
    <mergeCell ref="T2:T20"/>
    <mergeCell ref="U7:U8"/>
    <mergeCell ref="C4:D4"/>
    <mergeCell ref="E4:F4"/>
    <mergeCell ref="G4:H4"/>
    <mergeCell ref="I4:J4"/>
    <mergeCell ref="A5:B5"/>
    <mergeCell ref="L5:M5"/>
    <mergeCell ref="L3:M4"/>
    <mergeCell ref="A1:Y1"/>
    <mergeCell ref="A2:J2"/>
    <mergeCell ref="L2:S2"/>
    <mergeCell ref="U2:Y2"/>
    <mergeCell ref="C3:D3"/>
    <mergeCell ref="E3:F3"/>
    <mergeCell ref="G3:H3"/>
    <mergeCell ref="I3:J3"/>
    <mergeCell ref="N3:O4"/>
    <mergeCell ref="P3:Q4"/>
    <mergeCell ref="R3:S4"/>
    <mergeCell ref="U3:V4"/>
  </mergeCells>
  <phoneticPr fontId="93" type="noConversion"/>
  <pageMargins left="0.69861111111111107" right="0.69861111111111107" top="0.75" bottom="0.75" header="0.3" footer="0.3"/>
  <pageSetup paperSize="9" scale="60" orientation="landscape" r:id="rId1"/>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N54"/>
  <sheetViews>
    <sheetView view="pageBreakPreview" topLeftCell="A25" zoomScale="115" workbookViewId="0">
      <selection activeCell="F38" sqref="F38"/>
    </sheetView>
  </sheetViews>
  <sheetFormatPr defaultRowHeight="13.5"/>
  <cols>
    <col min="1" max="1" width="2.625" style="45" customWidth="1"/>
    <col min="2" max="2" width="6.125" style="46" customWidth="1"/>
    <col min="3" max="3" width="17.875" style="45" customWidth="1"/>
    <col min="4" max="4" width="9.75" style="45" bestFit="1" customWidth="1"/>
    <col min="5" max="5" width="13.25" style="45" customWidth="1"/>
    <col min="6" max="6" width="13" style="45" customWidth="1"/>
    <col min="7" max="7" width="11.875" style="45" customWidth="1"/>
    <col min="8" max="8" width="25" style="45" bestFit="1" customWidth="1"/>
    <col min="9" max="9" width="9" style="45"/>
    <col min="10" max="10" width="10.625" style="45" bestFit="1" customWidth="1"/>
    <col min="11" max="11" width="9.125" style="45" bestFit="1" customWidth="1"/>
    <col min="12" max="16384" width="9" style="45"/>
  </cols>
  <sheetData>
    <row r="1" spans="2:9">
      <c r="B1" s="1275" t="s">
        <v>788</v>
      </c>
      <c r="C1" s="1276"/>
      <c r="D1" s="1276"/>
      <c r="E1" s="1276"/>
      <c r="F1" s="1276"/>
      <c r="G1" s="1276"/>
      <c r="H1" s="1277"/>
    </row>
    <row r="2" spans="2:9">
      <c r="B2" s="1344" t="s">
        <v>686</v>
      </c>
      <c r="C2" s="1345"/>
      <c r="D2" s="1345"/>
      <c r="E2" s="1345"/>
      <c r="F2" s="1345"/>
      <c r="G2" s="1345"/>
      <c r="H2" s="1346"/>
    </row>
    <row r="3" spans="2:9">
      <c r="B3" s="47" t="s">
        <v>69</v>
      </c>
      <c r="C3" s="48" t="s">
        <v>687</v>
      </c>
      <c r="D3" s="49" t="s">
        <v>75</v>
      </c>
      <c r="E3" s="50" t="s">
        <v>40</v>
      </c>
      <c r="F3" s="50"/>
      <c r="G3" s="50"/>
      <c r="H3" s="50"/>
    </row>
    <row r="4" spans="2:9">
      <c r="B4" s="47">
        <v>1</v>
      </c>
      <c r="C4" s="48" t="s">
        <v>108</v>
      </c>
      <c r="D4" s="49"/>
      <c r="E4" s="51">
        <v>2</v>
      </c>
      <c r="F4" s="52"/>
      <c r="G4" s="47"/>
      <c r="H4" s="47"/>
    </row>
    <row r="5" spans="2:9">
      <c r="B5" s="47">
        <v>2</v>
      </c>
      <c r="C5" s="48" t="s">
        <v>306</v>
      </c>
      <c r="D5" s="49"/>
      <c r="E5" s="53" t="e">
        <f>#REF!</f>
        <v>#REF!</v>
      </c>
      <c r="F5" s="47"/>
      <c r="G5" s="47"/>
      <c r="H5" s="47"/>
      <c r="I5" s="45" t="e">
        <f>#REF!/40</f>
        <v>#REF!</v>
      </c>
    </row>
    <row r="6" spans="2:9">
      <c r="B6" s="47">
        <v>3</v>
      </c>
      <c r="C6" s="48" t="s">
        <v>688</v>
      </c>
      <c r="D6" s="48"/>
      <c r="E6" s="51">
        <v>365</v>
      </c>
      <c r="F6" s="47" t="s">
        <v>689</v>
      </c>
      <c r="G6" s="51"/>
      <c r="H6" s="51"/>
    </row>
    <row r="7" spans="2:9">
      <c r="B7" s="47">
        <v>4</v>
      </c>
      <c r="C7" s="48" t="s">
        <v>309</v>
      </c>
      <c r="D7" s="49"/>
      <c r="E7" s="54">
        <v>0.2</v>
      </c>
      <c r="F7" s="55">
        <v>0</v>
      </c>
      <c r="G7" s="55"/>
      <c r="H7" s="55"/>
    </row>
    <row r="8" spans="2:9">
      <c r="B8" s="47">
        <v>5</v>
      </c>
      <c r="C8" s="48" t="s">
        <v>690</v>
      </c>
      <c r="D8" s="56" t="e">
        <f>SUM(E8:H8)</f>
        <v>#REF!</v>
      </c>
      <c r="E8" s="51" t="e">
        <f>ROUND(E4*E5*E6*(1-E7)*(1-F7)/10000,0)</f>
        <v>#REF!</v>
      </c>
      <c r="F8" s="51"/>
      <c r="G8" s="47"/>
      <c r="H8" s="47"/>
    </row>
    <row r="9" spans="2:9">
      <c r="B9" s="1278" t="s">
        <v>358</v>
      </c>
      <c r="C9" s="1278"/>
      <c r="D9" s="1278"/>
      <c r="E9" s="1278"/>
      <c r="F9" s="1278"/>
      <c r="G9" s="1278"/>
      <c r="H9" s="1278"/>
    </row>
    <row r="10" spans="2:9" customFormat="1">
      <c r="B10" s="58" t="s">
        <v>69</v>
      </c>
      <c r="C10" s="59" t="s">
        <v>87</v>
      </c>
      <c r="D10" s="60" t="s">
        <v>75</v>
      </c>
      <c r="E10" s="61" t="s">
        <v>41</v>
      </c>
      <c r="F10" s="61" t="s">
        <v>359</v>
      </c>
      <c r="G10" s="61" t="s">
        <v>360</v>
      </c>
      <c r="H10" s="62"/>
    </row>
    <row r="11" spans="2:9" customFormat="1">
      <c r="B11" s="58">
        <v>1.1000000000000001</v>
      </c>
      <c r="C11" s="63" t="s">
        <v>361</v>
      </c>
      <c r="D11" s="60" t="e">
        <f>SUM(D12:D14)</f>
        <v>#REF!</v>
      </c>
      <c r="E11" s="64" t="e">
        <f>SUM(E12:E14)</f>
        <v>#REF!</v>
      </c>
      <c r="F11" s="61"/>
      <c r="G11" s="65"/>
      <c r="H11" s="66"/>
    </row>
    <row r="12" spans="2:9" customFormat="1">
      <c r="B12" s="58" t="str">
        <f>[2]成本法!B42</f>
        <v>1.1.1</v>
      </c>
      <c r="C12" s="66" t="s">
        <v>40</v>
      </c>
      <c r="D12" s="60" t="e">
        <f>ROUND(F12*E12/10000,0)</f>
        <v>#REF!</v>
      </c>
      <c r="E12" s="64" t="e">
        <f>#REF!</f>
        <v>#REF!</v>
      </c>
      <c r="F12" s="64">
        <v>2800</v>
      </c>
      <c r="G12" s="65"/>
      <c r="H12" s="66"/>
    </row>
    <row r="13" spans="2:9" customFormat="1">
      <c r="B13" s="58" t="str">
        <f>[2]成本法!B43</f>
        <v>1.1.2</v>
      </c>
      <c r="C13" s="66" t="str">
        <f>[2]成本法!C43</f>
        <v>地下非配套公建</v>
      </c>
      <c r="D13" s="60">
        <f>ROUND(F13*E13/10000,0)</f>
        <v>0</v>
      </c>
      <c r="E13" s="64">
        <f>[2]成本法!E43</f>
        <v>0</v>
      </c>
      <c r="F13" s="64">
        <f>[2]成本法!F43</f>
        <v>0</v>
      </c>
      <c r="G13" s="65"/>
      <c r="H13" s="66"/>
    </row>
    <row r="14" spans="2:9" customFormat="1">
      <c r="B14" s="58" t="str">
        <f>[2]成本法!B44</f>
        <v>1.1.3</v>
      </c>
      <c r="C14" s="66" t="str">
        <f>[2]成本法!C44</f>
        <v>地下车库及其他用房</v>
      </c>
      <c r="D14" s="60">
        <f>ROUND(F14*E14/10000,0)</f>
        <v>0</v>
      </c>
      <c r="E14" s="64">
        <f>[2]成本法!E44</f>
        <v>0</v>
      </c>
      <c r="F14" s="64">
        <f>[2]成本法!F44</f>
        <v>0</v>
      </c>
      <c r="G14" s="65"/>
      <c r="H14" s="66"/>
    </row>
    <row r="15" spans="2:9" customFormat="1">
      <c r="B15" s="58">
        <v>1.2</v>
      </c>
      <c r="C15" s="63" t="s">
        <v>362</v>
      </c>
      <c r="D15" s="60" t="e">
        <f>ROUND(D11*G15,0)</f>
        <v>#REF!</v>
      </c>
      <c r="E15" s="67"/>
      <c r="F15" s="67"/>
      <c r="G15" s="65">
        <f>'建筑（住）'!G8</f>
        <v>0.05</v>
      </c>
      <c r="H15" s="66" t="s">
        <v>363</v>
      </c>
    </row>
    <row r="16" spans="2:9" customFormat="1">
      <c r="B16" s="58">
        <v>1.3</v>
      </c>
      <c r="C16" s="63" t="s">
        <v>364</v>
      </c>
      <c r="D16" s="60" t="e">
        <f>ROUND(D11*G16,0)</f>
        <v>#REF!</v>
      </c>
      <c r="E16" s="67"/>
      <c r="F16" s="67"/>
      <c r="G16" s="65">
        <v>0</v>
      </c>
      <c r="H16" s="66" t="s">
        <v>365</v>
      </c>
    </row>
    <row r="17" spans="2:14" customFormat="1">
      <c r="B17" s="58">
        <v>1.4</v>
      </c>
      <c r="C17" s="63" t="s">
        <v>366</v>
      </c>
      <c r="D17" s="60" t="e">
        <f>ROUND(F17*E17/10000,0)</f>
        <v>#REF!</v>
      </c>
      <c r="E17" s="64" t="e">
        <f>E11</f>
        <v>#REF!</v>
      </c>
      <c r="F17" s="61">
        <v>200</v>
      </c>
      <c r="G17" s="63"/>
      <c r="H17" s="66" t="s">
        <v>367</v>
      </c>
    </row>
    <row r="18" spans="2:14" customFormat="1">
      <c r="B18" s="58">
        <v>1.5</v>
      </c>
      <c r="C18" s="63" t="s">
        <v>368</v>
      </c>
      <c r="D18" s="60" t="e">
        <f>ROUND(D11*G18,0)</f>
        <v>#REF!</v>
      </c>
      <c r="E18" s="67"/>
      <c r="F18" s="67"/>
      <c r="G18" s="68">
        <f>'建筑（住）'!G11</f>
        <v>1.4999999999999999E-2</v>
      </c>
      <c r="H18" s="66" t="s">
        <v>369</v>
      </c>
    </row>
    <row r="19" spans="2:14" customFormat="1">
      <c r="B19" s="58">
        <v>1</v>
      </c>
      <c r="C19" s="63" t="s">
        <v>370</v>
      </c>
      <c r="D19" s="60" t="e">
        <f>SUM(D12:D18)</f>
        <v>#REF!</v>
      </c>
      <c r="E19" s="63"/>
      <c r="F19" s="67"/>
      <c r="G19" s="67"/>
      <c r="H19" s="69" t="s">
        <v>371</v>
      </c>
    </row>
    <row r="20" spans="2:14" customFormat="1">
      <c r="B20" s="58">
        <v>2</v>
      </c>
      <c r="C20" s="63" t="s">
        <v>331</v>
      </c>
      <c r="D20" s="60" t="e">
        <f>ROUND(D19*G20,0)</f>
        <v>#REF!</v>
      </c>
      <c r="E20" s="70"/>
      <c r="F20" s="70"/>
      <c r="G20" s="71">
        <f>'建筑（住）'!G13</f>
        <v>0.03</v>
      </c>
      <c r="H20" s="66" t="s">
        <v>372</v>
      </c>
    </row>
    <row r="21" spans="2:14" customFormat="1">
      <c r="B21" s="58">
        <v>3</v>
      </c>
      <c r="C21" s="63" t="s">
        <v>373</v>
      </c>
      <c r="D21" s="60" t="s">
        <v>239</v>
      </c>
      <c r="E21" s="67"/>
      <c r="F21" s="67"/>
      <c r="G21" s="71">
        <f>'建筑（住）'!G14</f>
        <v>0.03</v>
      </c>
      <c r="H21" s="66" t="s">
        <v>374</v>
      </c>
    </row>
    <row r="22" spans="2:14" customFormat="1">
      <c r="B22" s="58">
        <v>4</v>
      </c>
      <c r="C22" s="72" t="s">
        <v>375</v>
      </c>
      <c r="D22" s="1279"/>
      <c r="E22" s="1280"/>
      <c r="F22" s="1280"/>
      <c r="G22" s="1280"/>
      <c r="H22" s="1281"/>
    </row>
    <row r="23" spans="2:14" customFormat="1">
      <c r="B23" s="58">
        <v>4.0999999999999996</v>
      </c>
      <c r="C23" s="63" t="s">
        <v>378</v>
      </c>
      <c r="D23" s="60" t="e">
        <f>ROUND((D19+D20)*G23*G24/2,0)</f>
        <v>#REF!</v>
      </c>
      <c r="E23" s="63"/>
      <c r="F23" s="67"/>
      <c r="G23" s="73">
        <v>0.06</v>
      </c>
      <c r="H23" s="67" t="s">
        <v>379</v>
      </c>
    </row>
    <row r="24" spans="2:14" customFormat="1">
      <c r="B24" s="58">
        <v>4.2</v>
      </c>
      <c r="C24" s="63" t="s">
        <v>381</v>
      </c>
      <c r="D24" s="74">
        <f>ROUND(G21*G24*G23/2,4)</f>
        <v>8.9999999999999998E-4</v>
      </c>
      <c r="E24" s="63"/>
      <c r="F24" s="67"/>
      <c r="G24" s="75">
        <v>1</v>
      </c>
      <c r="H24" s="67" t="s">
        <v>382</v>
      </c>
    </row>
    <row r="25" spans="2:14" customFormat="1">
      <c r="B25" s="58">
        <v>5</v>
      </c>
      <c r="C25" s="72" t="s">
        <v>384</v>
      </c>
      <c r="D25" s="1279"/>
      <c r="E25" s="1280"/>
      <c r="F25" s="1280"/>
      <c r="G25" s="1280"/>
      <c r="H25" s="1281"/>
    </row>
    <row r="26" spans="2:14" customFormat="1">
      <c r="B26" s="58">
        <v>5.0999999999999996</v>
      </c>
      <c r="C26" s="63" t="s">
        <v>386</v>
      </c>
      <c r="D26" s="60" t="e">
        <f>ROUND((D19+D20)*G26,0)</f>
        <v>#REF!</v>
      </c>
      <c r="E26" s="63"/>
      <c r="F26" s="67"/>
      <c r="G26" s="1270">
        <v>0.15</v>
      </c>
      <c r="H26" s="67" t="s">
        <v>387</v>
      </c>
    </row>
    <row r="27" spans="2:14" customFormat="1">
      <c r="B27" s="58">
        <v>5.2</v>
      </c>
      <c r="C27" s="63" t="s">
        <v>388</v>
      </c>
      <c r="D27" s="74">
        <f>ROUND(G21*G26,4)</f>
        <v>4.4999999999999997E-3</v>
      </c>
      <c r="E27" s="63"/>
      <c r="F27" s="67"/>
      <c r="G27" s="1271"/>
      <c r="H27" s="67" t="s">
        <v>389</v>
      </c>
    </row>
    <row r="28" spans="2:14" customFormat="1">
      <c r="B28" s="58">
        <v>6</v>
      </c>
      <c r="C28" s="72" t="s">
        <v>390</v>
      </c>
      <c r="D28" s="60" t="s">
        <v>239</v>
      </c>
      <c r="E28" s="59"/>
      <c r="F28" s="59"/>
      <c r="G28" s="71">
        <f>'建筑（住）'!G21</f>
        <v>5.6000000000000001E-2</v>
      </c>
      <c r="H28" s="66" t="s">
        <v>391</v>
      </c>
    </row>
    <row r="29" spans="2:14" customFormat="1">
      <c r="B29" s="58">
        <v>7</v>
      </c>
      <c r="C29" s="72" t="s">
        <v>392</v>
      </c>
      <c r="D29" s="60" t="e">
        <f>ROUND((D19+D20+D23+D26)/(1-G21-D24-D27-G28),0)</f>
        <v>#REF!</v>
      </c>
      <c r="E29" s="72"/>
      <c r="F29" s="72"/>
      <c r="G29" s="76"/>
      <c r="H29" s="66" t="s">
        <v>393</v>
      </c>
    </row>
    <row r="30" spans="2:14" customFormat="1">
      <c r="B30" s="58">
        <v>8</v>
      </c>
      <c r="C30" s="72" t="s">
        <v>394</v>
      </c>
      <c r="D30" s="60" t="s">
        <v>239</v>
      </c>
      <c r="E30" s="59"/>
      <c r="F30" s="59"/>
      <c r="G30" s="77">
        <f>K33</f>
        <v>0.77</v>
      </c>
      <c r="H30" s="66"/>
      <c r="J30" s="103" t="s">
        <v>376</v>
      </c>
      <c r="K30" s="104">
        <v>0</v>
      </c>
      <c r="L30" s="1272" t="s">
        <v>377</v>
      </c>
      <c r="N30" s="105"/>
    </row>
    <row r="31" spans="2:14" customFormat="1" ht="24">
      <c r="B31" s="58">
        <v>9</v>
      </c>
      <c r="C31" s="72" t="s">
        <v>80</v>
      </c>
      <c r="D31" s="60" t="e">
        <f>ROUND(D29*G30,0)</f>
        <v>#REF!</v>
      </c>
      <c r="E31" s="59"/>
      <c r="F31" s="59"/>
      <c r="G31" s="71"/>
      <c r="H31" s="66" t="s">
        <v>395</v>
      </c>
      <c r="J31" s="103" t="s">
        <v>380</v>
      </c>
      <c r="K31" s="106">
        <v>14</v>
      </c>
      <c r="L31" s="1273"/>
      <c r="N31" s="107"/>
    </row>
    <row r="32" spans="2:14" ht="24">
      <c r="B32" s="1344" t="s">
        <v>691</v>
      </c>
      <c r="C32" s="1345"/>
      <c r="D32" s="1345"/>
      <c r="E32" s="1345"/>
      <c r="F32" s="1345"/>
      <c r="G32" s="1345"/>
      <c r="H32" s="1346"/>
      <c r="J32" s="103" t="s">
        <v>383</v>
      </c>
      <c r="K32" s="106">
        <v>60</v>
      </c>
      <c r="L32" s="1273"/>
    </row>
    <row r="33" spans="2:12">
      <c r="B33" s="57" t="s">
        <v>69</v>
      </c>
      <c r="C33" s="57" t="s">
        <v>687</v>
      </c>
      <c r="D33" s="78" t="s">
        <v>75</v>
      </c>
      <c r="E33" s="57" t="s">
        <v>692</v>
      </c>
      <c r="F33" s="57" t="s">
        <v>359</v>
      </c>
      <c r="G33" s="57" t="s">
        <v>360</v>
      </c>
      <c r="H33" s="57" t="s">
        <v>693</v>
      </c>
      <c r="J33" s="108" t="s">
        <v>385</v>
      </c>
      <c r="K33" s="109">
        <f>ROUND(1-(1-K30)*K31/K32,2)</f>
        <v>0.77</v>
      </c>
      <c r="L33" s="1274"/>
    </row>
    <row r="34" spans="2:12">
      <c r="B34" s="47">
        <v>1</v>
      </c>
      <c r="C34" s="48" t="s">
        <v>694</v>
      </c>
      <c r="D34" s="49" t="e">
        <f>SUM(D35:D37)</f>
        <v>#REF!</v>
      </c>
      <c r="E34" s="48"/>
      <c r="F34" s="48"/>
      <c r="G34" s="79"/>
      <c r="H34" s="80" t="s">
        <v>695</v>
      </c>
      <c r="J34" s="45">
        <v>1999</v>
      </c>
    </row>
    <row r="35" spans="2:12">
      <c r="B35" s="47">
        <v>1.1000000000000001</v>
      </c>
      <c r="C35" s="48" t="s">
        <v>696</v>
      </c>
      <c r="D35" s="49" t="e">
        <f>ROUND(D8*G35,0)</f>
        <v>#REF!</v>
      </c>
      <c r="E35" s="48"/>
      <c r="F35" s="48"/>
      <c r="G35" s="81">
        <f>G28</f>
        <v>5.6000000000000001E-2</v>
      </c>
      <c r="H35" s="48" t="s">
        <v>697</v>
      </c>
    </row>
    <row r="36" spans="2:12">
      <c r="B36" s="47">
        <v>1.2</v>
      </c>
      <c r="C36" s="48" t="s">
        <v>316</v>
      </c>
      <c r="D36" s="82" t="e">
        <f>ROUND(G36*F36*E36,0)</f>
        <v>#REF!</v>
      </c>
      <c r="E36" s="48" t="e">
        <f>ROUND(D29*(1-D27)-D26,2)</f>
        <v>#REF!</v>
      </c>
      <c r="F36" s="83">
        <v>0.7</v>
      </c>
      <c r="G36" s="81">
        <v>1.2E-2</v>
      </c>
      <c r="H36" s="48" t="s">
        <v>698</v>
      </c>
    </row>
    <row r="37" spans="2:12">
      <c r="B37" s="47">
        <v>1.3</v>
      </c>
      <c r="C37" s="48" t="s">
        <v>319</v>
      </c>
      <c r="D37" s="49">
        <f>ROUND(E37*F37/10000,0)</f>
        <v>7</v>
      </c>
      <c r="E37" s="48">
        <f>权属依据!H10</f>
        <v>3026.76</v>
      </c>
      <c r="F37" s="84">
        <v>24</v>
      </c>
      <c r="G37" s="81"/>
      <c r="H37" s="48" t="s">
        <v>699</v>
      </c>
    </row>
    <row r="38" spans="2:12">
      <c r="B38" s="47">
        <v>2</v>
      </c>
      <c r="C38" s="48" t="s">
        <v>325</v>
      </c>
      <c r="D38" s="49" t="e">
        <f>ROUND(D29*G38,0)</f>
        <v>#REF!</v>
      </c>
      <c r="E38" s="48"/>
      <c r="F38" s="48"/>
      <c r="G38" s="81">
        <v>2E-3</v>
      </c>
      <c r="H38" s="48" t="s">
        <v>700</v>
      </c>
    </row>
    <row r="39" spans="2:12">
      <c r="B39" s="47">
        <v>3</v>
      </c>
      <c r="C39" s="48" t="s">
        <v>328</v>
      </c>
      <c r="D39" s="49" t="e">
        <f>ROUND(D31*G39,0)</f>
        <v>#REF!</v>
      </c>
      <c r="E39" s="48"/>
      <c r="F39" s="48"/>
      <c r="G39" s="85">
        <v>2.5000000000000001E-4</v>
      </c>
      <c r="H39" s="48" t="s">
        <v>701</v>
      </c>
      <c r="I39" s="110"/>
      <c r="J39" s="111"/>
    </row>
    <row r="40" spans="2:12">
      <c r="B40" s="47">
        <v>4</v>
      </c>
      <c r="C40" s="48" t="s">
        <v>331</v>
      </c>
      <c r="D40" s="49" t="e">
        <f>ROUND(D8*G40,0)</f>
        <v>#REF!</v>
      </c>
      <c r="E40" s="48"/>
      <c r="F40" s="48"/>
      <c r="G40" s="81">
        <v>0.02</v>
      </c>
      <c r="H40" s="48" t="s">
        <v>314</v>
      </c>
      <c r="I40" s="110"/>
      <c r="J40" s="111"/>
    </row>
    <row r="41" spans="2:12">
      <c r="B41" s="47">
        <v>5</v>
      </c>
      <c r="C41" s="48" t="s">
        <v>702</v>
      </c>
      <c r="D41" s="49" t="e">
        <f>ROUND(SUM(D35:D40),0)</f>
        <v>#REF!</v>
      </c>
      <c r="E41" s="48"/>
      <c r="F41" s="48"/>
      <c r="G41" s="48"/>
      <c r="H41" s="48"/>
      <c r="I41" s="110"/>
      <c r="J41" s="111"/>
    </row>
    <row r="42" spans="2:12">
      <c r="B42" s="1344" t="s">
        <v>703</v>
      </c>
      <c r="C42" s="1345"/>
      <c r="D42" s="1345"/>
      <c r="E42" s="1345"/>
      <c r="F42" s="1345"/>
      <c r="G42" s="1345"/>
      <c r="H42" s="1346"/>
      <c r="I42" s="110"/>
      <c r="J42" s="112"/>
    </row>
    <row r="43" spans="2:12">
      <c r="B43" s="47">
        <v>1</v>
      </c>
      <c r="C43" s="48" t="s">
        <v>704</v>
      </c>
      <c r="D43" s="86" t="e">
        <f>D8-D41</f>
        <v>#REF!</v>
      </c>
      <c r="E43" s="48"/>
      <c r="F43" s="47" t="s">
        <v>705</v>
      </c>
      <c r="G43" s="87">
        <f>'收（车）'!G40</f>
        <v>3.5000000000000003E-2</v>
      </c>
      <c r="H43" s="48"/>
      <c r="I43" s="110"/>
      <c r="J43" s="112"/>
    </row>
    <row r="44" spans="2:12">
      <c r="B44" s="47">
        <v>2</v>
      </c>
      <c r="C44" s="48" t="s">
        <v>706</v>
      </c>
      <c r="D44" s="88">
        <f>'收（车）'!D41</f>
        <v>0.06</v>
      </c>
      <c r="E44" s="48"/>
      <c r="F44" s="48"/>
      <c r="G44" s="48"/>
      <c r="H44" s="48"/>
    </row>
    <row r="45" spans="2:12">
      <c r="B45" s="47">
        <v>3</v>
      </c>
      <c r="C45" s="48" t="s">
        <v>285</v>
      </c>
      <c r="D45" s="89">
        <v>34.56</v>
      </c>
      <c r="E45" s="48"/>
      <c r="F45" s="48"/>
      <c r="G45" s="48"/>
      <c r="H45" s="48" t="s">
        <v>22</v>
      </c>
      <c r="I45" s="113"/>
      <c r="J45" s="113"/>
    </row>
    <row r="46" spans="2:12">
      <c r="B46" s="47">
        <v>4</v>
      </c>
      <c r="C46" s="90" t="s">
        <v>81</v>
      </c>
      <c r="D46" s="86" t="e">
        <f>ROUND(D43/(D44-G43)*(1-POWER(((1+G43)/(1+D44)),D45)),0)</f>
        <v>#REF!</v>
      </c>
      <c r="E46" s="48"/>
      <c r="F46" s="91"/>
      <c r="G46" s="48"/>
      <c r="H46" s="48" t="s">
        <v>708</v>
      </c>
      <c r="I46" s="113"/>
      <c r="J46" s="113"/>
    </row>
    <row r="47" spans="2:12">
      <c r="B47" s="47"/>
      <c r="C47" s="92" t="s">
        <v>76</v>
      </c>
      <c r="D47" s="93" t="e">
        <f>ROUND(D46*10000/#REF!,0)</f>
        <v>#REF!</v>
      </c>
      <c r="E47" s="94"/>
      <c r="F47" s="94"/>
      <c r="G47" s="94"/>
      <c r="H47" s="94"/>
    </row>
    <row r="49" spans="3:6">
      <c r="C49" s="95" t="s">
        <v>349</v>
      </c>
      <c r="D49" s="96" t="e">
        <f>ROUND(D31*D50,0)</f>
        <v>#REF!</v>
      </c>
      <c r="E49" s="97"/>
      <c r="F49" s="97"/>
    </row>
    <row r="50" spans="3:6">
      <c r="C50" s="98" t="s">
        <v>350</v>
      </c>
      <c r="D50" s="99">
        <v>0.08</v>
      </c>
      <c r="E50" s="98" t="s">
        <v>351</v>
      </c>
      <c r="F50" s="99"/>
    </row>
    <row r="51" spans="3:6">
      <c r="C51" s="1261" t="s">
        <v>352</v>
      </c>
      <c r="D51" s="1262"/>
      <c r="E51" s="1262"/>
      <c r="F51" s="1263"/>
    </row>
    <row r="52" spans="3:6">
      <c r="C52" s="1264" t="s">
        <v>353</v>
      </c>
      <c r="D52" s="1264"/>
      <c r="E52" s="1265" t="s">
        <v>354</v>
      </c>
      <c r="F52" s="1266"/>
    </row>
    <row r="53" spans="3:6">
      <c r="C53" s="95" t="s">
        <v>355</v>
      </c>
      <c r="D53" s="100" t="e">
        <f>D49/D43</f>
        <v>#REF!</v>
      </c>
      <c r="E53" s="101"/>
      <c r="F53" s="100"/>
    </row>
    <row r="54" spans="3:6">
      <c r="C54" s="95" t="s">
        <v>356</v>
      </c>
      <c r="D54" s="100" t="e">
        <f>1-D53</f>
        <v>#REF!</v>
      </c>
      <c r="E54" s="101"/>
      <c r="F54" s="102"/>
    </row>
  </sheetData>
  <mergeCells count="12">
    <mergeCell ref="B42:H42"/>
    <mergeCell ref="C51:F51"/>
    <mergeCell ref="C52:D52"/>
    <mergeCell ref="E52:F52"/>
    <mergeCell ref="G26:G27"/>
    <mergeCell ref="L30:L33"/>
    <mergeCell ref="B1:H1"/>
    <mergeCell ref="B2:H2"/>
    <mergeCell ref="B9:H9"/>
    <mergeCell ref="D22:H22"/>
    <mergeCell ref="D25:H25"/>
    <mergeCell ref="B32:H32"/>
  </mergeCells>
  <phoneticPr fontId="93" type="noConversion"/>
  <pageMargins left="0.69861111111111107" right="0.69861111111111107" top="0.75" bottom="0.75" header="0.3" footer="0.3"/>
  <pageSetup paperSize="9" scale="65" orientation="portrait" r:id="rId1"/>
  <headerFooter alignWithMargins="0"/>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45"/>
  <sheetViews>
    <sheetView view="pageBreakPreview" topLeftCell="A23" workbookViewId="0">
      <selection activeCell="H13" sqref="H13:H14"/>
    </sheetView>
  </sheetViews>
  <sheetFormatPr defaultRowHeight="14.25"/>
  <cols>
    <col min="1" max="2" width="9" style="2"/>
    <col min="3" max="3" width="13.75" style="2" customWidth="1"/>
    <col min="4" max="5" width="9" style="2"/>
    <col min="6" max="6" width="12.875" style="2" bestFit="1" customWidth="1"/>
    <col min="7" max="7" width="9.625" style="2" bestFit="1" customWidth="1"/>
    <col min="8" max="8" width="11.25" style="2" customWidth="1"/>
    <col min="9" max="9" width="9.5" style="2" customWidth="1"/>
    <col min="10" max="10" width="11.75" style="2" bestFit="1" customWidth="1"/>
    <col min="11" max="11" width="9" style="2"/>
    <col min="12" max="12" width="11.25" style="2" customWidth="1"/>
    <col min="13" max="16384" width="9" style="2"/>
  </cols>
  <sheetData>
    <row r="1" spans="1:13" hidden="1">
      <c r="A1" s="1417" t="s">
        <v>789</v>
      </c>
      <c r="B1" s="1417"/>
      <c r="C1" s="1417"/>
      <c r="D1" s="1417"/>
      <c r="E1" s="1417"/>
      <c r="F1" s="1417"/>
      <c r="G1" s="1417"/>
      <c r="H1" s="1417"/>
      <c r="I1" s="1417"/>
      <c r="J1" s="1417"/>
      <c r="K1" s="1417"/>
      <c r="L1" s="1417"/>
      <c r="M1" s="1417"/>
    </row>
    <row r="2" spans="1:13" hidden="1">
      <c r="A2" s="1418" t="s">
        <v>69</v>
      </c>
      <c r="B2" s="1456" t="s">
        <v>790</v>
      </c>
      <c r="C2" s="1456" t="s">
        <v>41</v>
      </c>
      <c r="D2" s="1418" t="s">
        <v>359</v>
      </c>
      <c r="E2" s="1418" t="s">
        <v>791</v>
      </c>
      <c r="F2" s="1420" t="s">
        <v>792</v>
      </c>
      <c r="G2" s="1418" t="s">
        <v>793</v>
      </c>
      <c r="H2" s="1418" t="s">
        <v>723</v>
      </c>
      <c r="I2" s="1418"/>
      <c r="J2" s="1418" t="s">
        <v>80</v>
      </c>
      <c r="K2" s="1418"/>
      <c r="L2" s="1418" t="s">
        <v>81</v>
      </c>
      <c r="M2" s="1418"/>
    </row>
    <row r="3" spans="1:13" hidden="1">
      <c r="A3" s="1418"/>
      <c r="B3" s="1456"/>
      <c r="C3" s="1456"/>
      <c r="D3" s="1418"/>
      <c r="E3" s="1418"/>
      <c r="F3" s="1420"/>
      <c r="G3" s="1418"/>
      <c r="H3" s="3" t="s">
        <v>77</v>
      </c>
      <c r="I3" s="3" t="s">
        <v>76</v>
      </c>
      <c r="J3" s="3" t="s">
        <v>77</v>
      </c>
      <c r="K3" s="3" t="s">
        <v>76</v>
      </c>
      <c r="L3" s="3" t="s">
        <v>77</v>
      </c>
      <c r="M3" s="3" t="s">
        <v>76</v>
      </c>
    </row>
    <row r="4" spans="1:13" hidden="1">
      <c r="A4" s="3"/>
      <c r="B4" s="4">
        <v>-1</v>
      </c>
      <c r="C4" s="4">
        <f>[3]面积明细表!D5</f>
        <v>12609.27</v>
      </c>
      <c r="D4" s="3">
        <f>D5</f>
        <v>58446</v>
      </c>
      <c r="E4" s="3">
        <v>0.6</v>
      </c>
      <c r="F4" s="5">
        <v>1</v>
      </c>
      <c r="G4" s="3">
        <f>ROUND(D4*E4*F4,0)</f>
        <v>35068</v>
      </c>
      <c r="H4" s="6">
        <f>L4-J4</f>
        <v>39802</v>
      </c>
      <c r="I4" s="7">
        <f>M4-K4</f>
        <v>31566</v>
      </c>
      <c r="J4" s="6">
        <f>'[3]收益（商业）'!G49</f>
        <v>4416</v>
      </c>
      <c r="K4" s="7">
        <f>ROUND(J4*10000/C4,0)</f>
        <v>3502</v>
      </c>
      <c r="L4" s="6">
        <f>ROUND(G4*C4/10000,0)</f>
        <v>44218</v>
      </c>
      <c r="M4" s="3">
        <f>G4</f>
        <v>35068</v>
      </c>
    </row>
    <row r="5" spans="1:13" hidden="1">
      <c r="A5" s="3">
        <v>1</v>
      </c>
      <c r="B5" s="7" t="e">
        <f>[4]面积明细表!B6</f>
        <v>#REF!</v>
      </c>
      <c r="C5" s="4">
        <f>[3]面积明细表!D6</f>
        <v>9144.66</v>
      </c>
      <c r="D5" s="3">
        <f>'[3]收益（商业）'!D49</f>
        <v>58446</v>
      </c>
      <c r="E5" s="3">
        <f>'[3]市场（商业）'!E33</f>
        <v>1</v>
      </c>
      <c r="F5" s="3">
        <v>1</v>
      </c>
      <c r="G5" s="3">
        <f>ROUND(D5*E5*F5,0)</f>
        <v>58446</v>
      </c>
      <c r="H5" s="6">
        <f t="shared" ref="H5:I7" si="0">L5-J5</f>
        <v>49409</v>
      </c>
      <c r="I5" s="7">
        <f t="shared" si="0"/>
        <v>54030</v>
      </c>
      <c r="J5" s="6">
        <f>'[3]收益（商业）'!G50</f>
        <v>4038</v>
      </c>
      <c r="K5" s="7">
        <f>ROUND(J5*10000/C5,0)</f>
        <v>4416</v>
      </c>
      <c r="L5" s="6">
        <f>ROUND(G5*C5/10000,0)</f>
        <v>53447</v>
      </c>
      <c r="M5" s="3">
        <f>G5</f>
        <v>58446</v>
      </c>
    </row>
    <row r="6" spans="1:13" hidden="1">
      <c r="A6" s="3">
        <v>2</v>
      </c>
      <c r="B6" s="7" t="e">
        <f>[4]面积明细表!B7</f>
        <v>#REF!</v>
      </c>
      <c r="C6" s="4">
        <f>[3]面积明细表!D8</f>
        <v>12002.22</v>
      </c>
      <c r="D6" s="3">
        <f>$D$5</f>
        <v>58446</v>
      </c>
      <c r="E6" s="3">
        <v>0.8</v>
      </c>
      <c r="F6" s="3">
        <v>1</v>
      </c>
      <c r="G6" s="3">
        <f>ROUND(D6*E6*F6,0)</f>
        <v>46757</v>
      </c>
      <c r="H6" s="6">
        <f t="shared" si="0"/>
        <v>50819</v>
      </c>
      <c r="I6" s="37">
        <f t="shared" si="0"/>
        <v>42341</v>
      </c>
      <c r="J6" s="6">
        <f>ROUND(K6*C6/10000,0)</f>
        <v>5300</v>
      </c>
      <c r="K6" s="37">
        <f>K5</f>
        <v>4416</v>
      </c>
      <c r="L6" s="6">
        <f>ROUND(G6*C6/10000,0)</f>
        <v>56119</v>
      </c>
      <c r="M6" s="3">
        <f>G6</f>
        <v>46757</v>
      </c>
    </row>
    <row r="7" spans="1:13" hidden="1">
      <c r="A7" s="3">
        <v>3</v>
      </c>
      <c r="B7" s="7" t="e">
        <f>[4]面积明细表!B8</f>
        <v>#REF!</v>
      </c>
      <c r="C7" s="4">
        <f>[3]面积明细表!D10</f>
        <v>12210.2</v>
      </c>
      <c r="D7" s="3">
        <f>$D$5</f>
        <v>58446</v>
      </c>
      <c r="E7" s="3">
        <v>0.7</v>
      </c>
      <c r="F7" s="3">
        <v>1</v>
      </c>
      <c r="G7" s="3">
        <f>ROUND(D7*E7*F7,0)</f>
        <v>40912</v>
      </c>
      <c r="H7" s="6">
        <f t="shared" si="0"/>
        <v>44562</v>
      </c>
      <c r="I7" s="37">
        <f t="shared" si="0"/>
        <v>36496</v>
      </c>
      <c r="J7" s="6">
        <f>ROUND(K7*C7/10000,0)</f>
        <v>5392</v>
      </c>
      <c r="K7" s="37">
        <f>K6</f>
        <v>4416</v>
      </c>
      <c r="L7" s="6">
        <f>ROUND(G7*C7/10000,0)</f>
        <v>49954</v>
      </c>
      <c r="M7" s="3">
        <f>G7</f>
        <v>40912</v>
      </c>
    </row>
    <row r="8" spans="1:13" hidden="1">
      <c r="A8" s="3" t="s">
        <v>83</v>
      </c>
      <c r="B8" s="4" t="s">
        <v>239</v>
      </c>
      <c r="C8" s="4">
        <f>SUM(C4:C7)</f>
        <v>45966.350000000006</v>
      </c>
      <c r="D8" s="3" t="s">
        <v>239</v>
      </c>
      <c r="E8" s="3" t="s">
        <v>239</v>
      </c>
      <c r="F8" s="3" t="s">
        <v>239</v>
      </c>
      <c r="G8" s="3" t="s">
        <v>239</v>
      </c>
      <c r="H8" s="1419">
        <f>ROUND(H5+H6+H7+H4,0)</f>
        <v>184592</v>
      </c>
      <c r="I8" s="1419"/>
      <c r="J8" s="1419">
        <f>ROUND(J5+J6+J7+J4,0)</f>
        <v>19146</v>
      </c>
      <c r="K8" s="1419"/>
      <c r="L8" s="6">
        <f>SUM(L4:L7)</f>
        <v>203738</v>
      </c>
      <c r="M8" s="37">
        <f>ROUND(L8*10000/C8,1)</f>
        <v>44323.3</v>
      </c>
    </row>
    <row r="9" spans="1:13" hidden="1">
      <c r="A9" s="1422" t="s">
        <v>794</v>
      </c>
      <c r="B9" s="1423"/>
      <c r="C9" s="1423"/>
      <c r="D9" s="1423"/>
      <c r="E9" s="1423"/>
      <c r="F9" s="1423"/>
      <c r="G9" s="1424"/>
      <c r="H9" s="1425">
        <f>H8</f>
        <v>184592</v>
      </c>
      <c r="I9" s="1425"/>
      <c r="J9" s="1425">
        <f>J8</f>
        <v>19146</v>
      </c>
      <c r="K9" s="1425"/>
      <c r="L9" s="1425">
        <f>L8</f>
        <v>203738</v>
      </c>
      <c r="M9" s="1425"/>
    </row>
    <row r="10" spans="1:13" hidden="1">
      <c r="A10" s="1418" t="s">
        <v>795</v>
      </c>
      <c r="B10" s="1418"/>
      <c r="C10" s="1418"/>
      <c r="D10" s="1418"/>
      <c r="E10" s="1418"/>
      <c r="F10" s="1418"/>
      <c r="G10" s="1418"/>
      <c r="H10" s="1426">
        <v>0</v>
      </c>
      <c r="I10" s="1426"/>
      <c r="J10" s="1426"/>
      <c r="K10" s="1426"/>
      <c r="L10" s="1426"/>
      <c r="M10" s="1427"/>
    </row>
    <row r="11" spans="1:13" hidden="1">
      <c r="A11" s="1428" t="s">
        <v>796</v>
      </c>
      <c r="B11" s="1428"/>
      <c r="C11" s="1428"/>
      <c r="D11" s="1428"/>
      <c r="E11" s="1428"/>
      <c r="F11" s="1428"/>
      <c r="G11" s="1428"/>
      <c r="H11" s="1429">
        <f>L8-H10</f>
        <v>203738</v>
      </c>
      <c r="I11" s="1430"/>
      <c r="J11" s="1430"/>
      <c r="K11" s="1430"/>
      <c r="L11" s="1430"/>
      <c r="M11" s="1431"/>
    </row>
    <row r="12" spans="1:13" hidden="1">
      <c r="A12" s="1422" t="s">
        <v>794</v>
      </c>
      <c r="B12" s="1423"/>
      <c r="C12" s="1423"/>
      <c r="D12" s="1423"/>
      <c r="E12" s="1423"/>
      <c r="F12" s="1423"/>
      <c r="G12" s="1424"/>
      <c r="H12" s="1432">
        <f>H11</f>
        <v>203738</v>
      </c>
      <c r="I12" s="1432"/>
      <c r="J12" s="1432"/>
      <c r="K12" s="1432"/>
      <c r="L12" s="1432"/>
      <c r="M12" s="1433"/>
    </row>
    <row r="13" spans="1:13" hidden="1">
      <c r="M13" s="38" t="s">
        <v>797</v>
      </c>
    </row>
    <row r="14" spans="1:13">
      <c r="M14" s="38" t="s">
        <v>797</v>
      </c>
    </row>
    <row r="15" spans="1:13">
      <c r="D15" s="1421" t="s">
        <v>798</v>
      </c>
      <c r="E15" s="1421"/>
      <c r="F15" s="1421"/>
      <c r="G15" s="1421"/>
      <c r="H15" s="1421"/>
      <c r="I15" s="1421"/>
      <c r="J15" s="39"/>
    </row>
    <row r="16" spans="1:13" ht="28.5">
      <c r="D16" s="8" t="s">
        <v>69</v>
      </c>
      <c r="E16" s="1421" t="s">
        <v>799</v>
      </c>
      <c r="F16" s="1421"/>
      <c r="G16" s="8" t="s">
        <v>800</v>
      </c>
      <c r="H16" s="8" t="s">
        <v>801</v>
      </c>
      <c r="I16" s="8" t="s">
        <v>802</v>
      </c>
      <c r="J16" s="40" t="s">
        <v>803</v>
      </c>
      <c r="K16" s="41" t="e">
        <f>H11-G23</f>
        <v>#REF!</v>
      </c>
    </row>
    <row r="17" spans="4:11" ht="14.25" customHeight="1">
      <c r="D17" s="9">
        <v>1</v>
      </c>
      <c r="E17" s="1437" t="s">
        <v>804</v>
      </c>
      <c r="F17" s="1437"/>
      <c r="G17" s="9" t="e">
        <f>ROUND(J17*I17,0)</f>
        <v>#REF!</v>
      </c>
      <c r="H17" s="9" t="s">
        <v>805</v>
      </c>
      <c r="I17" s="42">
        <v>5.6000000000000001E-2</v>
      </c>
      <c r="J17" s="43" t="e">
        <f>F33</f>
        <v>#REF!</v>
      </c>
    </row>
    <row r="18" spans="4:11" ht="14.25" customHeight="1">
      <c r="D18" s="9">
        <v>2</v>
      </c>
      <c r="E18" s="1437" t="s">
        <v>806</v>
      </c>
      <c r="F18" s="1437"/>
      <c r="G18" s="9" t="e">
        <f>ROUND(J18*I18,0)</f>
        <v>#REF!</v>
      </c>
      <c r="H18" s="9" t="s">
        <v>807</v>
      </c>
      <c r="I18" s="42">
        <v>5.0000000000000001E-4</v>
      </c>
      <c r="J18" s="43" t="e">
        <f>J17</f>
        <v>#REF!</v>
      </c>
    </row>
    <row r="19" spans="4:11" ht="14.25" customHeight="1">
      <c r="D19" s="1437">
        <v>3</v>
      </c>
      <c r="E19" s="1437" t="s">
        <v>808</v>
      </c>
      <c r="F19" s="1437"/>
      <c r="G19" s="1437" t="e">
        <f>F45</f>
        <v>#REF!</v>
      </c>
      <c r="H19" s="1437" t="s">
        <v>807</v>
      </c>
      <c r="I19" s="1440">
        <v>0</v>
      </c>
      <c r="J19" s="1441"/>
    </row>
    <row r="20" spans="4:11" ht="14.25" customHeight="1">
      <c r="D20" s="1437"/>
      <c r="E20" s="1437"/>
      <c r="F20" s="1437"/>
      <c r="G20" s="1437"/>
      <c r="H20" s="1437"/>
      <c r="I20" s="1440"/>
      <c r="J20" s="1441"/>
    </row>
    <row r="21" spans="4:11" ht="14.25" customHeight="1">
      <c r="D21" s="1437">
        <v>4</v>
      </c>
      <c r="E21" s="1437" t="s">
        <v>809</v>
      </c>
      <c r="F21" s="1437"/>
      <c r="G21" s="1437">
        <v>0</v>
      </c>
      <c r="H21" s="1437" t="s">
        <v>807</v>
      </c>
      <c r="I21" s="1440">
        <v>0</v>
      </c>
      <c r="J21" s="1442"/>
    </row>
    <row r="22" spans="4:11" ht="14.25" customHeight="1">
      <c r="D22" s="1437"/>
      <c r="E22" s="1437"/>
      <c r="F22" s="1437"/>
      <c r="G22" s="1437" t="e">
        <f>ROUND(E18*I22,0)</f>
        <v>#VALUE!</v>
      </c>
      <c r="H22" s="1437"/>
      <c r="I22" s="1440"/>
      <c r="J22" s="1441"/>
      <c r="K22" s="2" t="e">
        <f>G21+G19+G18+G17</f>
        <v>#REF!</v>
      </c>
    </row>
    <row r="23" spans="4:11" ht="14.25" customHeight="1">
      <c r="D23" s="1437">
        <v>6</v>
      </c>
      <c r="E23" s="1437" t="s">
        <v>810</v>
      </c>
      <c r="F23" s="9" t="s">
        <v>811</v>
      </c>
      <c r="G23" s="1437" t="e">
        <f>SUM(G17:G21)</f>
        <v>#REF!</v>
      </c>
      <c r="H23" s="1437"/>
      <c r="I23" s="1437"/>
      <c r="J23" s="39"/>
    </row>
    <row r="24" spans="4:11" ht="28.5" customHeight="1">
      <c r="D24" s="1437"/>
      <c r="E24" s="1437"/>
      <c r="F24" s="9" t="s">
        <v>812</v>
      </c>
      <c r="G24" s="1438" t="e">
        <f>G23*10000</f>
        <v>#REF!</v>
      </c>
      <c r="H24" s="1438"/>
      <c r="I24" s="1438"/>
      <c r="J24" s="39"/>
    </row>
    <row r="25" spans="4:11">
      <c r="D25" s="10"/>
      <c r="E25" s="10"/>
      <c r="F25" s="10"/>
      <c r="G25" s="10"/>
      <c r="H25" s="10"/>
      <c r="I25" s="10"/>
      <c r="J25" s="10"/>
    </row>
    <row r="26" spans="4:11">
      <c r="D26" s="10"/>
      <c r="E26" s="10"/>
      <c r="F26" s="10"/>
      <c r="G26" s="10"/>
      <c r="H26" s="10"/>
      <c r="I26" s="10"/>
      <c r="J26" s="10"/>
    </row>
    <row r="27" spans="4:11">
      <c r="D27" s="10"/>
      <c r="E27" s="10"/>
      <c r="F27" s="10"/>
      <c r="G27" s="10"/>
      <c r="H27" s="10"/>
      <c r="I27" s="10"/>
      <c r="J27" s="10"/>
    </row>
    <row r="28" spans="4:11">
      <c r="D28" s="10"/>
      <c r="E28" s="10"/>
      <c r="F28" s="10"/>
      <c r="G28" s="10"/>
      <c r="H28" s="10"/>
      <c r="I28" s="10"/>
      <c r="J28" s="10"/>
    </row>
    <row r="29" spans="4:11" ht="14.25" customHeight="1">
      <c r="D29" s="10"/>
      <c r="E29" s="10"/>
      <c r="F29" s="10"/>
      <c r="G29" s="10"/>
      <c r="H29" s="10"/>
      <c r="I29" s="10"/>
      <c r="J29" s="10"/>
    </row>
    <row r="30" spans="4:11">
      <c r="D30" s="1439" t="s">
        <v>813</v>
      </c>
      <c r="E30" s="1439"/>
      <c r="F30" s="1439"/>
      <c r="G30" s="1439"/>
      <c r="H30" s="1439"/>
      <c r="I30" s="1439"/>
      <c r="J30" s="1439"/>
    </row>
    <row r="31" spans="4:11" ht="14.25" customHeight="1">
      <c r="D31" s="1434" t="s">
        <v>808</v>
      </c>
      <c r="E31" s="1435"/>
      <c r="F31" s="1435"/>
      <c r="G31" s="1435"/>
      <c r="H31" s="1435"/>
      <c r="I31" s="1435"/>
      <c r="J31" s="1436"/>
    </row>
    <row r="32" spans="4:11">
      <c r="D32" s="1448" t="s">
        <v>87</v>
      </c>
      <c r="E32" s="1449"/>
      <c r="F32" s="11"/>
      <c r="G32" s="11" t="s">
        <v>814</v>
      </c>
      <c r="H32" s="1450" t="s">
        <v>693</v>
      </c>
      <c r="I32" s="1450"/>
      <c r="J32" s="1451"/>
    </row>
    <row r="33" spans="3:10" ht="14.25" customHeight="1">
      <c r="C33" s="2" t="e">
        <f>F33/'[5]收益法（地上商业）'!D5</f>
        <v>#REF!</v>
      </c>
      <c r="D33" s="12">
        <v>1</v>
      </c>
      <c r="E33" s="13" t="s">
        <v>815</v>
      </c>
      <c r="F33" s="14" t="e">
        <f>#REF!*0.6</f>
        <v>#REF!</v>
      </c>
      <c r="G33" s="15" t="s">
        <v>239</v>
      </c>
      <c r="H33" s="1452" t="s">
        <v>816</v>
      </c>
      <c r="I33" s="1452"/>
      <c r="J33" s="1453"/>
    </row>
    <row r="34" spans="3:10" ht="36.75" customHeight="1">
      <c r="D34" s="16">
        <v>2</v>
      </c>
      <c r="E34" s="17" t="s">
        <v>817</v>
      </c>
      <c r="F34" s="18" t="e">
        <f>F35+F38+F39+F40+F41+F42</f>
        <v>#REF!</v>
      </c>
      <c r="G34" s="15"/>
      <c r="H34" s="1452"/>
      <c r="I34" s="1452"/>
      <c r="J34" s="1453"/>
    </row>
    <row r="35" spans="3:10" ht="36.75" customHeight="1">
      <c r="D35" s="19" t="s">
        <v>818</v>
      </c>
      <c r="E35" s="20" t="s">
        <v>819</v>
      </c>
      <c r="F35" s="15">
        <f>F36+F37</f>
        <v>16488</v>
      </c>
      <c r="G35" s="15" t="s">
        <v>239</v>
      </c>
      <c r="H35" s="1452" t="s">
        <v>820</v>
      </c>
      <c r="I35" s="1452"/>
      <c r="J35" s="1453"/>
    </row>
    <row r="36" spans="3:10" ht="14.25" customHeight="1">
      <c r="D36" s="19" t="s">
        <v>821</v>
      </c>
      <c r="E36" s="21" t="s">
        <v>822</v>
      </c>
      <c r="F36" s="22">
        <v>16000</v>
      </c>
      <c r="G36" s="23"/>
      <c r="H36" s="1452" t="s">
        <v>823</v>
      </c>
      <c r="I36" s="1452"/>
      <c r="J36" s="1453"/>
    </row>
    <row r="37" spans="3:10">
      <c r="D37" s="19" t="s">
        <v>824</v>
      </c>
      <c r="E37" s="21" t="s">
        <v>368</v>
      </c>
      <c r="F37" s="15">
        <f>ROUND(F36*G37,0)</f>
        <v>488</v>
      </c>
      <c r="G37" s="23">
        <v>3.0499999999999999E-2</v>
      </c>
      <c r="H37" s="1452" t="s">
        <v>825</v>
      </c>
      <c r="I37" s="1452"/>
      <c r="J37" s="1453"/>
    </row>
    <row r="38" spans="3:10" s="1" customFormat="1" ht="42.75" customHeight="1">
      <c r="D38" s="24" t="s">
        <v>826</v>
      </c>
      <c r="E38" s="25" t="s">
        <v>827</v>
      </c>
      <c r="F38" s="22"/>
      <c r="G38" s="22"/>
      <c r="H38" s="1457" t="s">
        <v>828</v>
      </c>
      <c r="I38" s="1458"/>
      <c r="J38" s="1459"/>
    </row>
    <row r="39" spans="3:10" ht="36">
      <c r="D39" s="19" t="s">
        <v>826</v>
      </c>
      <c r="E39" s="20" t="s">
        <v>370</v>
      </c>
      <c r="F39" s="26" t="e">
        <f>#REF!+'收益法 '!D16+'收（车）'!D16</f>
        <v>#REF!</v>
      </c>
      <c r="G39" s="15" t="s">
        <v>829</v>
      </c>
      <c r="H39" s="1452" t="s">
        <v>830</v>
      </c>
      <c r="I39" s="1452"/>
      <c r="J39" s="1453"/>
    </row>
    <row r="40" spans="3:10" ht="24">
      <c r="D40" s="19" t="s">
        <v>831</v>
      </c>
      <c r="E40" s="20" t="s">
        <v>832</v>
      </c>
      <c r="F40" s="15" t="e">
        <f>ROUND((F35+F38+F39)*G40,0)</f>
        <v>#REF!</v>
      </c>
      <c r="G40" s="27">
        <v>0.05</v>
      </c>
      <c r="H40" s="1452" t="s">
        <v>833</v>
      </c>
      <c r="I40" s="1452"/>
      <c r="J40" s="1453"/>
    </row>
    <row r="41" spans="3:10" ht="36">
      <c r="D41" s="19" t="s">
        <v>834</v>
      </c>
      <c r="E41" s="20" t="s">
        <v>835</v>
      </c>
      <c r="F41" s="28" t="e">
        <f>ROUND(F33*G41,0)</f>
        <v>#REF!</v>
      </c>
      <c r="G41" s="29">
        <f>H41+I41</f>
        <v>5.5500000000000001E-2</v>
      </c>
      <c r="H41" s="30">
        <v>5.5E-2</v>
      </c>
      <c r="I41" s="29">
        <v>5.0000000000000001E-4</v>
      </c>
      <c r="J41" s="44" t="s">
        <v>836</v>
      </c>
    </row>
    <row r="42" spans="3:10" ht="24">
      <c r="D42" s="19" t="s">
        <v>837</v>
      </c>
      <c r="E42" s="20" t="s">
        <v>838</v>
      </c>
      <c r="F42" s="15" t="e">
        <f>ROUND((F38+F39)*G42,0)</f>
        <v>#REF!</v>
      </c>
      <c r="G42" s="27">
        <v>0.2</v>
      </c>
      <c r="H42" s="1443" t="s">
        <v>839</v>
      </c>
      <c r="I42" s="1444"/>
      <c r="J42" s="1445"/>
    </row>
    <row r="43" spans="3:10">
      <c r="D43" s="31" t="s">
        <v>334</v>
      </c>
      <c r="E43" s="13" t="s">
        <v>840</v>
      </c>
      <c r="F43" s="18" t="e">
        <f>ROUND(F33-F34,0)</f>
        <v>#REF!</v>
      </c>
      <c r="G43" s="15"/>
      <c r="H43" s="1446"/>
      <c r="I43" s="1446"/>
      <c r="J43" s="1447"/>
    </row>
    <row r="44" spans="3:10" ht="36">
      <c r="D44" s="31" t="s">
        <v>336</v>
      </c>
      <c r="E44" s="13" t="s">
        <v>841</v>
      </c>
      <c r="F44" s="32" t="e">
        <f>F43/F34</f>
        <v>#REF!</v>
      </c>
      <c r="G44" s="15"/>
      <c r="H44" s="1446"/>
      <c r="I44" s="1446"/>
      <c r="J44" s="1447"/>
    </row>
    <row r="45" spans="3:10" ht="24">
      <c r="D45" s="33" t="s">
        <v>339</v>
      </c>
      <c r="E45" s="34" t="s">
        <v>842</v>
      </c>
      <c r="F45" s="35" t="e">
        <f>ROUND(IF(F44&gt;=200%,F43*60%-F34*35%,IF(F44&gt;=100%,F43*50%-F34*15%,IF(F44&gt;=50%,F43*40%-F34*5%,IF(F44&lt;50%,F43*30%)))),0)</f>
        <v>#REF!</v>
      </c>
      <c r="G45" s="36"/>
      <c r="H45" s="1454"/>
      <c r="I45" s="1454"/>
      <c r="J45" s="1455"/>
    </row>
  </sheetData>
  <mergeCells count="59">
    <mergeCell ref="H44:J44"/>
    <mergeCell ref="H45:J45"/>
    <mergeCell ref="A2:A3"/>
    <mergeCell ref="B2:B3"/>
    <mergeCell ref="C2:C3"/>
    <mergeCell ref="D2:D3"/>
    <mergeCell ref="D19:D20"/>
    <mergeCell ref="D21:D22"/>
    <mergeCell ref="D23:D24"/>
    <mergeCell ref="E2:E3"/>
    <mergeCell ref="H37:J37"/>
    <mergeCell ref="H38:J38"/>
    <mergeCell ref="H39:J39"/>
    <mergeCell ref="H40:J40"/>
    <mergeCell ref="H21:H22"/>
    <mergeCell ref="I19:I20"/>
    <mergeCell ref="H42:J42"/>
    <mergeCell ref="H43:J43"/>
    <mergeCell ref="D32:E32"/>
    <mergeCell ref="H32:J32"/>
    <mergeCell ref="H33:J33"/>
    <mergeCell ref="H34:J34"/>
    <mergeCell ref="H35:J35"/>
    <mergeCell ref="H36:J36"/>
    <mergeCell ref="E17:F17"/>
    <mergeCell ref="E18:F18"/>
    <mergeCell ref="G23:I23"/>
    <mergeCell ref="G24:I24"/>
    <mergeCell ref="D30:J30"/>
    <mergeCell ref="E19:F20"/>
    <mergeCell ref="E21:F22"/>
    <mergeCell ref="I21:I22"/>
    <mergeCell ref="J19:J20"/>
    <mergeCell ref="J21:J22"/>
    <mergeCell ref="D31:J31"/>
    <mergeCell ref="E23:E24"/>
    <mergeCell ref="G19:G20"/>
    <mergeCell ref="G21:G22"/>
    <mergeCell ref="H19:H20"/>
    <mergeCell ref="E16:F16"/>
    <mergeCell ref="A9:G9"/>
    <mergeCell ref="H9:I9"/>
    <mergeCell ref="J9:K9"/>
    <mergeCell ref="L9:M9"/>
    <mergeCell ref="A10:G10"/>
    <mergeCell ref="H10:M10"/>
    <mergeCell ref="A11:G11"/>
    <mergeCell ref="H11:M11"/>
    <mergeCell ref="A12:G12"/>
    <mergeCell ref="H12:M12"/>
    <mergeCell ref="D15:I15"/>
    <mergeCell ref="A1:M1"/>
    <mergeCell ref="H2:I2"/>
    <mergeCell ref="J2:K2"/>
    <mergeCell ref="L2:M2"/>
    <mergeCell ref="H8:I8"/>
    <mergeCell ref="J8:K8"/>
    <mergeCell ref="F2:F3"/>
    <mergeCell ref="G2:G3"/>
  </mergeCells>
  <phoneticPr fontId="93" type="noConversion"/>
  <pageMargins left="0.70833333333333337" right="0.70833333333333337" top="0.74791666666666667" bottom="0.74791666666666667" header="0.31458333333333333" footer="0.31458333333333333"/>
  <pageSetup paperSize="9" scale="85" orientation="portrait" r:id="rId1"/>
  <headerFooter alignWithMargins="0"/>
  <colBreaks count="1" manualBreakCount="1">
    <brk id="10" min="14" max="44"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4"/>
  <sheetViews>
    <sheetView view="pageBreakPreview" zoomScale="89" zoomScaleSheetLayoutView="89" workbookViewId="0">
      <selection activeCell="L46" sqref="L46"/>
    </sheetView>
  </sheetViews>
  <sheetFormatPr defaultRowHeight="13.5"/>
  <sheetData>
    <row r="1" spans="1:12" s="894" customFormat="1">
      <c r="A1" s="1462" t="s">
        <v>273</v>
      </c>
      <c r="B1" s="1462"/>
      <c r="C1" s="890">
        <v>2015</v>
      </c>
      <c r="D1" s="890">
        <v>1</v>
      </c>
      <c r="E1" s="890">
        <v>27</v>
      </c>
    </row>
    <row r="2" spans="1:12" s="894" customFormat="1">
      <c r="A2" s="1462" t="s">
        <v>927</v>
      </c>
      <c r="B2" s="1462"/>
      <c r="C2" s="890">
        <v>2020</v>
      </c>
      <c r="D2" s="890">
        <v>12</v>
      </c>
      <c r="E2" s="890">
        <v>31</v>
      </c>
    </row>
    <row r="3" spans="1:12" s="894" customFormat="1">
      <c r="A3" s="1462"/>
      <c r="B3" s="1462"/>
      <c r="C3" s="890"/>
      <c r="D3" s="890"/>
      <c r="E3" s="890"/>
    </row>
    <row r="4" spans="1:12" s="894" customFormat="1">
      <c r="A4" s="1462" t="s">
        <v>280</v>
      </c>
      <c r="B4" s="1462"/>
      <c r="C4" s="890">
        <v>5.92</v>
      </c>
      <c r="D4" s="890" t="s">
        <v>281</v>
      </c>
      <c r="E4" s="954"/>
    </row>
    <row r="5" spans="1:12" s="894" customFormat="1" ht="13.5" customHeight="1">
      <c r="A5" s="1463" t="s">
        <v>283</v>
      </c>
      <c r="B5" s="1463"/>
      <c r="C5" s="955" t="e">
        <f>C6-C4</f>
        <v>#REF!</v>
      </c>
      <c r="D5" s="890" t="s">
        <v>281</v>
      </c>
      <c r="E5" s="956"/>
    </row>
    <row r="6" spans="1:12" s="894" customFormat="1">
      <c r="A6" s="1462" t="s">
        <v>285</v>
      </c>
      <c r="B6" s="1462"/>
      <c r="C6" s="955" t="e">
        <f>#REF!</f>
        <v>#REF!</v>
      </c>
      <c r="D6" s="890" t="s">
        <v>281</v>
      </c>
      <c r="E6" s="890"/>
    </row>
    <row r="7" spans="1:12" s="894" customFormat="1">
      <c r="B7" s="895"/>
    </row>
    <row r="8" spans="1:12" s="894" customFormat="1" ht="31.5">
      <c r="A8" s="896" t="s">
        <v>929</v>
      </c>
      <c r="B8" s="957" t="s">
        <v>1041</v>
      </c>
      <c r="C8" s="957" t="s">
        <v>1042</v>
      </c>
      <c r="D8" s="957" t="s">
        <v>1043</v>
      </c>
      <c r="E8" s="957" t="s">
        <v>930</v>
      </c>
      <c r="F8" s="957" t="s">
        <v>931</v>
      </c>
      <c r="G8" s="957" t="s">
        <v>932</v>
      </c>
    </row>
    <row r="9" spans="1:12" s="894" customFormat="1">
      <c r="A9" s="896" t="s">
        <v>845</v>
      </c>
      <c r="B9" s="958" t="e">
        <f>#REF!</f>
        <v>#REF!</v>
      </c>
      <c r="C9" s="958" t="e">
        <f>#REF!</f>
        <v>#REF!</v>
      </c>
      <c r="D9" s="958" t="e">
        <f>#REF!</f>
        <v>#REF!</v>
      </c>
      <c r="E9" s="958"/>
      <c r="F9" s="958"/>
      <c r="G9" s="958"/>
    </row>
    <row r="10" spans="1:12" s="898" customFormat="1" ht="12">
      <c r="A10" s="896" t="s">
        <v>928</v>
      </c>
      <c r="B10" s="896"/>
      <c r="C10" s="896"/>
      <c r="D10" s="896"/>
      <c r="E10" s="896"/>
      <c r="F10" s="896">
        <v>1</v>
      </c>
      <c r="G10" s="896">
        <v>1</v>
      </c>
    </row>
    <row r="11" spans="1:12" s="898" customFormat="1" ht="12">
      <c r="A11" s="896" t="s">
        <v>929</v>
      </c>
      <c r="B11" s="897" t="s">
        <v>933</v>
      </c>
      <c r="C11" s="897" t="s">
        <v>934</v>
      </c>
      <c r="D11" s="897" t="s">
        <v>935</v>
      </c>
      <c r="E11" s="897" t="s">
        <v>936</v>
      </c>
      <c r="F11" s="897" t="s">
        <v>937</v>
      </c>
      <c r="G11" s="897" t="s">
        <v>938</v>
      </c>
    </row>
    <row r="12" spans="1:12" s="898" customFormat="1" ht="12">
      <c r="A12" s="896" t="s">
        <v>845</v>
      </c>
      <c r="B12" s="896"/>
      <c r="C12" s="896"/>
      <c r="D12" s="896"/>
      <c r="E12" s="896"/>
      <c r="F12" s="896"/>
      <c r="G12" s="896"/>
    </row>
    <row r="13" spans="1:12" s="898" customFormat="1" ht="12">
      <c r="A13" s="896" t="s">
        <v>928</v>
      </c>
      <c r="B13" s="896">
        <v>1</v>
      </c>
      <c r="C13" s="896">
        <v>1</v>
      </c>
      <c r="D13" s="896">
        <v>1</v>
      </c>
      <c r="E13" s="896">
        <v>1</v>
      </c>
      <c r="F13" s="896">
        <v>1</v>
      </c>
      <c r="G13" s="896">
        <v>1</v>
      </c>
    </row>
    <row r="14" spans="1:12" s="894" customFormat="1">
      <c r="A14" s="899"/>
    </row>
    <row r="15" spans="1:12" s="894" customFormat="1">
      <c r="A15" s="1460" t="s">
        <v>939</v>
      </c>
      <c r="B15" s="1461" t="s">
        <v>940</v>
      </c>
      <c r="C15" s="230" t="s">
        <v>1044</v>
      </c>
      <c r="D15" s="230" t="s">
        <v>1045</v>
      </c>
      <c r="E15" s="230" t="s">
        <v>1046</v>
      </c>
      <c r="F15" s="230"/>
      <c r="G15" s="230"/>
      <c r="H15" s="230"/>
      <c r="I15" s="230"/>
      <c r="J15" s="230" t="s">
        <v>941</v>
      </c>
      <c r="K15" s="230" t="s">
        <v>942</v>
      </c>
      <c r="L15" s="900" t="s">
        <v>943</v>
      </c>
    </row>
    <row r="16" spans="1:12" s="894" customFormat="1">
      <c r="A16" s="1460"/>
      <c r="B16" s="1461"/>
      <c r="C16" s="901">
        <f>E9</f>
        <v>0</v>
      </c>
      <c r="D16" s="901">
        <f>F9</f>
        <v>0</v>
      </c>
      <c r="E16" s="901">
        <f>G9</f>
        <v>0</v>
      </c>
      <c r="F16" s="901">
        <f>C12</f>
        <v>0</v>
      </c>
      <c r="G16" s="901">
        <f>D12</f>
        <v>0</v>
      </c>
      <c r="H16" s="901">
        <f>F12</f>
        <v>0</v>
      </c>
      <c r="I16" s="901">
        <f>G12</f>
        <v>0</v>
      </c>
      <c r="J16" s="901" t="s">
        <v>944</v>
      </c>
      <c r="K16" s="230"/>
      <c r="L16" s="902"/>
    </row>
    <row r="17" spans="1:14" s="894" customFormat="1">
      <c r="A17" s="903" t="s">
        <v>945</v>
      </c>
      <c r="B17" s="230" t="s">
        <v>946</v>
      </c>
      <c r="C17" s="231">
        <v>25.89</v>
      </c>
      <c r="D17" s="231">
        <f>C17</f>
        <v>25.89</v>
      </c>
      <c r="E17" s="231">
        <f>C17</f>
        <v>25.89</v>
      </c>
      <c r="F17" s="231">
        <v>0</v>
      </c>
      <c r="G17" s="231">
        <v>0</v>
      </c>
      <c r="H17" s="231">
        <v>0</v>
      </c>
      <c r="I17" s="231">
        <v>0</v>
      </c>
      <c r="J17" s="231">
        <f>C17</f>
        <v>25.89</v>
      </c>
      <c r="K17" s="230"/>
      <c r="L17" s="902"/>
    </row>
    <row r="18" spans="1:14" s="894" customFormat="1">
      <c r="A18" s="903" t="s">
        <v>947</v>
      </c>
      <c r="B18" s="232" t="s">
        <v>948</v>
      </c>
      <c r="C18" s="904" t="s">
        <v>944</v>
      </c>
      <c r="D18" s="904" t="s">
        <v>944</v>
      </c>
      <c r="E18" s="904" t="s">
        <v>944</v>
      </c>
      <c r="F18" s="904" t="s">
        <v>944</v>
      </c>
      <c r="G18" s="904" t="s">
        <v>944</v>
      </c>
      <c r="H18" s="904" t="s">
        <v>944</v>
      </c>
      <c r="I18" s="904" t="s">
        <v>944</v>
      </c>
      <c r="J18" s="905">
        <v>10</v>
      </c>
      <c r="K18" s="230"/>
      <c r="L18" s="902"/>
    </row>
    <row r="19" spans="1:14" s="894" customFormat="1">
      <c r="A19" s="903" t="s">
        <v>949</v>
      </c>
      <c r="B19" s="232" t="s">
        <v>950</v>
      </c>
      <c r="C19" s="904" t="s">
        <v>944</v>
      </c>
      <c r="D19" s="904" t="s">
        <v>944</v>
      </c>
      <c r="E19" s="904" t="s">
        <v>944</v>
      </c>
      <c r="F19" s="904" t="s">
        <v>944</v>
      </c>
      <c r="G19" s="904" t="s">
        <v>944</v>
      </c>
      <c r="H19" s="904" t="s">
        <v>944</v>
      </c>
      <c r="I19" s="904" t="s">
        <v>944</v>
      </c>
      <c r="J19" s="906">
        <v>0.1</v>
      </c>
      <c r="K19" s="230"/>
      <c r="L19" s="902"/>
    </row>
    <row r="20" spans="1:14" s="894" customFormat="1" ht="24">
      <c r="A20" s="903">
        <v>1</v>
      </c>
      <c r="B20" s="232" t="s">
        <v>951</v>
      </c>
      <c r="C20" s="233" t="e">
        <f>B9</f>
        <v>#REF!</v>
      </c>
      <c r="D20" s="233" t="e">
        <f>C9</f>
        <v>#REF!</v>
      </c>
      <c r="E20" s="233" t="e">
        <f>D9</f>
        <v>#REF!</v>
      </c>
      <c r="F20" s="233">
        <f t="shared" ref="F20:I20" si="0">F16</f>
        <v>0</v>
      </c>
      <c r="G20" s="233">
        <f t="shared" si="0"/>
        <v>0</v>
      </c>
      <c r="H20" s="233">
        <f t="shared" si="0"/>
        <v>0</v>
      </c>
      <c r="I20" s="233">
        <f t="shared" si="0"/>
        <v>0</v>
      </c>
      <c r="J20" s="233">
        <f>ROUND(J18*J17*365*(1-J19),0)</f>
        <v>85049</v>
      </c>
      <c r="K20" s="893"/>
      <c r="L20" s="242" t="s">
        <v>952</v>
      </c>
    </row>
    <row r="21" spans="1:14" s="894" customFormat="1" ht="24">
      <c r="A21" s="903" t="s">
        <v>953</v>
      </c>
      <c r="B21" s="907" t="s">
        <v>954</v>
      </c>
      <c r="C21" s="908" t="e">
        <f t="shared" ref="C21:J21" si="1">ROUND(C20*$K$21,0)</f>
        <v>#REF!</v>
      </c>
      <c r="D21" s="908" t="e">
        <f t="shared" si="1"/>
        <v>#REF!</v>
      </c>
      <c r="E21" s="908" t="e">
        <f t="shared" si="1"/>
        <v>#REF!</v>
      </c>
      <c r="F21" s="908">
        <f t="shared" si="1"/>
        <v>0</v>
      </c>
      <c r="G21" s="908">
        <f t="shared" si="1"/>
        <v>0</v>
      </c>
      <c r="H21" s="908">
        <f t="shared" si="1"/>
        <v>0</v>
      </c>
      <c r="I21" s="908">
        <f t="shared" si="1"/>
        <v>0</v>
      </c>
      <c r="J21" s="908">
        <f t="shared" si="1"/>
        <v>4763</v>
      </c>
      <c r="K21" s="909">
        <v>5.6000000000000001E-2</v>
      </c>
      <c r="L21" s="240" t="s">
        <v>955</v>
      </c>
      <c r="M21" s="910"/>
    </row>
    <row r="22" spans="1:14" s="894" customFormat="1" ht="48">
      <c r="A22" s="903" t="s">
        <v>956</v>
      </c>
      <c r="B22" s="907" t="s">
        <v>957</v>
      </c>
      <c r="C22" s="911">
        <f>ROUND($N$22*$K$22*(1-30%),0)</f>
        <v>37</v>
      </c>
      <c r="D22" s="911">
        <f>$C$22</f>
        <v>37</v>
      </c>
      <c r="E22" s="911">
        <f t="shared" ref="E22" si="2">$C$22</f>
        <v>37</v>
      </c>
      <c r="F22" s="911">
        <v>0</v>
      </c>
      <c r="G22" s="911">
        <v>0</v>
      </c>
      <c r="H22" s="911">
        <v>0</v>
      </c>
      <c r="I22" s="911">
        <v>0</v>
      </c>
      <c r="J22" s="911">
        <v>0</v>
      </c>
      <c r="K22" s="909">
        <v>1.2E-2</v>
      </c>
      <c r="L22" s="240" t="s">
        <v>958</v>
      </c>
      <c r="M22" s="912" t="s">
        <v>959</v>
      </c>
      <c r="N22" s="913">
        <f>C54-C51-C54*C52</f>
        <v>4366.37</v>
      </c>
    </row>
    <row r="23" spans="1:14" s="894" customFormat="1">
      <c r="A23" s="903" t="s">
        <v>960</v>
      </c>
      <c r="B23" s="907" t="s">
        <v>961</v>
      </c>
      <c r="C23" s="911">
        <f>ROUND($K$23*$N$23,0)</f>
        <v>0</v>
      </c>
      <c r="D23" s="911">
        <f>$C$23</f>
        <v>0</v>
      </c>
      <c r="E23" s="911">
        <f t="shared" ref="E23:J23" si="3">$C$23</f>
        <v>0</v>
      </c>
      <c r="F23" s="911">
        <f t="shared" si="3"/>
        <v>0</v>
      </c>
      <c r="G23" s="911">
        <f t="shared" si="3"/>
        <v>0</v>
      </c>
      <c r="H23" s="911">
        <f t="shared" si="3"/>
        <v>0</v>
      </c>
      <c r="I23" s="911">
        <f t="shared" si="3"/>
        <v>0</v>
      </c>
      <c r="J23" s="911">
        <f t="shared" si="3"/>
        <v>0</v>
      </c>
      <c r="K23" s="914">
        <v>3</v>
      </c>
      <c r="L23" s="915" t="s">
        <v>962</v>
      </c>
      <c r="M23" s="912" t="s">
        <v>843</v>
      </c>
      <c r="N23" s="913"/>
    </row>
    <row r="24" spans="1:14" s="922" customFormat="1">
      <c r="A24" s="916" t="s">
        <v>963</v>
      </c>
      <c r="B24" s="917" t="s">
        <v>964</v>
      </c>
      <c r="C24" s="233" t="e">
        <f>SUM(C21:C23,0)</f>
        <v>#REF!</v>
      </c>
      <c r="D24" s="233" t="e">
        <f t="shared" ref="D24:J24" si="4">SUM(D21:D23,0)</f>
        <v>#REF!</v>
      </c>
      <c r="E24" s="233" t="e">
        <f t="shared" si="4"/>
        <v>#REF!</v>
      </c>
      <c r="F24" s="233">
        <f t="shared" si="4"/>
        <v>0</v>
      </c>
      <c r="G24" s="233">
        <f t="shared" si="4"/>
        <v>0</v>
      </c>
      <c r="H24" s="233">
        <f t="shared" si="4"/>
        <v>0</v>
      </c>
      <c r="I24" s="233">
        <f t="shared" si="4"/>
        <v>0</v>
      </c>
      <c r="J24" s="233">
        <f t="shared" si="4"/>
        <v>4763</v>
      </c>
      <c r="K24" s="918"/>
      <c r="L24" s="919" t="s">
        <v>965</v>
      </c>
      <c r="M24" s="920"/>
      <c r="N24" s="921"/>
    </row>
    <row r="25" spans="1:14" s="894" customFormat="1">
      <c r="A25" s="903" t="s">
        <v>966</v>
      </c>
      <c r="B25" s="236" t="s">
        <v>967</v>
      </c>
      <c r="C25" s="923">
        <f>ROUND($N$25*$K$25,0)</f>
        <v>11</v>
      </c>
      <c r="D25" s="923">
        <f>$C$25</f>
        <v>11</v>
      </c>
      <c r="E25" s="923">
        <f t="shared" ref="E25:J25" si="5">$C$25</f>
        <v>11</v>
      </c>
      <c r="F25" s="923">
        <v>0</v>
      </c>
      <c r="G25" s="923">
        <v>0</v>
      </c>
      <c r="H25" s="923">
        <v>0</v>
      </c>
      <c r="I25" s="923">
        <v>0</v>
      </c>
      <c r="J25" s="923">
        <f t="shared" si="5"/>
        <v>11</v>
      </c>
      <c r="K25" s="924">
        <v>2E-3</v>
      </c>
      <c r="L25" s="915" t="s">
        <v>968</v>
      </c>
      <c r="M25" s="912" t="s">
        <v>969</v>
      </c>
      <c r="N25" s="913">
        <f>C54</f>
        <v>5326</v>
      </c>
    </row>
    <row r="26" spans="1:14" s="894" customFormat="1">
      <c r="A26" s="903" t="s">
        <v>970</v>
      </c>
      <c r="B26" s="236" t="s">
        <v>971</v>
      </c>
      <c r="C26" s="923">
        <f>ROUND(L41*$K$26,0)</f>
        <v>1</v>
      </c>
      <c r="D26" s="923">
        <f>ROUND(L42*$K$26,0)</f>
        <v>1</v>
      </c>
      <c r="E26" s="923">
        <f>ROUND(L43*$K$26,0)</f>
        <v>1</v>
      </c>
      <c r="F26" s="923">
        <v>0</v>
      </c>
      <c r="G26" s="923">
        <v>0</v>
      </c>
      <c r="H26" s="923">
        <v>0</v>
      </c>
      <c r="I26" s="923">
        <v>0</v>
      </c>
      <c r="J26" s="923">
        <f>ROUND(L50*$K$26,0)</f>
        <v>0</v>
      </c>
      <c r="K26" s="925">
        <v>2.5000000000000001E-4</v>
      </c>
      <c r="L26" s="247" t="s">
        <v>972</v>
      </c>
      <c r="M26" s="898"/>
    </row>
    <row r="27" spans="1:14" s="894" customFormat="1">
      <c r="A27" s="903" t="s">
        <v>973</v>
      </c>
      <c r="B27" s="236" t="s">
        <v>974</v>
      </c>
      <c r="C27" s="923" t="e">
        <f t="shared" ref="C27:J27" si="6">ROUND($K$27*C20,0)</f>
        <v>#REF!</v>
      </c>
      <c r="D27" s="923" t="e">
        <f t="shared" si="6"/>
        <v>#REF!</v>
      </c>
      <c r="E27" s="923" t="e">
        <f t="shared" si="6"/>
        <v>#REF!</v>
      </c>
      <c r="F27" s="923">
        <f t="shared" si="6"/>
        <v>0</v>
      </c>
      <c r="G27" s="923">
        <f t="shared" si="6"/>
        <v>0</v>
      </c>
      <c r="H27" s="923">
        <f t="shared" si="6"/>
        <v>0</v>
      </c>
      <c r="I27" s="923">
        <f t="shared" si="6"/>
        <v>0</v>
      </c>
      <c r="J27" s="923">
        <f t="shared" si="6"/>
        <v>1701</v>
      </c>
      <c r="K27" s="926">
        <v>0.02</v>
      </c>
      <c r="L27" s="242" t="s">
        <v>955</v>
      </c>
      <c r="M27" s="898"/>
    </row>
    <row r="28" spans="1:14" s="894" customFormat="1" ht="36">
      <c r="A28" s="903">
        <v>2</v>
      </c>
      <c r="B28" s="232" t="s">
        <v>975</v>
      </c>
      <c r="C28" s="927" t="e">
        <f>ROUND(SUM(C24:C27),0)</f>
        <v>#REF!</v>
      </c>
      <c r="D28" s="927" t="e">
        <f t="shared" ref="D28:J28" si="7">ROUND(SUM(D24:D27),0)</f>
        <v>#REF!</v>
      </c>
      <c r="E28" s="927" t="e">
        <f t="shared" si="7"/>
        <v>#REF!</v>
      </c>
      <c r="F28" s="927">
        <f t="shared" si="7"/>
        <v>0</v>
      </c>
      <c r="G28" s="927">
        <f t="shared" si="7"/>
        <v>0</v>
      </c>
      <c r="H28" s="927">
        <f t="shared" si="7"/>
        <v>0</v>
      </c>
      <c r="I28" s="927">
        <f t="shared" si="7"/>
        <v>0</v>
      </c>
      <c r="J28" s="927">
        <f t="shared" si="7"/>
        <v>6475</v>
      </c>
      <c r="K28" s="232"/>
      <c r="L28" s="928" t="s">
        <v>976</v>
      </c>
    </row>
    <row r="29" spans="1:14" s="894" customFormat="1" ht="24">
      <c r="A29" s="903" t="s">
        <v>977</v>
      </c>
      <c r="B29" s="232" t="s">
        <v>978</v>
      </c>
      <c r="C29" s="927" t="e">
        <f>ROUND(C20-C28,0)</f>
        <v>#REF!</v>
      </c>
      <c r="D29" s="927" t="e">
        <f t="shared" ref="D29:J29" si="8">ROUND(D20-D28,0)</f>
        <v>#REF!</v>
      </c>
      <c r="E29" s="927" t="e">
        <f t="shared" si="8"/>
        <v>#REF!</v>
      </c>
      <c r="F29" s="927">
        <f t="shared" si="8"/>
        <v>0</v>
      </c>
      <c r="G29" s="927">
        <f t="shared" si="8"/>
        <v>0</v>
      </c>
      <c r="H29" s="927">
        <f t="shared" si="8"/>
        <v>0</v>
      </c>
      <c r="I29" s="927">
        <f t="shared" si="8"/>
        <v>0</v>
      </c>
      <c r="J29" s="927">
        <f t="shared" si="8"/>
        <v>78574</v>
      </c>
      <c r="K29" s="232"/>
      <c r="L29" s="929" t="s">
        <v>947</v>
      </c>
    </row>
    <row r="30" spans="1:14" s="894" customFormat="1" ht="24">
      <c r="A30" s="903" t="s">
        <v>979</v>
      </c>
      <c r="B30" s="930" t="s">
        <v>980</v>
      </c>
      <c r="C30" s="931">
        <v>7.0000000000000007E-2</v>
      </c>
      <c r="D30" s="931">
        <v>7.0000000000000007E-2</v>
      </c>
      <c r="E30" s="931">
        <v>7.0000000000000007E-2</v>
      </c>
      <c r="F30" s="931">
        <v>7.0000000000000007E-2</v>
      </c>
      <c r="G30" s="931">
        <v>7.0000000000000007E-2</v>
      </c>
      <c r="H30" s="931">
        <v>7.0000000000000007E-2</v>
      </c>
      <c r="I30" s="931">
        <v>7.0000000000000007E-2</v>
      </c>
      <c r="J30" s="931">
        <v>7.0000000000000007E-2</v>
      </c>
      <c r="K30" s="250"/>
      <c r="L30" s="1465" t="s">
        <v>981</v>
      </c>
    </row>
    <row r="31" spans="1:14" s="894" customFormat="1" ht="24">
      <c r="A31" s="903" t="s">
        <v>982</v>
      </c>
      <c r="B31" s="930" t="s">
        <v>983</v>
      </c>
      <c r="C31" s="931" t="s">
        <v>944</v>
      </c>
      <c r="D31" s="931" t="s">
        <v>944</v>
      </c>
      <c r="E31" s="931">
        <v>0.08</v>
      </c>
      <c r="F31" s="931" t="s">
        <v>944</v>
      </c>
      <c r="G31" s="931" t="s">
        <v>944</v>
      </c>
      <c r="H31" s="931" t="s">
        <v>944</v>
      </c>
      <c r="I31" s="931" t="s">
        <v>944</v>
      </c>
      <c r="J31" s="932">
        <v>3.5000000000000003E-2</v>
      </c>
      <c r="K31" s="250"/>
      <c r="L31" s="1465"/>
    </row>
    <row r="32" spans="1:14" s="894" customFormat="1" ht="24">
      <c r="A32" s="903" t="s">
        <v>984</v>
      </c>
      <c r="B32" s="930" t="s">
        <v>985</v>
      </c>
      <c r="C32" s="933">
        <v>0.92</v>
      </c>
      <c r="D32" s="933">
        <v>1</v>
      </c>
      <c r="E32" s="933">
        <v>4</v>
      </c>
      <c r="F32" s="933">
        <v>0</v>
      </c>
      <c r="G32" s="933">
        <v>0</v>
      </c>
      <c r="H32" s="933">
        <v>0</v>
      </c>
      <c r="I32" s="933">
        <v>0</v>
      </c>
      <c r="J32" s="933" t="e">
        <f>C5</f>
        <v>#REF!</v>
      </c>
      <c r="K32" s="251"/>
      <c r="L32" s="1465"/>
    </row>
    <row r="33" spans="1:12" s="894" customFormat="1">
      <c r="A33" s="903" t="s">
        <v>986</v>
      </c>
      <c r="B33" s="230" t="s">
        <v>987</v>
      </c>
      <c r="C33" s="239" t="e">
        <f>ROUND(C29/C30*(1-1/(1+C30)^C32),0)</f>
        <v>#REF!</v>
      </c>
      <c r="D33" s="239" t="e">
        <f t="shared" ref="D33:I33" si="9">ROUND(D29/D30*(1-1/(1+D30)^D32),0)</f>
        <v>#REF!</v>
      </c>
      <c r="E33" s="239" t="e">
        <f>ROUND(E29/(E30-E31)*(1-POWER(((1+E31)/(1+E30)),E32)),0)</f>
        <v>#REF!</v>
      </c>
      <c r="F33" s="239">
        <f t="shared" si="9"/>
        <v>0</v>
      </c>
      <c r="G33" s="239">
        <f t="shared" si="9"/>
        <v>0</v>
      </c>
      <c r="H33" s="239">
        <f t="shared" si="9"/>
        <v>0</v>
      </c>
      <c r="I33" s="239">
        <f t="shared" si="9"/>
        <v>0</v>
      </c>
      <c r="J33" s="239" t="e">
        <f>ROUND(J29/(J30-J31)*(1-POWER(((1+J31)/(1+J30)),J32)),0)</f>
        <v>#REF!</v>
      </c>
      <c r="K33" s="893"/>
      <c r="L33" s="1465"/>
    </row>
    <row r="34" spans="1:12" s="894" customFormat="1">
      <c r="A34" s="903" t="s">
        <v>988</v>
      </c>
      <c r="B34" s="230" t="s">
        <v>989</v>
      </c>
      <c r="C34" s="239" t="e">
        <f>C33</f>
        <v>#REF!</v>
      </c>
      <c r="D34" s="239" t="e">
        <f>ROUND(D33/((1+C30)^C32),0)</f>
        <v>#REF!</v>
      </c>
      <c r="E34" s="239" t="e">
        <f>ROUND(E33/((1+D30)^(C32+D32)),0)</f>
        <v>#REF!</v>
      </c>
      <c r="F34" s="239">
        <f>ROUND(F33/((1+E30)^(SUM(C32:E32))),0)</f>
        <v>0</v>
      </c>
      <c r="G34" s="239">
        <f>ROUND(G33/((1+F30)^(SUM(C32:F32))),0)</f>
        <v>0</v>
      </c>
      <c r="H34" s="239">
        <f>ROUND(H33/((1+G30)^(SUM(C32:G32))),0)</f>
        <v>0</v>
      </c>
      <c r="I34" s="239">
        <f>ROUND(I33/((1+H30)^(SUM(C32:H32))),0)</f>
        <v>0</v>
      </c>
      <c r="J34" s="239" t="e">
        <f>ROUND(J33/((1+I30)^C4),0)</f>
        <v>#REF!</v>
      </c>
      <c r="K34" s="934"/>
      <c r="L34" s="910"/>
    </row>
    <row r="35" spans="1:12" s="894" customFormat="1">
      <c r="A35" s="903" t="s">
        <v>990</v>
      </c>
      <c r="B35" s="232" t="s">
        <v>991</v>
      </c>
      <c r="C35" s="1466" t="e">
        <f>SUM(C34:J34)</f>
        <v>#REF!</v>
      </c>
      <c r="D35" s="1466"/>
      <c r="E35" s="1466"/>
      <c r="F35" s="1466"/>
      <c r="G35" s="1466"/>
      <c r="H35" s="1466"/>
      <c r="I35" s="1466"/>
      <c r="J35" s="1466"/>
      <c r="K35" s="935"/>
      <c r="L35" s="910"/>
    </row>
    <row r="36" spans="1:12" s="894" customFormat="1">
      <c r="A36" s="903" t="s">
        <v>992</v>
      </c>
      <c r="B36" s="230" t="s">
        <v>993</v>
      </c>
      <c r="C36" s="1295" t="e">
        <f>ROUND(C35/C17,0)</f>
        <v>#REF!</v>
      </c>
      <c r="D36" s="1295"/>
      <c r="E36" s="1295"/>
      <c r="F36" s="1295"/>
      <c r="G36" s="1295"/>
      <c r="H36" s="1295"/>
      <c r="I36" s="1295"/>
      <c r="J36" s="1295"/>
      <c r="K36" s="934"/>
    </row>
    <row r="37" spans="1:12" s="894" customFormat="1"/>
    <row r="38" spans="1:12" s="898" customFormat="1" ht="12">
      <c r="A38" s="936">
        <v>2</v>
      </c>
      <c r="B38" s="937" t="s">
        <v>994</v>
      </c>
      <c r="C38" s="938">
        <f>ROUND(C54*G38,0)</f>
        <v>5326</v>
      </c>
      <c r="D38" s="1467" t="s">
        <v>995</v>
      </c>
      <c r="E38" s="1467"/>
      <c r="F38" s="939" t="s">
        <v>996</v>
      </c>
      <c r="G38" s="940">
        <v>1</v>
      </c>
      <c r="J38" s="941" t="s">
        <v>997</v>
      </c>
      <c r="K38" s="941">
        <v>2014</v>
      </c>
      <c r="L38" s="942"/>
    </row>
    <row r="39" spans="1:12" s="898" customFormat="1" ht="24">
      <c r="A39" s="943" t="s">
        <v>953</v>
      </c>
      <c r="B39" s="939" t="s">
        <v>361</v>
      </c>
      <c r="C39" s="944">
        <f>G39</f>
        <v>3500</v>
      </c>
      <c r="D39" s="1467" t="s">
        <v>998</v>
      </c>
      <c r="E39" s="1467"/>
      <c r="F39" s="945" t="s">
        <v>999</v>
      </c>
      <c r="G39" s="240">
        <v>3500</v>
      </c>
      <c r="J39" s="941" t="s">
        <v>1000</v>
      </c>
      <c r="K39" s="941">
        <v>60</v>
      </c>
      <c r="L39" s="942"/>
    </row>
    <row r="40" spans="1:12" s="898" customFormat="1" ht="12">
      <c r="A40" s="943" t="s">
        <v>315</v>
      </c>
      <c r="B40" s="939" t="s">
        <v>362</v>
      </c>
      <c r="C40" s="944">
        <f>ROUND(C39*G40,0)</f>
        <v>105</v>
      </c>
      <c r="D40" s="1467" t="s">
        <v>1001</v>
      </c>
      <c r="E40" s="1467"/>
      <c r="F40" s="939" t="s">
        <v>1002</v>
      </c>
      <c r="G40" s="940">
        <v>0.03</v>
      </c>
      <c r="I40" s="896"/>
      <c r="J40" s="946" t="s">
        <v>1003</v>
      </c>
      <c r="K40" s="959" t="s">
        <v>1004</v>
      </c>
      <c r="L40" s="947" t="s">
        <v>1005</v>
      </c>
    </row>
    <row r="41" spans="1:12" s="898" customFormat="1" ht="12">
      <c r="A41" s="943" t="s">
        <v>318</v>
      </c>
      <c r="B41" s="939" t="s">
        <v>364</v>
      </c>
      <c r="C41" s="944">
        <f>ROUND(C39*G41,0)</f>
        <v>0</v>
      </c>
      <c r="D41" s="1467" t="s">
        <v>1001</v>
      </c>
      <c r="E41" s="1467"/>
      <c r="F41" s="939" t="s">
        <v>1002</v>
      </c>
      <c r="G41" s="940">
        <v>0</v>
      </c>
      <c r="I41" s="943" t="s">
        <v>1047</v>
      </c>
      <c r="J41" s="948">
        <f>ROUND(1-(I41-$K$38)/$K$39,2)</f>
        <v>0.98</v>
      </c>
      <c r="K41" s="960">
        <v>0.9</v>
      </c>
      <c r="L41" s="949">
        <f>ROUND($C$54*J41,0)</f>
        <v>5219</v>
      </c>
    </row>
    <row r="42" spans="1:12" s="898" customFormat="1" ht="12">
      <c r="A42" s="943" t="s">
        <v>1006</v>
      </c>
      <c r="B42" s="939" t="s">
        <v>366</v>
      </c>
      <c r="C42" s="944">
        <f>ROUND(G42*F69,0)</f>
        <v>0</v>
      </c>
      <c r="D42" s="1467" t="s">
        <v>1007</v>
      </c>
      <c r="E42" s="1467"/>
      <c r="F42" s="939" t="s">
        <v>1008</v>
      </c>
      <c r="G42" s="950">
        <v>200</v>
      </c>
      <c r="I42" s="943" t="s">
        <v>1048</v>
      </c>
      <c r="J42" s="948">
        <f>ROUND(1-(I42-$K$38)/$K$39,2)</f>
        <v>0.97</v>
      </c>
      <c r="K42" s="960">
        <v>0.9</v>
      </c>
      <c r="L42" s="949">
        <f t="shared" ref="L42:L46" si="10">ROUND($C$54*J42,0)</f>
        <v>5166</v>
      </c>
    </row>
    <row r="43" spans="1:12" s="898" customFormat="1" ht="12">
      <c r="A43" s="943" t="s">
        <v>1009</v>
      </c>
      <c r="B43" s="939" t="s">
        <v>368</v>
      </c>
      <c r="C43" s="944">
        <f>ROUND(C39*G43,0)</f>
        <v>53</v>
      </c>
      <c r="D43" s="1467" t="s">
        <v>1001</v>
      </c>
      <c r="E43" s="1467"/>
      <c r="F43" s="939" t="s">
        <v>1002</v>
      </c>
      <c r="G43" s="940">
        <v>1.4999999999999999E-2</v>
      </c>
      <c r="I43" s="943" t="s">
        <v>294</v>
      </c>
      <c r="J43" s="948">
        <f>ROUND(1-(I43-$K$38)/$K$39,2)</f>
        <v>0.95</v>
      </c>
      <c r="K43" s="960">
        <v>0.85</v>
      </c>
      <c r="L43" s="949">
        <f t="shared" si="10"/>
        <v>5060</v>
      </c>
    </row>
    <row r="44" spans="1:12" s="898" customFormat="1" ht="12">
      <c r="A44" s="943" t="s">
        <v>963</v>
      </c>
      <c r="B44" s="939" t="s">
        <v>370</v>
      </c>
      <c r="C44" s="944">
        <f>SUM(C39:C43)</f>
        <v>3658</v>
      </c>
      <c r="D44" s="1468" t="s">
        <v>1010</v>
      </c>
      <c r="E44" s="1469"/>
      <c r="F44" s="1469"/>
      <c r="G44" s="1469"/>
      <c r="I44" s="943" t="s">
        <v>295</v>
      </c>
      <c r="J44" s="948">
        <f>ROUND(1-(I44-$K$38)/$K$39,2)</f>
        <v>0.93</v>
      </c>
      <c r="K44" s="960">
        <v>0.85</v>
      </c>
      <c r="L44" s="949">
        <f t="shared" si="10"/>
        <v>4953</v>
      </c>
    </row>
    <row r="45" spans="1:12" s="898" customFormat="1" ht="12">
      <c r="A45" s="943" t="s">
        <v>966</v>
      </c>
      <c r="B45" s="939" t="s">
        <v>331</v>
      </c>
      <c r="C45" s="944">
        <f>ROUND(C44*G45,0)</f>
        <v>73</v>
      </c>
      <c r="D45" s="1464" t="s">
        <v>1011</v>
      </c>
      <c r="E45" s="1464"/>
      <c r="F45" s="939" t="s">
        <v>1002</v>
      </c>
      <c r="G45" s="940">
        <v>0.02</v>
      </c>
      <c r="I45" s="943" t="s">
        <v>541</v>
      </c>
      <c r="J45" s="948">
        <f>ROUND(1-(I45-$K$38)/$K$39,2)</f>
        <v>0.92</v>
      </c>
      <c r="K45" s="960">
        <v>0.85</v>
      </c>
      <c r="L45" s="949">
        <f t="shared" si="10"/>
        <v>4900</v>
      </c>
    </row>
    <row r="46" spans="1:12" s="898" customFormat="1" ht="12">
      <c r="A46" s="943" t="s">
        <v>970</v>
      </c>
      <c r="B46" s="939" t="s">
        <v>1012</v>
      </c>
      <c r="C46" s="944" t="s">
        <v>944</v>
      </c>
      <c r="D46" s="1464" t="s">
        <v>1013</v>
      </c>
      <c r="E46" s="1464"/>
      <c r="F46" s="939" t="s">
        <v>1014</v>
      </c>
      <c r="G46" s="940">
        <v>0.02</v>
      </c>
      <c r="I46" s="943" t="s">
        <v>542</v>
      </c>
      <c r="J46" s="948">
        <f t="shared" ref="J46" si="11">ROUND(1-(I46-$K$38)/$K$39,3)</f>
        <v>0.9</v>
      </c>
      <c r="K46" s="960">
        <v>0.8</v>
      </c>
      <c r="L46" s="949">
        <f t="shared" si="10"/>
        <v>4793</v>
      </c>
    </row>
    <row r="47" spans="1:12" s="898" customFormat="1" ht="12">
      <c r="A47" s="943" t="s">
        <v>973</v>
      </c>
      <c r="B47" s="939" t="s">
        <v>1015</v>
      </c>
      <c r="C47" s="944"/>
      <c r="D47" s="1468" t="s">
        <v>1016</v>
      </c>
      <c r="E47" s="1469"/>
      <c r="F47" s="1469"/>
      <c r="G47" s="1469"/>
      <c r="I47" s="943"/>
      <c r="J47" s="948"/>
      <c r="K47" s="948"/>
      <c r="L47" s="949"/>
    </row>
    <row r="48" spans="1:12" s="898" customFormat="1" ht="12">
      <c r="A48" s="943" t="s">
        <v>1017</v>
      </c>
      <c r="B48" s="939" t="s">
        <v>1018</v>
      </c>
      <c r="C48" s="944">
        <f>ROUND((C44+C45)*G49*G48/2,0)</f>
        <v>224</v>
      </c>
      <c r="D48" s="1473" t="s">
        <v>1019</v>
      </c>
      <c r="E48" s="1473"/>
      <c r="F48" s="939" t="s">
        <v>1020</v>
      </c>
      <c r="G48" s="944">
        <v>2</v>
      </c>
      <c r="I48" s="943"/>
      <c r="J48" s="948"/>
      <c r="K48" s="948"/>
      <c r="L48" s="949"/>
    </row>
    <row r="49" spans="1:12" s="898" customFormat="1" ht="12">
      <c r="A49" s="943" t="s">
        <v>1021</v>
      </c>
      <c r="B49" s="939" t="s">
        <v>1022</v>
      </c>
      <c r="C49" s="944">
        <f>ROUND(G46*G49*G48/2,4)</f>
        <v>1.1999999999999999E-3</v>
      </c>
      <c r="D49" s="1473" t="s">
        <v>1023</v>
      </c>
      <c r="E49" s="1473"/>
      <c r="F49" s="939" t="s">
        <v>1024</v>
      </c>
      <c r="G49" s="951">
        <v>0.06</v>
      </c>
      <c r="I49" s="943"/>
      <c r="J49" s="948"/>
      <c r="K49" s="948"/>
      <c r="L49" s="949"/>
    </row>
    <row r="50" spans="1:12" s="898" customFormat="1" ht="12">
      <c r="A50" s="943" t="s">
        <v>1025</v>
      </c>
      <c r="B50" s="939" t="s">
        <v>384</v>
      </c>
      <c r="C50" s="944"/>
      <c r="D50" s="1468" t="s">
        <v>1026</v>
      </c>
      <c r="E50" s="1469"/>
      <c r="F50" s="1469"/>
      <c r="G50" s="1469"/>
      <c r="I50" s="943"/>
      <c r="J50" s="948"/>
      <c r="K50" s="948"/>
      <c r="L50" s="949"/>
    </row>
    <row r="51" spans="1:12" s="898" customFormat="1" ht="12">
      <c r="A51" s="943" t="s">
        <v>1027</v>
      </c>
      <c r="B51" s="939" t="s">
        <v>1028</v>
      </c>
      <c r="C51" s="944">
        <f>ROUND((C44+C45)*G51,0)</f>
        <v>933</v>
      </c>
      <c r="D51" s="1464" t="s">
        <v>1029</v>
      </c>
      <c r="E51" s="1464"/>
      <c r="F51" s="1467" t="s">
        <v>1030</v>
      </c>
      <c r="G51" s="1474">
        <v>0.25</v>
      </c>
      <c r="I51" s="952" t="s">
        <v>1031</v>
      </c>
    </row>
    <row r="52" spans="1:12" s="898" customFormat="1" ht="12">
      <c r="A52" s="943" t="s">
        <v>1032</v>
      </c>
      <c r="B52" s="939" t="s">
        <v>388</v>
      </c>
      <c r="C52" s="944">
        <f>ROUND(G46*G51,4)</f>
        <v>5.0000000000000001E-3</v>
      </c>
      <c r="D52" s="1464" t="s">
        <v>1033</v>
      </c>
      <c r="E52" s="1464"/>
      <c r="F52" s="1467"/>
      <c r="G52" s="1475"/>
      <c r="I52" s="952" t="s">
        <v>1034</v>
      </c>
    </row>
    <row r="53" spans="1:12" s="898" customFormat="1" ht="12">
      <c r="A53" s="943" t="s">
        <v>1035</v>
      </c>
      <c r="B53" s="939" t="s">
        <v>390</v>
      </c>
      <c r="C53" s="944" t="s">
        <v>944</v>
      </c>
      <c r="D53" s="1470" t="s">
        <v>1013</v>
      </c>
      <c r="E53" s="1471"/>
      <c r="F53" s="953" t="s">
        <v>1002</v>
      </c>
      <c r="G53" s="940">
        <v>5.6000000000000001E-2</v>
      </c>
      <c r="I53" s="952" t="s">
        <v>1036</v>
      </c>
      <c r="L53" s="1472" t="s">
        <v>1037</v>
      </c>
    </row>
    <row r="54" spans="1:12" s="898" customFormat="1" ht="12">
      <c r="A54" s="943" t="s">
        <v>1038</v>
      </c>
      <c r="B54" s="939" t="s">
        <v>1039</v>
      </c>
      <c r="C54" s="944">
        <f>ROUND((C44+C45+C48+C51)/(1-G46-C49-C52-G53),0)</f>
        <v>5326</v>
      </c>
      <c r="D54" s="945"/>
      <c r="E54" s="939"/>
      <c r="F54" s="940"/>
      <c r="I54" s="952" t="s">
        <v>1040</v>
      </c>
      <c r="L54" s="1472"/>
    </row>
  </sheetData>
  <mergeCells count="29">
    <mergeCell ref="D53:E53"/>
    <mergeCell ref="L53:L54"/>
    <mergeCell ref="D47:G47"/>
    <mergeCell ref="D48:E48"/>
    <mergeCell ref="D49:E49"/>
    <mergeCell ref="D50:G50"/>
    <mergeCell ref="D51:E51"/>
    <mergeCell ref="F51:F52"/>
    <mergeCell ref="G51:G52"/>
    <mergeCell ref="D52:E52"/>
    <mergeCell ref="D46:E46"/>
    <mergeCell ref="L30:L33"/>
    <mergeCell ref="C35:J35"/>
    <mergeCell ref="C36:J36"/>
    <mergeCell ref="D38:E38"/>
    <mergeCell ref="D39:E39"/>
    <mergeCell ref="D40:E40"/>
    <mergeCell ref="D41:E41"/>
    <mergeCell ref="D42:E42"/>
    <mergeCell ref="D43:E43"/>
    <mergeCell ref="D44:G44"/>
    <mergeCell ref="D45:E45"/>
    <mergeCell ref="A15:A16"/>
    <mergeCell ref="B15:B16"/>
    <mergeCell ref="A1:B1"/>
    <mergeCell ref="A2:B3"/>
    <mergeCell ref="A4:B4"/>
    <mergeCell ref="A5:B5"/>
    <mergeCell ref="A6:B6"/>
  </mergeCells>
  <phoneticPr fontId="89" type="noConversion"/>
  <pageMargins left="0.7" right="0.7" top="0.75" bottom="0.75" header="0.3" footer="0.3"/>
  <pageSetup paperSize="9" scale="7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indexed="51"/>
  </sheetPr>
  <dimension ref="A1:IS128"/>
  <sheetViews>
    <sheetView topLeftCell="A13" workbookViewId="0">
      <selection activeCell="D42" sqref="D42"/>
    </sheetView>
  </sheetViews>
  <sheetFormatPr defaultRowHeight="12.75" outlineLevelCol="1"/>
  <cols>
    <col min="1" max="1" width="16.625" style="447" customWidth="1"/>
    <col min="2" max="2" width="9.875" style="745" customWidth="1"/>
    <col min="3" max="3" width="10.625" style="448" customWidth="1"/>
    <col min="4" max="4" width="10.875" style="746" customWidth="1"/>
    <col min="5" max="5" width="9.5" style="746" customWidth="1"/>
    <col min="6" max="7" width="8.5" style="448" customWidth="1"/>
    <col min="8" max="8" width="8.375" style="448" customWidth="1"/>
    <col min="9" max="9" width="12.125" style="448" customWidth="1"/>
    <col min="10" max="10" width="9.75" style="448" customWidth="1"/>
    <col min="11" max="11" width="12.375" style="448" customWidth="1"/>
    <col min="12" max="12" width="12.375" style="449" customWidth="1"/>
    <col min="13" max="13" width="10.625" style="449" customWidth="1" outlineLevel="1"/>
    <col min="14" max="14" width="10.625" style="548" customWidth="1" outlineLevel="1"/>
    <col min="15" max="15" width="11.125" style="449" customWidth="1"/>
    <col min="16" max="16" width="9" style="449" customWidth="1"/>
    <col min="17" max="17" width="10.875" style="448" customWidth="1"/>
    <col min="18" max="18" width="8.5" style="448" hidden="1" customWidth="1"/>
    <col min="19" max="19" width="8.5" style="448" customWidth="1"/>
    <col min="20" max="20" width="10.875" style="448" customWidth="1"/>
    <col min="21" max="21" width="9.375" style="448" customWidth="1"/>
    <col min="22" max="22" width="17.75" style="448" bestFit="1" customWidth="1"/>
    <col min="23" max="16384" width="9" style="448"/>
  </cols>
  <sheetData>
    <row r="1" spans="1:21" s="735" customFormat="1" ht="15" customHeight="1">
      <c r="A1" s="456" t="s">
        <v>89</v>
      </c>
      <c r="B1" s="747" t="s">
        <v>90</v>
      </c>
      <c r="C1" s="1188" t="s">
        <v>91</v>
      </c>
      <c r="D1" s="1190" t="s">
        <v>92</v>
      </c>
      <c r="E1" s="1192" t="s">
        <v>93</v>
      </c>
      <c r="F1" s="1190" t="s">
        <v>94</v>
      </c>
      <c r="G1" s="1192" t="s">
        <v>94</v>
      </c>
      <c r="H1" s="1190" t="s">
        <v>95</v>
      </c>
      <c r="I1" s="1194" t="s">
        <v>96</v>
      </c>
      <c r="J1" s="1196" t="s">
        <v>97</v>
      </c>
      <c r="K1" s="1196" t="s">
        <v>98</v>
      </c>
      <c r="L1" s="1198" t="s">
        <v>98</v>
      </c>
      <c r="M1" s="1200" t="s">
        <v>99</v>
      </c>
      <c r="N1" s="764"/>
      <c r="O1" s="1202" t="s">
        <v>100</v>
      </c>
      <c r="P1" s="1200" t="s">
        <v>101</v>
      </c>
      <c r="Q1" s="1184" t="s">
        <v>102</v>
      </c>
      <c r="R1" s="1184" t="s">
        <v>103</v>
      </c>
      <c r="S1" s="417" t="s">
        <v>104</v>
      </c>
      <c r="T1" s="1186" t="s">
        <v>105</v>
      </c>
      <c r="U1" s="1187"/>
    </row>
    <row r="2" spans="1:21" s="451" customFormat="1" ht="38.25" customHeight="1">
      <c r="A2" s="748" t="s">
        <v>106</v>
      </c>
      <c r="B2" s="749" t="s">
        <v>107</v>
      </c>
      <c r="C2" s="1189"/>
      <c r="D2" s="1191"/>
      <c r="E2" s="1193"/>
      <c r="F2" s="1191"/>
      <c r="G2" s="1193"/>
      <c r="H2" s="1191"/>
      <c r="I2" s="1195"/>
      <c r="J2" s="1197"/>
      <c r="K2" s="1197"/>
      <c r="L2" s="1199"/>
      <c r="M2" s="1201"/>
      <c r="N2" s="765" t="s">
        <v>108</v>
      </c>
      <c r="O2" s="1203"/>
      <c r="P2" s="1201"/>
      <c r="Q2" s="1204"/>
      <c r="R2" s="1185"/>
      <c r="S2" s="421" t="s">
        <v>109</v>
      </c>
      <c r="T2" s="505" t="s">
        <v>110</v>
      </c>
      <c r="U2" s="772" t="s">
        <v>111</v>
      </c>
    </row>
    <row r="3" spans="1:21" s="736" customFormat="1" ht="17.25" customHeight="1">
      <c r="A3" s="459"/>
      <c r="B3" s="750"/>
      <c r="C3" s="387" t="s">
        <v>112</v>
      </c>
      <c r="D3" s="387" t="s">
        <v>113</v>
      </c>
      <c r="E3" s="387" t="s">
        <v>114</v>
      </c>
      <c r="F3" s="387" t="s">
        <v>113</v>
      </c>
      <c r="G3" s="387" t="s">
        <v>114</v>
      </c>
      <c r="H3" s="387" t="s">
        <v>113</v>
      </c>
      <c r="I3" s="387" t="s">
        <v>114</v>
      </c>
      <c r="J3" s="387" t="s">
        <v>113</v>
      </c>
      <c r="K3" s="387" t="s">
        <v>113</v>
      </c>
      <c r="L3" s="387" t="s">
        <v>114</v>
      </c>
      <c r="M3" s="387" t="s">
        <v>114</v>
      </c>
      <c r="N3" s="413"/>
      <c r="O3" s="387" t="s">
        <v>114</v>
      </c>
      <c r="P3" s="387" t="s">
        <v>113</v>
      </c>
      <c r="Q3" s="773"/>
      <c r="R3" s="508"/>
      <c r="S3" s="509"/>
      <c r="T3" s="508"/>
      <c r="U3" s="508"/>
    </row>
    <row r="4" spans="1:21" s="737" customFormat="1" ht="21" customHeight="1">
      <c r="A4" s="839" t="s">
        <v>115</v>
      </c>
      <c r="B4" s="752">
        <v>1106</v>
      </c>
      <c r="C4" s="753">
        <v>182.53</v>
      </c>
      <c r="D4" s="753">
        <f t="shared" ref="D4:D35" si="0">E4/6.2</f>
        <v>22.251055504795499</v>
      </c>
      <c r="E4" s="753">
        <f t="shared" ref="E4:E35" si="1">I4/C4</f>
        <v>137.95654412973209</v>
      </c>
      <c r="F4" s="753">
        <f t="shared" ref="F4:F35" si="2">D4</f>
        <v>22.251055504795499</v>
      </c>
      <c r="G4" s="753">
        <f t="shared" ref="G4:G26" si="3">L4/C4</f>
        <v>137.95654412973209</v>
      </c>
      <c r="H4" s="754">
        <v>3.3</v>
      </c>
      <c r="I4" s="763">
        <f>30000-M4</f>
        <v>25181.207999999999</v>
      </c>
      <c r="J4" s="763">
        <f t="shared" ref="J4:J35" si="4">I4/6.2</f>
        <v>4061.4851612903221</v>
      </c>
      <c r="K4" s="763">
        <f t="shared" ref="K4:K35" si="5">J4</f>
        <v>4061.4851612903221</v>
      </c>
      <c r="L4" s="753">
        <f t="shared" ref="L4:L35" si="6">K4*6.2</f>
        <v>25181.207999999999</v>
      </c>
      <c r="M4" s="763">
        <f t="shared" ref="M4:M35" si="7">P4*8</f>
        <v>4818.7919999999995</v>
      </c>
      <c r="N4" s="766">
        <f t="shared" ref="N4:N35" si="8">L4/30/C4</f>
        <v>4.5985514709910698</v>
      </c>
      <c r="O4" s="763">
        <f>SUM(L4:M4)</f>
        <v>30000</v>
      </c>
      <c r="P4" s="763">
        <f t="shared" ref="P4:P13" si="9">C4*H4</f>
        <v>602.34899999999993</v>
      </c>
      <c r="Q4" s="763">
        <f t="shared" ref="Q4:Q35" si="10">J4+P4</f>
        <v>4663.8341612903223</v>
      </c>
      <c r="R4" s="774" t="s">
        <v>116</v>
      </c>
      <c r="S4" s="775">
        <v>12</v>
      </c>
      <c r="T4" s="776">
        <v>41276</v>
      </c>
      <c r="U4" s="777">
        <v>41640</v>
      </c>
    </row>
    <row r="5" spans="1:21" s="737" customFormat="1" ht="21" customHeight="1">
      <c r="A5" s="840" t="s">
        <v>117</v>
      </c>
      <c r="B5" s="752">
        <v>1103</v>
      </c>
      <c r="C5" s="753">
        <v>121.52</v>
      </c>
      <c r="D5" s="753">
        <f t="shared" si="0"/>
        <v>28.923782624392107</v>
      </c>
      <c r="E5" s="753">
        <f t="shared" si="1"/>
        <v>179.32745227123107</v>
      </c>
      <c r="F5" s="753">
        <f t="shared" si="2"/>
        <v>28.923782624392107</v>
      </c>
      <c r="G5" s="753">
        <f t="shared" si="3"/>
        <v>179.32745227123107</v>
      </c>
      <c r="H5" s="754">
        <v>3.3</v>
      </c>
      <c r="I5" s="763">
        <f>25000-M5</f>
        <v>21791.871999999999</v>
      </c>
      <c r="J5" s="763">
        <f t="shared" si="4"/>
        <v>3514.8180645161287</v>
      </c>
      <c r="K5" s="763">
        <f t="shared" si="5"/>
        <v>3514.8180645161287</v>
      </c>
      <c r="L5" s="763">
        <f t="shared" si="6"/>
        <v>21791.871999999999</v>
      </c>
      <c r="M5" s="763">
        <f t="shared" si="7"/>
        <v>3208.1279999999997</v>
      </c>
      <c r="N5" s="766">
        <f t="shared" si="8"/>
        <v>5.9775817423743689</v>
      </c>
      <c r="O5" s="763">
        <f>SUM(L5:M5)</f>
        <v>25000</v>
      </c>
      <c r="P5" s="763">
        <f t="shared" si="9"/>
        <v>401.01599999999996</v>
      </c>
      <c r="Q5" s="763">
        <f t="shared" si="10"/>
        <v>3915.8340645161288</v>
      </c>
      <c r="R5" s="774" t="s">
        <v>116</v>
      </c>
      <c r="S5" s="775">
        <v>12</v>
      </c>
      <c r="T5" s="776">
        <v>41291</v>
      </c>
      <c r="U5" s="777">
        <v>41655</v>
      </c>
    </row>
    <row r="6" spans="1:21" s="737" customFormat="1" ht="21" customHeight="1">
      <c r="A6" s="839" t="s">
        <v>115</v>
      </c>
      <c r="B6" s="752">
        <v>905</v>
      </c>
      <c r="C6" s="753">
        <v>182.53</v>
      </c>
      <c r="D6" s="753">
        <f t="shared" si="0"/>
        <v>21.36741817076468</v>
      </c>
      <c r="E6" s="753">
        <f t="shared" si="1"/>
        <v>132.47799265874102</v>
      </c>
      <c r="F6" s="753">
        <f t="shared" si="2"/>
        <v>21.36741817076468</v>
      </c>
      <c r="G6" s="753">
        <f t="shared" si="3"/>
        <v>132.47799265874102</v>
      </c>
      <c r="H6" s="754">
        <v>3.3</v>
      </c>
      <c r="I6" s="763">
        <f>29000-M6</f>
        <v>24181.207999999999</v>
      </c>
      <c r="J6" s="763">
        <f t="shared" si="4"/>
        <v>3900.1948387096772</v>
      </c>
      <c r="K6" s="763">
        <f t="shared" si="5"/>
        <v>3900.1948387096772</v>
      </c>
      <c r="L6" s="763">
        <f t="shared" si="6"/>
        <v>24181.207999999999</v>
      </c>
      <c r="M6" s="763">
        <f t="shared" si="7"/>
        <v>4818.7919999999995</v>
      </c>
      <c r="N6" s="766">
        <f t="shared" si="8"/>
        <v>4.4159330886247004</v>
      </c>
      <c r="O6" s="763">
        <f>SUM(L6:M6)</f>
        <v>29000</v>
      </c>
      <c r="P6" s="763">
        <f t="shared" si="9"/>
        <v>602.34899999999993</v>
      </c>
      <c r="Q6" s="763">
        <f t="shared" si="10"/>
        <v>4502.5438387096774</v>
      </c>
      <c r="R6" s="774" t="s">
        <v>116</v>
      </c>
      <c r="S6" s="775">
        <v>12</v>
      </c>
      <c r="T6" s="776">
        <v>41276</v>
      </c>
      <c r="U6" s="777">
        <v>41640</v>
      </c>
    </row>
    <row r="7" spans="1:21" s="737" customFormat="1" ht="21" customHeight="1">
      <c r="A7" s="839" t="s">
        <v>118</v>
      </c>
      <c r="B7" s="752">
        <v>1305</v>
      </c>
      <c r="C7" s="753">
        <v>182.53</v>
      </c>
      <c r="D7" s="753">
        <f t="shared" si="0"/>
        <v>22.251055504795499</v>
      </c>
      <c r="E7" s="753">
        <f t="shared" si="1"/>
        <v>137.95654412973209</v>
      </c>
      <c r="F7" s="753">
        <f t="shared" si="2"/>
        <v>22.251055504795499</v>
      </c>
      <c r="G7" s="753">
        <f t="shared" si="3"/>
        <v>137.95654412973209</v>
      </c>
      <c r="H7" s="754">
        <v>3.3</v>
      </c>
      <c r="I7" s="763">
        <f>30000-M7</f>
        <v>25181.207999999999</v>
      </c>
      <c r="J7" s="763">
        <f t="shared" si="4"/>
        <v>4061.4851612903221</v>
      </c>
      <c r="K7" s="763">
        <f t="shared" si="5"/>
        <v>4061.4851612903221</v>
      </c>
      <c r="L7" s="753">
        <f t="shared" si="6"/>
        <v>25181.207999999999</v>
      </c>
      <c r="M7" s="753">
        <f t="shared" si="7"/>
        <v>4818.7919999999995</v>
      </c>
      <c r="N7" s="766">
        <f t="shared" si="8"/>
        <v>4.5985514709910698</v>
      </c>
      <c r="O7" s="753">
        <f>SUM(L7:M7)</f>
        <v>30000</v>
      </c>
      <c r="P7" s="763">
        <f t="shared" si="9"/>
        <v>602.34899999999993</v>
      </c>
      <c r="Q7" s="763">
        <f t="shared" si="10"/>
        <v>4663.8341612903223</v>
      </c>
      <c r="R7" s="774" t="s">
        <v>116</v>
      </c>
      <c r="S7" s="775">
        <v>12</v>
      </c>
      <c r="T7" s="776">
        <v>41283</v>
      </c>
      <c r="U7" s="777">
        <v>41647</v>
      </c>
    </row>
    <row r="8" spans="1:21" s="737" customFormat="1" ht="21" customHeight="1">
      <c r="A8" s="840" t="s">
        <v>119</v>
      </c>
      <c r="B8" s="752">
        <v>802</v>
      </c>
      <c r="C8" s="753">
        <v>121.52</v>
      </c>
      <c r="D8" s="753">
        <f t="shared" si="0"/>
        <v>26.269234853150419</v>
      </c>
      <c r="E8" s="753">
        <f t="shared" si="1"/>
        <v>162.8692560895326</v>
      </c>
      <c r="F8" s="753">
        <f t="shared" si="2"/>
        <v>26.269234853150419</v>
      </c>
      <c r="G8" s="753">
        <f t="shared" si="3"/>
        <v>162.8692560895326</v>
      </c>
      <c r="H8" s="754">
        <v>3.3</v>
      </c>
      <c r="I8" s="763">
        <f>23000-M8</f>
        <v>19791.871999999999</v>
      </c>
      <c r="J8" s="763">
        <f t="shared" si="4"/>
        <v>3192.2374193548385</v>
      </c>
      <c r="K8" s="763">
        <f t="shared" si="5"/>
        <v>3192.2374193548385</v>
      </c>
      <c r="L8" s="763">
        <f t="shared" si="6"/>
        <v>19791.871999999999</v>
      </c>
      <c r="M8" s="763">
        <f t="shared" si="7"/>
        <v>3208.1279999999997</v>
      </c>
      <c r="N8" s="766">
        <f t="shared" si="8"/>
        <v>5.4289752029844198</v>
      </c>
      <c r="O8" s="763">
        <f>SUM(L8:M8)</f>
        <v>23000</v>
      </c>
      <c r="P8" s="763">
        <f t="shared" si="9"/>
        <v>401.01599999999996</v>
      </c>
      <c r="Q8" s="763">
        <f t="shared" si="10"/>
        <v>3593.2534193548386</v>
      </c>
      <c r="R8" s="774" t="s">
        <v>116</v>
      </c>
      <c r="S8" s="775">
        <v>12</v>
      </c>
      <c r="T8" s="776">
        <v>41306</v>
      </c>
      <c r="U8" s="777">
        <v>41670</v>
      </c>
    </row>
    <row r="9" spans="1:21" s="446" customFormat="1" ht="13.5" customHeight="1">
      <c r="A9" s="751" t="s">
        <v>120</v>
      </c>
      <c r="B9" s="756">
        <v>503</v>
      </c>
      <c r="C9" s="753">
        <v>86.79</v>
      </c>
      <c r="D9" s="753">
        <f t="shared" si="0"/>
        <v>29.193091221301696</v>
      </c>
      <c r="E9" s="753">
        <f t="shared" si="1"/>
        <v>180.99716557207051</v>
      </c>
      <c r="F9" s="753">
        <f t="shared" si="2"/>
        <v>29.193091221301696</v>
      </c>
      <c r="G9" s="753">
        <f t="shared" si="3"/>
        <v>180.99716557207049</v>
      </c>
      <c r="H9" s="754">
        <v>3.3</v>
      </c>
      <c r="I9" s="753">
        <f>18000-M9</f>
        <v>15708.744000000001</v>
      </c>
      <c r="J9" s="753">
        <f t="shared" si="4"/>
        <v>2533.668387096774</v>
      </c>
      <c r="K9" s="753">
        <f t="shared" si="5"/>
        <v>2533.668387096774</v>
      </c>
      <c r="L9" s="753">
        <f t="shared" si="6"/>
        <v>15708.743999999999</v>
      </c>
      <c r="M9" s="753">
        <f t="shared" si="7"/>
        <v>2291.2559999999999</v>
      </c>
      <c r="N9" s="767">
        <f t="shared" si="8"/>
        <v>6.0332388524023495</v>
      </c>
      <c r="O9" s="753">
        <f>SUM(L9,M9)</f>
        <v>18000</v>
      </c>
      <c r="P9" s="753">
        <f t="shared" si="9"/>
        <v>286.40699999999998</v>
      </c>
      <c r="Q9" s="753">
        <f t="shared" si="10"/>
        <v>2820.0753870967742</v>
      </c>
      <c r="R9" s="771" t="s">
        <v>116</v>
      </c>
      <c r="S9" s="778" t="s">
        <v>121</v>
      </c>
      <c r="T9" s="779">
        <v>41285</v>
      </c>
      <c r="U9" s="780">
        <v>41649</v>
      </c>
    </row>
    <row r="10" spans="1:21" s="737" customFormat="1" ht="21" customHeight="1">
      <c r="A10" s="839" t="s">
        <v>115</v>
      </c>
      <c r="B10" s="752">
        <v>1503</v>
      </c>
      <c r="C10" s="753">
        <v>121.52</v>
      </c>
      <c r="D10" s="753">
        <f t="shared" si="0"/>
        <v>27.596508738771259</v>
      </c>
      <c r="E10" s="753">
        <f t="shared" si="1"/>
        <v>171.09835418038182</v>
      </c>
      <c r="F10" s="753">
        <f t="shared" si="2"/>
        <v>27.596508738771259</v>
      </c>
      <c r="G10" s="753">
        <f t="shared" si="3"/>
        <v>171.09835418038182</v>
      </c>
      <c r="H10" s="754">
        <v>3.3</v>
      </c>
      <c r="I10" s="763">
        <f>24000-M10</f>
        <v>20791.871999999999</v>
      </c>
      <c r="J10" s="763">
        <f t="shared" si="4"/>
        <v>3353.5277419354838</v>
      </c>
      <c r="K10" s="763">
        <f t="shared" si="5"/>
        <v>3353.5277419354838</v>
      </c>
      <c r="L10" s="753">
        <f t="shared" si="6"/>
        <v>20791.871999999999</v>
      </c>
      <c r="M10" s="763">
        <f t="shared" si="7"/>
        <v>3208.1279999999997</v>
      </c>
      <c r="N10" s="766">
        <f t="shared" si="8"/>
        <v>5.7032784726793944</v>
      </c>
      <c r="O10" s="763">
        <f>SUM(L10:M10)</f>
        <v>24000</v>
      </c>
      <c r="P10" s="763">
        <f t="shared" si="9"/>
        <v>401.01599999999996</v>
      </c>
      <c r="Q10" s="763">
        <f t="shared" si="10"/>
        <v>3754.5437419354839</v>
      </c>
      <c r="R10" s="774" t="s">
        <v>116</v>
      </c>
      <c r="S10" s="775">
        <v>12</v>
      </c>
      <c r="T10" s="776">
        <v>41277</v>
      </c>
      <c r="U10" s="777">
        <v>41641</v>
      </c>
    </row>
    <row r="11" spans="1:21" s="737" customFormat="1" ht="21" customHeight="1">
      <c r="A11" s="839" t="s">
        <v>115</v>
      </c>
      <c r="B11" s="752">
        <v>1405</v>
      </c>
      <c r="C11" s="753">
        <v>182.53</v>
      </c>
      <c r="D11" s="753">
        <f t="shared" si="0"/>
        <v>24.018330172857134</v>
      </c>
      <c r="E11" s="753">
        <f t="shared" si="1"/>
        <v>148.91364707171422</v>
      </c>
      <c r="F11" s="753">
        <f t="shared" si="2"/>
        <v>24.018330172857134</v>
      </c>
      <c r="G11" s="753">
        <f t="shared" si="3"/>
        <v>148.91364707171422</v>
      </c>
      <c r="H11" s="754">
        <v>3.3</v>
      </c>
      <c r="I11" s="763">
        <f>32000-M11</f>
        <v>27181.207999999999</v>
      </c>
      <c r="J11" s="763">
        <f t="shared" si="4"/>
        <v>4384.0658064516128</v>
      </c>
      <c r="K11" s="763">
        <f t="shared" si="5"/>
        <v>4384.0658064516128</v>
      </c>
      <c r="L11" s="753">
        <f t="shared" si="6"/>
        <v>27181.207999999999</v>
      </c>
      <c r="M11" s="763">
        <f t="shared" si="7"/>
        <v>4818.7919999999995</v>
      </c>
      <c r="N11" s="766">
        <f t="shared" si="8"/>
        <v>4.9637882357238077</v>
      </c>
      <c r="O11" s="763">
        <f>SUM(L11:M11)</f>
        <v>32000</v>
      </c>
      <c r="P11" s="763">
        <f t="shared" si="9"/>
        <v>602.34899999999993</v>
      </c>
      <c r="Q11" s="763">
        <f t="shared" si="10"/>
        <v>4986.414806451613</v>
      </c>
      <c r="R11" s="774" t="s">
        <v>116</v>
      </c>
      <c r="S11" s="775">
        <v>12</v>
      </c>
      <c r="T11" s="776">
        <v>41296</v>
      </c>
      <c r="U11" s="777">
        <v>41660</v>
      </c>
    </row>
    <row r="12" spans="1:21" s="446" customFormat="1" ht="13.5" customHeight="1">
      <c r="A12" s="751" t="s">
        <v>122</v>
      </c>
      <c r="B12" s="756">
        <v>1102</v>
      </c>
      <c r="C12" s="753">
        <v>78.03</v>
      </c>
      <c r="D12" s="753">
        <f t="shared" si="0"/>
        <v>35.015498588218762</v>
      </c>
      <c r="E12" s="753">
        <f t="shared" si="1"/>
        <v>217.09609124695632</v>
      </c>
      <c r="F12" s="753">
        <f t="shared" si="2"/>
        <v>35.015498588218762</v>
      </c>
      <c r="G12" s="753">
        <f t="shared" si="3"/>
        <v>217.09609124695632</v>
      </c>
      <c r="H12" s="754">
        <v>3.3</v>
      </c>
      <c r="I12" s="753">
        <f>19000-M12</f>
        <v>16940.008000000002</v>
      </c>
      <c r="J12" s="753">
        <f t="shared" si="4"/>
        <v>2732.2593548387099</v>
      </c>
      <c r="K12" s="753">
        <f t="shared" si="5"/>
        <v>2732.2593548387099</v>
      </c>
      <c r="L12" s="753">
        <f t="shared" si="6"/>
        <v>16940.008000000002</v>
      </c>
      <c r="M12" s="753">
        <f t="shared" si="7"/>
        <v>2059.9919999999997</v>
      </c>
      <c r="N12" s="767">
        <f t="shared" si="8"/>
        <v>7.2365363748985443</v>
      </c>
      <c r="O12" s="753">
        <f t="shared" ref="O12:O26" si="11">SUM(L12,M12)</f>
        <v>19000</v>
      </c>
      <c r="P12" s="753">
        <f t="shared" si="9"/>
        <v>257.49899999999997</v>
      </c>
      <c r="Q12" s="753">
        <f t="shared" si="10"/>
        <v>2989.7583548387097</v>
      </c>
      <c r="R12" s="771" t="s">
        <v>116</v>
      </c>
      <c r="S12" s="778" t="s">
        <v>121</v>
      </c>
      <c r="T12" s="779">
        <v>41306</v>
      </c>
      <c r="U12" s="780">
        <v>41670</v>
      </c>
    </row>
    <row r="13" spans="1:21" s="737" customFormat="1">
      <c r="A13" s="755" t="s">
        <v>123</v>
      </c>
      <c r="B13" s="756">
        <v>908</v>
      </c>
      <c r="C13" s="753">
        <v>214.39</v>
      </c>
      <c r="D13" s="753">
        <f t="shared" si="0"/>
        <v>18.311596743348346</v>
      </c>
      <c r="E13" s="753">
        <f t="shared" si="1"/>
        <v>113.53189980875975</v>
      </c>
      <c r="F13" s="753">
        <f t="shared" si="2"/>
        <v>18.311596743348346</v>
      </c>
      <c r="G13" s="753">
        <f t="shared" si="3"/>
        <v>113.53189980875975</v>
      </c>
      <c r="H13" s="754">
        <v>3.3</v>
      </c>
      <c r="I13" s="753">
        <f>30000-M13</f>
        <v>24340.103999999999</v>
      </c>
      <c r="J13" s="753">
        <f t="shared" si="4"/>
        <v>3925.8232258064513</v>
      </c>
      <c r="K13" s="753">
        <f t="shared" si="5"/>
        <v>3925.8232258064513</v>
      </c>
      <c r="L13" s="763">
        <f t="shared" si="6"/>
        <v>24340.103999999999</v>
      </c>
      <c r="M13" s="768">
        <f t="shared" si="7"/>
        <v>5659.8959999999997</v>
      </c>
      <c r="N13" s="767">
        <f t="shared" si="8"/>
        <v>3.784396660291991</v>
      </c>
      <c r="O13" s="753">
        <f t="shared" si="11"/>
        <v>30000</v>
      </c>
      <c r="P13" s="763">
        <f t="shared" si="9"/>
        <v>707.48699999999997</v>
      </c>
      <c r="Q13" s="753">
        <f t="shared" si="10"/>
        <v>4633.3102258064509</v>
      </c>
      <c r="R13" s="771" t="s">
        <v>116</v>
      </c>
      <c r="S13" s="778" t="s">
        <v>121</v>
      </c>
      <c r="T13" s="779">
        <v>41276</v>
      </c>
      <c r="U13" s="777">
        <v>41640</v>
      </c>
    </row>
    <row r="14" spans="1:21" s="737" customFormat="1" ht="12.75" customHeight="1">
      <c r="A14" s="751" t="s">
        <v>124</v>
      </c>
      <c r="B14" s="756">
        <v>805</v>
      </c>
      <c r="C14" s="753">
        <v>191.65</v>
      </c>
      <c r="D14" s="753">
        <f t="shared" si="0"/>
        <v>20.989572725819073</v>
      </c>
      <c r="E14" s="753">
        <f t="shared" si="1"/>
        <v>130.13535090007827</v>
      </c>
      <c r="F14" s="753">
        <f t="shared" si="2"/>
        <v>20.989572725819073</v>
      </c>
      <c r="G14" s="753">
        <f t="shared" si="3"/>
        <v>130.13535090007827</v>
      </c>
      <c r="H14" s="754">
        <v>3.3</v>
      </c>
      <c r="I14" s="753">
        <f>30000-M14</f>
        <v>24940.440000000002</v>
      </c>
      <c r="J14" s="753">
        <f t="shared" si="4"/>
        <v>4022.6516129032261</v>
      </c>
      <c r="K14" s="753">
        <f t="shared" si="5"/>
        <v>4022.6516129032261</v>
      </c>
      <c r="L14" s="753">
        <f t="shared" si="6"/>
        <v>24940.440000000002</v>
      </c>
      <c r="M14" s="768">
        <f t="shared" si="7"/>
        <v>5059.5599999999995</v>
      </c>
      <c r="N14" s="767">
        <f t="shared" si="8"/>
        <v>4.337845030002609</v>
      </c>
      <c r="O14" s="753">
        <f t="shared" si="11"/>
        <v>30000</v>
      </c>
      <c r="P14" s="763">
        <f>H14*C14</f>
        <v>632.44499999999994</v>
      </c>
      <c r="Q14" s="753">
        <f t="shared" si="10"/>
        <v>4655.0966129032258</v>
      </c>
      <c r="R14" s="771" t="s">
        <v>125</v>
      </c>
      <c r="S14" s="778" t="s">
        <v>121</v>
      </c>
      <c r="T14" s="779">
        <v>41299</v>
      </c>
      <c r="U14" s="777">
        <v>41663</v>
      </c>
    </row>
    <row r="15" spans="1:21" s="737" customFormat="1" ht="15.75" customHeight="1">
      <c r="A15" s="751" t="s">
        <v>115</v>
      </c>
      <c r="B15" s="756">
        <v>804</v>
      </c>
      <c r="C15" s="753">
        <v>191.65</v>
      </c>
      <c r="D15" s="753">
        <f t="shared" si="0"/>
        <v>19.306396909689205</v>
      </c>
      <c r="E15" s="753">
        <f t="shared" si="1"/>
        <v>119.69966084007307</v>
      </c>
      <c r="F15" s="753">
        <f t="shared" si="2"/>
        <v>19.306396909689205</v>
      </c>
      <c r="G15" s="753">
        <f t="shared" si="3"/>
        <v>119.69966084007307</v>
      </c>
      <c r="H15" s="754">
        <v>3.3</v>
      </c>
      <c r="I15" s="753">
        <f>28000-M15</f>
        <v>22940.440000000002</v>
      </c>
      <c r="J15" s="753">
        <f t="shared" si="4"/>
        <v>3700.0709677419359</v>
      </c>
      <c r="K15" s="753">
        <f t="shared" si="5"/>
        <v>3700.0709677419359</v>
      </c>
      <c r="L15" s="753">
        <f t="shared" si="6"/>
        <v>22940.440000000002</v>
      </c>
      <c r="M15" s="768">
        <f t="shared" si="7"/>
        <v>5059.5599999999995</v>
      </c>
      <c r="N15" s="767">
        <f t="shared" si="8"/>
        <v>3.9899886946691021</v>
      </c>
      <c r="O15" s="753">
        <f t="shared" si="11"/>
        <v>28000</v>
      </c>
      <c r="P15" s="763">
        <f>C15*H15</f>
        <v>632.44499999999994</v>
      </c>
      <c r="Q15" s="753">
        <f t="shared" si="10"/>
        <v>4332.515967741936</v>
      </c>
      <c r="R15" s="771" t="s">
        <v>116</v>
      </c>
      <c r="S15" s="778" t="s">
        <v>121</v>
      </c>
      <c r="T15" s="779">
        <v>41276</v>
      </c>
      <c r="U15" s="777">
        <v>41640</v>
      </c>
    </row>
    <row r="16" spans="1:21" s="737" customFormat="1" ht="12.75" customHeight="1">
      <c r="A16" s="751" t="s">
        <v>126</v>
      </c>
      <c r="B16" s="756">
        <v>802</v>
      </c>
      <c r="C16" s="753">
        <v>78.03</v>
      </c>
      <c r="D16" s="753">
        <f t="shared" si="0"/>
        <v>35.015498588218762</v>
      </c>
      <c r="E16" s="753">
        <f t="shared" si="1"/>
        <v>217.09609124695632</v>
      </c>
      <c r="F16" s="753">
        <f t="shared" si="2"/>
        <v>35.015498588218762</v>
      </c>
      <c r="G16" s="753">
        <f t="shared" si="3"/>
        <v>217.09609124695632</v>
      </c>
      <c r="H16" s="754">
        <v>3.3</v>
      </c>
      <c r="I16" s="753">
        <f>19000-M16</f>
        <v>16940.008000000002</v>
      </c>
      <c r="J16" s="753">
        <f t="shared" si="4"/>
        <v>2732.2593548387099</v>
      </c>
      <c r="K16" s="753">
        <f t="shared" si="5"/>
        <v>2732.2593548387099</v>
      </c>
      <c r="L16" s="753">
        <f t="shared" si="6"/>
        <v>16940.008000000002</v>
      </c>
      <c r="M16" s="768">
        <f t="shared" si="7"/>
        <v>2059.9919999999997</v>
      </c>
      <c r="N16" s="767">
        <f t="shared" si="8"/>
        <v>7.2365363748985443</v>
      </c>
      <c r="O16" s="753">
        <f t="shared" si="11"/>
        <v>19000</v>
      </c>
      <c r="P16" s="763">
        <f>H16*C16</f>
        <v>257.49899999999997</v>
      </c>
      <c r="Q16" s="753">
        <f t="shared" si="10"/>
        <v>2989.7583548387097</v>
      </c>
      <c r="R16" s="771" t="s">
        <v>125</v>
      </c>
      <c r="S16" s="778" t="s">
        <v>121</v>
      </c>
      <c r="T16" s="779">
        <v>41279</v>
      </c>
      <c r="U16" s="777">
        <v>41643</v>
      </c>
    </row>
    <row r="17" spans="1:21" s="737" customFormat="1" ht="18.75" customHeight="1">
      <c r="A17" s="751" t="s">
        <v>127</v>
      </c>
      <c r="B17" s="756">
        <v>1106</v>
      </c>
      <c r="C17" s="753">
        <v>84.75</v>
      </c>
      <c r="D17" s="753">
        <f t="shared" si="0"/>
        <v>32.852983157293743</v>
      </c>
      <c r="E17" s="753">
        <f t="shared" si="1"/>
        <v>203.68849557522122</v>
      </c>
      <c r="F17" s="753">
        <f t="shared" si="2"/>
        <v>32.852983157293743</v>
      </c>
      <c r="G17" s="753">
        <f t="shared" si="3"/>
        <v>203.68849557522122</v>
      </c>
      <c r="H17" s="754">
        <v>3.3</v>
      </c>
      <c r="I17" s="753">
        <f>19500-M17</f>
        <v>17262.599999999999</v>
      </c>
      <c r="J17" s="753">
        <f t="shared" si="4"/>
        <v>2784.2903225806449</v>
      </c>
      <c r="K17" s="753">
        <f t="shared" si="5"/>
        <v>2784.2903225806449</v>
      </c>
      <c r="L17" s="753">
        <f t="shared" si="6"/>
        <v>17262.599999999999</v>
      </c>
      <c r="M17" s="753">
        <f t="shared" si="7"/>
        <v>2237.4</v>
      </c>
      <c r="N17" s="767">
        <f t="shared" si="8"/>
        <v>6.7896165191740412</v>
      </c>
      <c r="O17" s="753">
        <f t="shared" si="11"/>
        <v>19500</v>
      </c>
      <c r="P17" s="753">
        <f t="shared" ref="P17:P23" si="12">C17*H17</f>
        <v>279.67500000000001</v>
      </c>
      <c r="Q17" s="753">
        <f t="shared" si="10"/>
        <v>3063.9653225806451</v>
      </c>
      <c r="R17" s="771" t="s">
        <v>116</v>
      </c>
      <c r="S17" s="778" t="s">
        <v>121</v>
      </c>
      <c r="T17" s="779">
        <v>41299</v>
      </c>
      <c r="U17" s="779">
        <v>41663</v>
      </c>
    </row>
    <row r="18" spans="1:21" s="446" customFormat="1" ht="13.5" customHeight="1">
      <c r="A18" s="751" t="s">
        <v>128</v>
      </c>
      <c r="B18" s="756">
        <v>1806</v>
      </c>
      <c r="C18" s="753">
        <v>222.2</v>
      </c>
      <c r="D18" s="753">
        <f t="shared" si="0"/>
        <v>24.777097064545163</v>
      </c>
      <c r="E18" s="753">
        <f t="shared" si="1"/>
        <v>153.61800180018002</v>
      </c>
      <c r="F18" s="753">
        <f t="shared" si="2"/>
        <v>24.777097064545163</v>
      </c>
      <c r="G18" s="753">
        <f t="shared" si="3"/>
        <v>153.61800180018002</v>
      </c>
      <c r="H18" s="754">
        <v>3.3</v>
      </c>
      <c r="I18" s="753">
        <f>40000-M18</f>
        <v>34133.919999999998</v>
      </c>
      <c r="J18" s="753">
        <f t="shared" si="4"/>
        <v>5505.4709677419351</v>
      </c>
      <c r="K18" s="753">
        <f t="shared" si="5"/>
        <v>5505.4709677419351</v>
      </c>
      <c r="L18" s="753">
        <f t="shared" si="6"/>
        <v>34133.919999999998</v>
      </c>
      <c r="M18" s="753">
        <f t="shared" si="7"/>
        <v>5866.079999999999</v>
      </c>
      <c r="N18" s="767">
        <f t="shared" si="8"/>
        <v>5.1206000600060007</v>
      </c>
      <c r="O18" s="753">
        <f t="shared" si="11"/>
        <v>40000</v>
      </c>
      <c r="P18" s="753">
        <f t="shared" si="12"/>
        <v>733.25999999999988</v>
      </c>
      <c r="Q18" s="753">
        <f t="shared" si="10"/>
        <v>6238.7309677419353</v>
      </c>
      <c r="R18" s="774" t="s">
        <v>125</v>
      </c>
      <c r="S18" s="778">
        <v>18</v>
      </c>
      <c r="T18" s="779">
        <v>41122</v>
      </c>
      <c r="U18" s="780">
        <v>41670</v>
      </c>
    </row>
    <row r="19" spans="1:21" s="737" customFormat="1">
      <c r="A19" s="755" t="s">
        <v>123</v>
      </c>
      <c r="B19" s="756">
        <v>1504</v>
      </c>
      <c r="C19" s="753">
        <v>191.68</v>
      </c>
      <c r="D19" s="753">
        <f t="shared" si="0"/>
        <v>21.82707738704292</v>
      </c>
      <c r="E19" s="753">
        <f t="shared" si="1"/>
        <v>135.32787979966611</v>
      </c>
      <c r="F19" s="753">
        <f t="shared" si="2"/>
        <v>21.82707738704292</v>
      </c>
      <c r="G19" s="753">
        <f t="shared" si="3"/>
        <v>135.32787979966611</v>
      </c>
      <c r="H19" s="754">
        <v>3.3</v>
      </c>
      <c r="I19" s="753">
        <f>31000-M19</f>
        <v>25939.648000000001</v>
      </c>
      <c r="J19" s="753">
        <f t="shared" si="4"/>
        <v>4183.8141935483873</v>
      </c>
      <c r="K19" s="753">
        <f t="shared" si="5"/>
        <v>4183.8141935483873</v>
      </c>
      <c r="L19" s="753">
        <f t="shared" si="6"/>
        <v>25939.648000000001</v>
      </c>
      <c r="M19" s="753">
        <f t="shared" si="7"/>
        <v>5060.3519999999999</v>
      </c>
      <c r="N19" s="767">
        <f t="shared" si="8"/>
        <v>4.5109293266555373</v>
      </c>
      <c r="O19" s="753">
        <f t="shared" si="11"/>
        <v>31000</v>
      </c>
      <c r="P19" s="753">
        <f t="shared" si="12"/>
        <v>632.54399999999998</v>
      </c>
      <c r="Q19" s="753">
        <f t="shared" si="10"/>
        <v>4816.3581935483871</v>
      </c>
      <c r="R19" s="771" t="s">
        <v>116</v>
      </c>
      <c r="S19" s="778" t="s">
        <v>121</v>
      </c>
      <c r="T19" s="779">
        <v>41277</v>
      </c>
      <c r="U19" s="777">
        <v>41641</v>
      </c>
    </row>
    <row r="20" spans="1:21" s="737" customFormat="1" ht="18.75" customHeight="1">
      <c r="A20" s="751" t="s">
        <v>129</v>
      </c>
      <c r="B20" s="756">
        <v>1603</v>
      </c>
      <c r="C20" s="753">
        <v>191.68</v>
      </c>
      <c r="D20" s="753">
        <f t="shared" si="0"/>
        <v>21.82707738704292</v>
      </c>
      <c r="E20" s="753">
        <f t="shared" si="1"/>
        <v>135.32787979966611</v>
      </c>
      <c r="F20" s="753">
        <f t="shared" si="2"/>
        <v>21.82707738704292</v>
      </c>
      <c r="G20" s="753">
        <f t="shared" si="3"/>
        <v>135.32787979966611</v>
      </c>
      <c r="H20" s="754">
        <v>3.3</v>
      </c>
      <c r="I20" s="753">
        <f>31000-M20</f>
        <v>25939.648000000001</v>
      </c>
      <c r="J20" s="753">
        <f t="shared" si="4"/>
        <v>4183.8141935483873</v>
      </c>
      <c r="K20" s="753">
        <f t="shared" si="5"/>
        <v>4183.8141935483873</v>
      </c>
      <c r="L20" s="753">
        <f t="shared" si="6"/>
        <v>25939.648000000001</v>
      </c>
      <c r="M20" s="753">
        <f t="shared" si="7"/>
        <v>5060.3519999999999</v>
      </c>
      <c r="N20" s="767">
        <f t="shared" si="8"/>
        <v>4.5109293266555373</v>
      </c>
      <c r="O20" s="753">
        <f t="shared" si="11"/>
        <v>31000</v>
      </c>
      <c r="P20" s="753">
        <f t="shared" si="12"/>
        <v>632.54399999999998</v>
      </c>
      <c r="Q20" s="753">
        <f t="shared" si="10"/>
        <v>4816.3581935483871</v>
      </c>
      <c r="R20" s="771" t="s">
        <v>116</v>
      </c>
      <c r="S20" s="778" t="s">
        <v>121</v>
      </c>
      <c r="T20" s="779">
        <v>41299</v>
      </c>
      <c r="U20" s="777">
        <v>41663</v>
      </c>
    </row>
    <row r="21" spans="1:21" s="737" customFormat="1" ht="17.25" customHeight="1">
      <c r="A21" s="751" t="s">
        <v>130</v>
      </c>
      <c r="B21" s="756">
        <v>2005</v>
      </c>
      <c r="C21" s="753">
        <v>166.03</v>
      </c>
      <c r="D21" s="753">
        <f t="shared" si="0"/>
        <v>25.856974934572651</v>
      </c>
      <c r="E21" s="753">
        <f t="shared" si="1"/>
        <v>160.31324459435044</v>
      </c>
      <c r="F21" s="753">
        <f t="shared" si="2"/>
        <v>25.856974934572651</v>
      </c>
      <c r="G21" s="753">
        <f t="shared" si="3"/>
        <v>160.31324459435044</v>
      </c>
      <c r="H21" s="754">
        <v>3.3</v>
      </c>
      <c r="I21" s="753">
        <f>31000-M21</f>
        <v>26616.808000000001</v>
      </c>
      <c r="J21" s="753">
        <f t="shared" si="4"/>
        <v>4293.0335483870967</v>
      </c>
      <c r="K21" s="753">
        <f t="shared" si="5"/>
        <v>4293.0335483870967</v>
      </c>
      <c r="L21" s="753">
        <f t="shared" si="6"/>
        <v>26616.808000000001</v>
      </c>
      <c r="M21" s="753">
        <f t="shared" si="7"/>
        <v>4383.192</v>
      </c>
      <c r="N21" s="767">
        <f t="shared" si="8"/>
        <v>5.3437748198116806</v>
      </c>
      <c r="O21" s="753">
        <f t="shared" si="11"/>
        <v>31000</v>
      </c>
      <c r="P21" s="753">
        <f t="shared" si="12"/>
        <v>547.899</v>
      </c>
      <c r="Q21" s="753">
        <f t="shared" si="10"/>
        <v>4840.9325483870971</v>
      </c>
      <c r="R21" s="771" t="s">
        <v>116</v>
      </c>
      <c r="S21" s="778" t="s">
        <v>121</v>
      </c>
      <c r="T21" s="779">
        <v>41304</v>
      </c>
      <c r="U21" s="777">
        <v>41668</v>
      </c>
    </row>
    <row r="22" spans="1:21" s="737" customFormat="1">
      <c r="A22" s="751" t="s">
        <v>131</v>
      </c>
      <c r="B22" s="756">
        <v>2104</v>
      </c>
      <c r="C22" s="753">
        <v>191.68</v>
      </c>
      <c r="D22" s="753">
        <f t="shared" si="0"/>
        <v>23.509989767892723</v>
      </c>
      <c r="E22" s="753">
        <f t="shared" si="1"/>
        <v>145.76193656093488</v>
      </c>
      <c r="F22" s="753">
        <f t="shared" si="2"/>
        <v>23.509989767892723</v>
      </c>
      <c r="G22" s="753">
        <f t="shared" si="3"/>
        <v>145.76193656093488</v>
      </c>
      <c r="H22" s="754">
        <v>3.3</v>
      </c>
      <c r="I22" s="753">
        <f>33000-M22</f>
        <v>27939.648000000001</v>
      </c>
      <c r="J22" s="753">
        <f t="shared" si="4"/>
        <v>4506.3948387096771</v>
      </c>
      <c r="K22" s="753">
        <f t="shared" si="5"/>
        <v>4506.3948387096771</v>
      </c>
      <c r="L22" s="753">
        <f t="shared" si="6"/>
        <v>27939.647999999997</v>
      </c>
      <c r="M22" s="753">
        <f t="shared" si="7"/>
        <v>5060.3519999999999</v>
      </c>
      <c r="N22" s="767">
        <f t="shared" si="8"/>
        <v>4.8587312186978293</v>
      </c>
      <c r="O22" s="753">
        <f t="shared" si="11"/>
        <v>33000</v>
      </c>
      <c r="P22" s="753">
        <f t="shared" si="12"/>
        <v>632.54399999999998</v>
      </c>
      <c r="Q22" s="753">
        <f t="shared" si="10"/>
        <v>5138.9388387096769</v>
      </c>
      <c r="R22" s="771" t="s">
        <v>116</v>
      </c>
      <c r="S22" s="778" t="s">
        <v>121</v>
      </c>
      <c r="T22" s="779">
        <v>41276</v>
      </c>
      <c r="U22" s="777">
        <v>41640</v>
      </c>
    </row>
    <row r="23" spans="1:21" s="737" customFormat="1">
      <c r="A23" s="757" t="s">
        <v>132</v>
      </c>
      <c r="B23" s="756">
        <v>2301</v>
      </c>
      <c r="C23" s="753">
        <v>233.63</v>
      </c>
      <c r="D23" s="753">
        <f t="shared" si="0"/>
        <v>23.356595002022772</v>
      </c>
      <c r="E23" s="753">
        <f t="shared" si="1"/>
        <v>144.8108890125412</v>
      </c>
      <c r="F23" s="753">
        <f t="shared" si="2"/>
        <v>23.356595002022772</v>
      </c>
      <c r="G23" s="753">
        <f t="shared" si="3"/>
        <v>144.8108890125412</v>
      </c>
      <c r="H23" s="754">
        <v>3.3</v>
      </c>
      <c r="I23" s="753">
        <f>40000-M23</f>
        <v>33832.167999999998</v>
      </c>
      <c r="J23" s="753">
        <f t="shared" si="4"/>
        <v>5456.8012903225799</v>
      </c>
      <c r="K23" s="753">
        <f t="shared" si="5"/>
        <v>5456.8012903225799</v>
      </c>
      <c r="L23" s="753">
        <f t="shared" si="6"/>
        <v>33832.167999999998</v>
      </c>
      <c r="M23" s="753">
        <f t="shared" si="7"/>
        <v>6167.8319999999994</v>
      </c>
      <c r="N23" s="767">
        <f t="shared" si="8"/>
        <v>4.8270296337513736</v>
      </c>
      <c r="O23" s="753">
        <f t="shared" si="11"/>
        <v>40000</v>
      </c>
      <c r="P23" s="753">
        <f t="shared" si="12"/>
        <v>770.97899999999993</v>
      </c>
      <c r="Q23" s="753">
        <f t="shared" si="10"/>
        <v>6227.7802903225802</v>
      </c>
      <c r="R23" s="771" t="s">
        <v>125</v>
      </c>
      <c r="S23" s="778" t="s">
        <v>121</v>
      </c>
      <c r="T23" s="779">
        <v>41292</v>
      </c>
      <c r="U23" s="777">
        <v>41656</v>
      </c>
    </row>
    <row r="24" spans="1:21" s="737" customFormat="1" ht="12.75" customHeight="1">
      <c r="A24" s="751" t="s">
        <v>133</v>
      </c>
      <c r="B24" s="756">
        <v>1203</v>
      </c>
      <c r="C24" s="753">
        <v>84.75</v>
      </c>
      <c r="D24" s="753">
        <f t="shared" si="0"/>
        <v>34.756113807212863</v>
      </c>
      <c r="E24" s="753">
        <f t="shared" si="1"/>
        <v>215.48790560471974</v>
      </c>
      <c r="F24" s="753">
        <f t="shared" si="2"/>
        <v>34.756113807212863</v>
      </c>
      <c r="G24" s="753">
        <f t="shared" si="3"/>
        <v>215.48790560471974</v>
      </c>
      <c r="H24" s="754">
        <v>3.3</v>
      </c>
      <c r="I24" s="753">
        <f>20500-M24</f>
        <v>18262.599999999999</v>
      </c>
      <c r="J24" s="753">
        <f t="shared" si="4"/>
        <v>2945.5806451612898</v>
      </c>
      <c r="K24" s="753">
        <f t="shared" si="5"/>
        <v>2945.5806451612898</v>
      </c>
      <c r="L24" s="753">
        <f t="shared" si="6"/>
        <v>18262.599999999999</v>
      </c>
      <c r="M24" s="768">
        <f t="shared" si="7"/>
        <v>2237.4</v>
      </c>
      <c r="N24" s="767">
        <f t="shared" si="8"/>
        <v>7.1829301868239925</v>
      </c>
      <c r="O24" s="753">
        <f t="shared" si="11"/>
        <v>20500</v>
      </c>
      <c r="P24" s="763">
        <f>H24*C24</f>
        <v>279.67500000000001</v>
      </c>
      <c r="Q24" s="753">
        <f t="shared" si="10"/>
        <v>3225.25564516129</v>
      </c>
      <c r="R24" s="771" t="s">
        <v>125</v>
      </c>
      <c r="S24" s="778">
        <v>12</v>
      </c>
      <c r="T24" s="779">
        <v>41325</v>
      </c>
      <c r="U24" s="777">
        <v>41689</v>
      </c>
    </row>
    <row r="25" spans="1:21" s="737" customFormat="1" ht="12.75" customHeight="1">
      <c r="A25" s="751" t="s">
        <v>134</v>
      </c>
      <c r="B25" s="756">
        <v>1007</v>
      </c>
      <c r="C25" s="753">
        <v>75.180000000000007</v>
      </c>
      <c r="D25" s="753">
        <f t="shared" si="0"/>
        <v>37.147937423302352</v>
      </c>
      <c r="E25" s="753">
        <f t="shared" si="1"/>
        <v>230.31721202447457</v>
      </c>
      <c r="F25" s="753">
        <f t="shared" si="2"/>
        <v>37.147937423302352</v>
      </c>
      <c r="G25" s="753">
        <f t="shared" si="3"/>
        <v>230.31721202447457</v>
      </c>
      <c r="H25" s="754">
        <v>3.3</v>
      </c>
      <c r="I25" s="753">
        <f>19300-M25</f>
        <v>17315.248</v>
      </c>
      <c r="J25" s="753">
        <f t="shared" si="4"/>
        <v>2792.7819354838707</v>
      </c>
      <c r="K25" s="753">
        <f t="shared" si="5"/>
        <v>2792.7819354838707</v>
      </c>
      <c r="L25" s="763">
        <f t="shared" si="6"/>
        <v>17315.248</v>
      </c>
      <c r="M25" s="768">
        <f t="shared" si="7"/>
        <v>1984.7520000000002</v>
      </c>
      <c r="N25" s="767">
        <f t="shared" si="8"/>
        <v>7.677240400815819</v>
      </c>
      <c r="O25" s="753">
        <f t="shared" si="11"/>
        <v>19300</v>
      </c>
      <c r="P25" s="763">
        <f>H25*C25</f>
        <v>248.09400000000002</v>
      </c>
      <c r="Q25" s="753">
        <f t="shared" si="10"/>
        <v>3040.8759354838708</v>
      </c>
      <c r="R25" s="771" t="s">
        <v>125</v>
      </c>
      <c r="S25" s="754">
        <v>12</v>
      </c>
      <c r="T25" s="779">
        <v>41334</v>
      </c>
      <c r="U25" s="777">
        <v>41698</v>
      </c>
    </row>
    <row r="26" spans="1:21" s="737" customFormat="1" ht="12.75" customHeight="1">
      <c r="A26" s="751" t="s">
        <v>135</v>
      </c>
      <c r="B26" s="756">
        <v>505</v>
      </c>
      <c r="C26" s="753">
        <v>191.16</v>
      </c>
      <c r="D26" s="753">
        <f t="shared" si="0"/>
        <v>22.741780234763652</v>
      </c>
      <c r="E26" s="753">
        <f t="shared" si="1"/>
        <v>140.99903745553465</v>
      </c>
      <c r="F26" s="753">
        <f t="shared" si="2"/>
        <v>22.741780234763652</v>
      </c>
      <c r="G26" s="753">
        <f t="shared" si="3"/>
        <v>140.99903745553465</v>
      </c>
      <c r="H26" s="754">
        <v>3.3</v>
      </c>
      <c r="I26" s="753">
        <f>32000-M26</f>
        <v>26953.376</v>
      </c>
      <c r="J26" s="753">
        <f t="shared" si="4"/>
        <v>4347.3187096774191</v>
      </c>
      <c r="K26" s="753">
        <f t="shared" si="5"/>
        <v>4347.3187096774191</v>
      </c>
      <c r="L26" s="753">
        <f t="shared" si="6"/>
        <v>26953.376</v>
      </c>
      <c r="M26" s="768">
        <f t="shared" si="7"/>
        <v>5046.6239999999998</v>
      </c>
      <c r="N26" s="767">
        <f t="shared" si="8"/>
        <v>4.6999679151844882</v>
      </c>
      <c r="O26" s="753">
        <f t="shared" si="11"/>
        <v>32000</v>
      </c>
      <c r="P26" s="763">
        <f>H26*C26</f>
        <v>630.82799999999997</v>
      </c>
      <c r="Q26" s="753">
        <f t="shared" si="10"/>
        <v>4978.1467096774195</v>
      </c>
      <c r="R26" s="771" t="s">
        <v>125</v>
      </c>
      <c r="S26" s="754">
        <v>12</v>
      </c>
      <c r="T26" s="779">
        <v>41334</v>
      </c>
      <c r="U26" s="777">
        <v>41698</v>
      </c>
    </row>
    <row r="27" spans="1:21" s="737" customFormat="1" ht="21" customHeight="1">
      <c r="A27" s="755" t="s">
        <v>136</v>
      </c>
      <c r="B27" s="752">
        <v>1401</v>
      </c>
      <c r="C27" s="753">
        <v>304.05</v>
      </c>
      <c r="D27" s="753">
        <f t="shared" si="0"/>
        <v>20.143694532414553</v>
      </c>
      <c r="E27" s="753">
        <f t="shared" si="1"/>
        <v>124.89090610097024</v>
      </c>
      <c r="F27" s="753">
        <f t="shared" si="2"/>
        <v>20.143694532414553</v>
      </c>
      <c r="G27" s="753">
        <f>E27</f>
        <v>124.89090610097024</v>
      </c>
      <c r="H27" s="754">
        <v>3.3</v>
      </c>
      <c r="I27" s="763">
        <f>46000-M27</f>
        <v>37973.08</v>
      </c>
      <c r="J27" s="763">
        <f t="shared" si="4"/>
        <v>6124.6903225806454</v>
      </c>
      <c r="K27" s="763">
        <f t="shared" si="5"/>
        <v>6124.6903225806454</v>
      </c>
      <c r="L27" s="763">
        <f t="shared" si="6"/>
        <v>37973.08</v>
      </c>
      <c r="M27" s="763">
        <f t="shared" si="7"/>
        <v>8026.92</v>
      </c>
      <c r="N27" s="766">
        <f t="shared" si="8"/>
        <v>4.1630302033656745</v>
      </c>
      <c r="O27" s="763">
        <f>SUM(L27:M27)</f>
        <v>46000</v>
      </c>
      <c r="P27" s="763">
        <f t="shared" ref="P27:P32" si="13">C27*H27</f>
        <v>1003.365</v>
      </c>
      <c r="Q27" s="763">
        <f t="shared" si="10"/>
        <v>7128.0553225806452</v>
      </c>
      <c r="R27" s="774" t="s">
        <v>116</v>
      </c>
      <c r="S27" s="775">
        <v>12</v>
      </c>
      <c r="T27" s="776">
        <v>41334</v>
      </c>
      <c r="U27" s="777">
        <v>41698</v>
      </c>
    </row>
    <row r="28" spans="1:21" s="737" customFormat="1" ht="12.75" customHeight="1">
      <c r="A28" s="751" t="s">
        <v>137</v>
      </c>
      <c r="B28" s="756">
        <v>701</v>
      </c>
      <c r="C28" s="753">
        <v>164.13</v>
      </c>
      <c r="D28" s="753">
        <f t="shared" si="0"/>
        <v>22.766147212182318</v>
      </c>
      <c r="E28" s="753">
        <f t="shared" si="1"/>
        <v>141.15011271553038</v>
      </c>
      <c r="F28" s="753">
        <f t="shared" si="2"/>
        <v>22.766147212182318</v>
      </c>
      <c r="G28" s="753">
        <f t="shared" ref="G28:G41" si="14">L28/C28</f>
        <v>141.15011271553038</v>
      </c>
      <c r="H28" s="754">
        <v>3.3</v>
      </c>
      <c r="I28" s="753">
        <f>27500-M28</f>
        <v>23166.968000000001</v>
      </c>
      <c r="J28" s="753">
        <f t="shared" si="4"/>
        <v>3736.6077419354838</v>
      </c>
      <c r="K28" s="753">
        <f t="shared" si="5"/>
        <v>3736.6077419354838</v>
      </c>
      <c r="L28" s="753">
        <f t="shared" si="6"/>
        <v>23166.968000000001</v>
      </c>
      <c r="M28" s="768">
        <f t="shared" si="7"/>
        <v>4333.0319999999992</v>
      </c>
      <c r="N28" s="767">
        <f t="shared" si="8"/>
        <v>4.7050037571843459</v>
      </c>
      <c r="O28" s="753">
        <f>SUM(L28,M28)</f>
        <v>27500</v>
      </c>
      <c r="P28" s="763">
        <f>H28*C28</f>
        <v>541.62899999999991</v>
      </c>
      <c r="Q28" s="753">
        <f t="shared" si="10"/>
        <v>4278.2367419354832</v>
      </c>
      <c r="R28" s="771" t="s">
        <v>125</v>
      </c>
      <c r="S28" s="778">
        <v>12</v>
      </c>
      <c r="T28" s="779">
        <v>41315</v>
      </c>
      <c r="U28" s="777">
        <v>41679</v>
      </c>
    </row>
    <row r="29" spans="1:21" s="446" customFormat="1" ht="13.5" customHeight="1">
      <c r="A29" s="751" t="s">
        <v>138</v>
      </c>
      <c r="B29" s="756">
        <v>1003</v>
      </c>
      <c r="C29" s="753">
        <v>84.75</v>
      </c>
      <c r="D29" s="753">
        <f t="shared" si="0"/>
        <v>31.901417832334186</v>
      </c>
      <c r="E29" s="753">
        <f t="shared" si="1"/>
        <v>197.78879056047197</v>
      </c>
      <c r="F29" s="753">
        <f t="shared" si="2"/>
        <v>31.901417832334186</v>
      </c>
      <c r="G29" s="753">
        <f t="shared" si="14"/>
        <v>197.78879056047197</v>
      </c>
      <c r="H29" s="754">
        <v>3.3</v>
      </c>
      <c r="I29" s="753">
        <f>19000-M29</f>
        <v>16762.599999999999</v>
      </c>
      <c r="J29" s="753">
        <f t="shared" si="4"/>
        <v>2703.6451612903224</v>
      </c>
      <c r="K29" s="753">
        <f t="shared" si="5"/>
        <v>2703.6451612903224</v>
      </c>
      <c r="L29" s="763">
        <f t="shared" si="6"/>
        <v>16762.599999999999</v>
      </c>
      <c r="M29" s="768">
        <f t="shared" si="7"/>
        <v>2237.4</v>
      </c>
      <c r="N29" s="767">
        <f t="shared" si="8"/>
        <v>6.592959685349066</v>
      </c>
      <c r="O29" s="753">
        <f>SUM(L29,M29)</f>
        <v>19000</v>
      </c>
      <c r="P29" s="769">
        <f t="shared" si="13"/>
        <v>279.67500000000001</v>
      </c>
      <c r="Q29" s="753">
        <f t="shared" si="10"/>
        <v>2983.3201612903226</v>
      </c>
      <c r="R29" s="771" t="s">
        <v>116</v>
      </c>
      <c r="S29" s="754" t="s">
        <v>121</v>
      </c>
      <c r="T29" s="779">
        <v>41335</v>
      </c>
      <c r="U29" s="780">
        <v>41699</v>
      </c>
    </row>
    <row r="30" spans="1:21" s="737" customFormat="1" ht="20.25" customHeight="1">
      <c r="A30" s="755" t="s">
        <v>139</v>
      </c>
      <c r="B30" s="752">
        <v>706</v>
      </c>
      <c r="C30" s="753">
        <v>182.53</v>
      </c>
      <c r="D30" s="753">
        <f t="shared" si="0"/>
        <v>20.483780836733864</v>
      </c>
      <c r="E30" s="753">
        <f t="shared" si="1"/>
        <v>126.99944118774995</v>
      </c>
      <c r="F30" s="753">
        <f t="shared" si="2"/>
        <v>20.483780836733864</v>
      </c>
      <c r="G30" s="753">
        <f t="shared" si="14"/>
        <v>126.99944118774995</v>
      </c>
      <c r="H30" s="754">
        <v>3.3</v>
      </c>
      <c r="I30" s="763">
        <f>28000-M30</f>
        <v>23181.207999999999</v>
      </c>
      <c r="J30" s="763">
        <f t="shared" si="4"/>
        <v>3738.9045161290319</v>
      </c>
      <c r="K30" s="763">
        <f t="shared" si="5"/>
        <v>3738.9045161290319</v>
      </c>
      <c r="L30" s="763">
        <f t="shared" si="6"/>
        <v>23181.207999999999</v>
      </c>
      <c r="M30" s="763">
        <f t="shared" si="7"/>
        <v>4818.7919999999995</v>
      </c>
      <c r="N30" s="766">
        <f t="shared" si="8"/>
        <v>4.2333147062583318</v>
      </c>
      <c r="O30" s="763">
        <f>SUM(L30:M30)</f>
        <v>28000</v>
      </c>
      <c r="P30" s="763">
        <f t="shared" si="13"/>
        <v>602.34899999999993</v>
      </c>
      <c r="Q30" s="763">
        <f t="shared" si="10"/>
        <v>4341.2535161290316</v>
      </c>
      <c r="R30" s="774" t="s">
        <v>125</v>
      </c>
      <c r="S30" s="775">
        <v>12</v>
      </c>
      <c r="T30" s="776">
        <v>41363</v>
      </c>
      <c r="U30" s="777">
        <v>41727</v>
      </c>
    </row>
    <row r="31" spans="1:21" s="737" customFormat="1" ht="20.25" customHeight="1">
      <c r="A31" s="751" t="s">
        <v>140</v>
      </c>
      <c r="B31" s="752">
        <v>705</v>
      </c>
      <c r="C31" s="753">
        <v>182.53</v>
      </c>
      <c r="D31" s="753">
        <f t="shared" si="0"/>
        <v>21.36741817076468</v>
      </c>
      <c r="E31" s="753">
        <f t="shared" si="1"/>
        <v>132.47799265874102</v>
      </c>
      <c r="F31" s="753">
        <f t="shared" si="2"/>
        <v>21.36741817076468</v>
      </c>
      <c r="G31" s="753">
        <f t="shared" si="14"/>
        <v>132.47799265874102</v>
      </c>
      <c r="H31" s="754">
        <v>3.3</v>
      </c>
      <c r="I31" s="763">
        <f>29000-M31</f>
        <v>24181.207999999999</v>
      </c>
      <c r="J31" s="763">
        <f t="shared" si="4"/>
        <v>3900.1948387096772</v>
      </c>
      <c r="K31" s="763">
        <f t="shared" si="5"/>
        <v>3900.1948387096772</v>
      </c>
      <c r="L31" s="763">
        <f t="shared" si="6"/>
        <v>24181.207999999999</v>
      </c>
      <c r="M31" s="763">
        <f t="shared" si="7"/>
        <v>4818.7919999999995</v>
      </c>
      <c r="N31" s="766">
        <f t="shared" si="8"/>
        <v>4.4159330886247004</v>
      </c>
      <c r="O31" s="763">
        <f>SUM(L31:M31)</f>
        <v>29000</v>
      </c>
      <c r="P31" s="763">
        <f t="shared" si="13"/>
        <v>602.34899999999993</v>
      </c>
      <c r="Q31" s="763">
        <f t="shared" si="10"/>
        <v>4502.5438387096774</v>
      </c>
      <c r="R31" s="774" t="s">
        <v>116</v>
      </c>
      <c r="S31" s="775">
        <v>12</v>
      </c>
      <c r="T31" s="776">
        <v>41365</v>
      </c>
      <c r="U31" s="777">
        <v>41729</v>
      </c>
    </row>
    <row r="32" spans="1:21" s="446" customFormat="1" ht="13.5" customHeight="1">
      <c r="A32" s="751" t="s">
        <v>141</v>
      </c>
      <c r="B32" s="756">
        <v>1002</v>
      </c>
      <c r="C32" s="753">
        <v>78.03</v>
      </c>
      <c r="D32" s="753">
        <f t="shared" si="0"/>
        <v>36.049013406754227</v>
      </c>
      <c r="E32" s="753">
        <f t="shared" si="1"/>
        <v>223.50388312187621</v>
      </c>
      <c r="F32" s="753">
        <f t="shared" si="2"/>
        <v>36.049013406754227</v>
      </c>
      <c r="G32" s="753">
        <f t="shared" si="14"/>
        <v>223.50388312187621</v>
      </c>
      <c r="H32" s="754">
        <v>3.3</v>
      </c>
      <c r="I32" s="753">
        <f>19500-M32</f>
        <v>17440.008000000002</v>
      </c>
      <c r="J32" s="753">
        <f t="shared" si="4"/>
        <v>2812.9045161290323</v>
      </c>
      <c r="K32" s="753">
        <f t="shared" si="5"/>
        <v>2812.9045161290323</v>
      </c>
      <c r="L32" s="763">
        <f t="shared" si="6"/>
        <v>17440.008000000002</v>
      </c>
      <c r="M32" s="768">
        <f t="shared" si="7"/>
        <v>2059.9919999999997</v>
      </c>
      <c r="N32" s="767">
        <f t="shared" si="8"/>
        <v>7.4501294373958737</v>
      </c>
      <c r="O32" s="753">
        <f t="shared" ref="O32:O40" si="15">SUM(L32,M32)</f>
        <v>19500</v>
      </c>
      <c r="P32" s="763">
        <f t="shared" si="13"/>
        <v>257.49899999999997</v>
      </c>
      <c r="Q32" s="753">
        <f t="shared" si="10"/>
        <v>3070.4035161290321</v>
      </c>
      <c r="R32" s="771" t="s">
        <v>116</v>
      </c>
      <c r="S32" s="754" t="s">
        <v>121</v>
      </c>
      <c r="T32" s="779">
        <v>41358</v>
      </c>
      <c r="U32" s="781">
        <v>41722</v>
      </c>
    </row>
    <row r="33" spans="1:21" s="737" customFormat="1" ht="12.75" customHeight="1">
      <c r="A33" s="755" t="s">
        <v>136</v>
      </c>
      <c r="B33" s="756">
        <v>1406</v>
      </c>
      <c r="C33" s="753">
        <v>222.2</v>
      </c>
      <c r="D33" s="753">
        <f t="shared" si="0"/>
        <v>18.970064748410326</v>
      </c>
      <c r="E33" s="753">
        <f t="shared" si="1"/>
        <v>117.61440144014404</v>
      </c>
      <c r="F33" s="753">
        <f t="shared" si="2"/>
        <v>18.970064748410326</v>
      </c>
      <c r="G33" s="753">
        <f t="shared" si="14"/>
        <v>117.61440144014401</v>
      </c>
      <c r="H33" s="754">
        <v>3.3</v>
      </c>
      <c r="I33" s="753">
        <f>32000-M33</f>
        <v>26133.920000000002</v>
      </c>
      <c r="J33" s="753">
        <f t="shared" si="4"/>
        <v>4215.1483870967741</v>
      </c>
      <c r="K33" s="753">
        <f t="shared" si="5"/>
        <v>4215.1483870967741</v>
      </c>
      <c r="L33" s="753">
        <f t="shared" si="6"/>
        <v>26133.919999999998</v>
      </c>
      <c r="M33" s="768">
        <f t="shared" si="7"/>
        <v>5866.079999999999</v>
      </c>
      <c r="N33" s="767">
        <f t="shared" si="8"/>
        <v>3.9204800480048001</v>
      </c>
      <c r="O33" s="753">
        <f t="shared" si="15"/>
        <v>31999.999999999996</v>
      </c>
      <c r="P33" s="763">
        <f t="shared" ref="P33:P38" si="16">H33*C33</f>
        <v>733.25999999999988</v>
      </c>
      <c r="Q33" s="753">
        <f t="shared" si="10"/>
        <v>4948.4083870967743</v>
      </c>
      <c r="R33" s="771" t="s">
        <v>125</v>
      </c>
      <c r="S33" s="754">
        <v>12</v>
      </c>
      <c r="T33" s="779">
        <v>41362</v>
      </c>
      <c r="U33" s="777">
        <v>41726</v>
      </c>
    </row>
    <row r="34" spans="1:21" s="737" customFormat="1" ht="12.75" customHeight="1">
      <c r="A34" s="751" t="s">
        <v>142</v>
      </c>
      <c r="B34" s="756">
        <v>1405</v>
      </c>
      <c r="C34" s="753">
        <v>166.03</v>
      </c>
      <c r="D34" s="753">
        <f t="shared" si="0"/>
        <v>24.399795606312892</v>
      </c>
      <c r="E34" s="753">
        <f t="shared" si="1"/>
        <v>151.27873275913993</v>
      </c>
      <c r="F34" s="753">
        <f t="shared" si="2"/>
        <v>24.399795606312892</v>
      </c>
      <c r="G34" s="753">
        <f t="shared" si="14"/>
        <v>151.27873275913993</v>
      </c>
      <c r="H34" s="754">
        <v>3.3</v>
      </c>
      <c r="I34" s="753">
        <f>29500-M34</f>
        <v>25116.808000000001</v>
      </c>
      <c r="J34" s="753">
        <f t="shared" si="4"/>
        <v>4051.0980645161289</v>
      </c>
      <c r="K34" s="753">
        <f t="shared" si="5"/>
        <v>4051.0980645161289</v>
      </c>
      <c r="L34" s="753">
        <f t="shared" si="6"/>
        <v>25116.808000000001</v>
      </c>
      <c r="M34" s="753">
        <f t="shared" si="7"/>
        <v>4383.192</v>
      </c>
      <c r="N34" s="767">
        <f t="shared" si="8"/>
        <v>5.0426244253046644</v>
      </c>
      <c r="O34" s="753">
        <f t="shared" si="15"/>
        <v>29500</v>
      </c>
      <c r="P34" s="753">
        <f>C34*H34</f>
        <v>547.899</v>
      </c>
      <c r="Q34" s="753">
        <f t="shared" si="10"/>
        <v>4598.9970645161293</v>
      </c>
      <c r="R34" s="771" t="s">
        <v>116</v>
      </c>
      <c r="S34" s="778" t="s">
        <v>121</v>
      </c>
      <c r="T34" s="779">
        <v>41360</v>
      </c>
      <c r="U34" s="779">
        <v>41724</v>
      </c>
    </row>
    <row r="35" spans="1:21" s="737" customFormat="1" ht="12.75" customHeight="1">
      <c r="A35" s="755" t="s">
        <v>123</v>
      </c>
      <c r="B35" s="756">
        <v>1404</v>
      </c>
      <c r="C35" s="753">
        <v>191.68</v>
      </c>
      <c r="D35" s="753">
        <f t="shared" si="0"/>
        <v>21.82707738704292</v>
      </c>
      <c r="E35" s="753">
        <f t="shared" si="1"/>
        <v>135.32787979966611</v>
      </c>
      <c r="F35" s="753">
        <f t="shared" si="2"/>
        <v>21.82707738704292</v>
      </c>
      <c r="G35" s="753">
        <f t="shared" si="14"/>
        <v>135.32787979966611</v>
      </c>
      <c r="H35" s="754">
        <v>3.3</v>
      </c>
      <c r="I35" s="753">
        <f>31000-M35</f>
        <v>25939.648000000001</v>
      </c>
      <c r="J35" s="753">
        <f t="shared" si="4"/>
        <v>4183.8141935483873</v>
      </c>
      <c r="K35" s="753">
        <f t="shared" si="5"/>
        <v>4183.8141935483873</v>
      </c>
      <c r="L35" s="753">
        <f t="shared" si="6"/>
        <v>25939.648000000001</v>
      </c>
      <c r="M35" s="768">
        <f t="shared" si="7"/>
        <v>5060.3519999999999</v>
      </c>
      <c r="N35" s="767">
        <f t="shared" si="8"/>
        <v>4.5109293266555373</v>
      </c>
      <c r="O35" s="753">
        <f t="shared" si="15"/>
        <v>31000</v>
      </c>
      <c r="P35" s="763">
        <f t="shared" si="16"/>
        <v>632.54399999999998</v>
      </c>
      <c r="Q35" s="753">
        <f t="shared" si="10"/>
        <v>4816.3581935483871</v>
      </c>
      <c r="R35" s="771" t="s">
        <v>125</v>
      </c>
      <c r="S35" s="754">
        <v>12</v>
      </c>
      <c r="T35" s="779">
        <v>41364</v>
      </c>
      <c r="U35" s="777">
        <v>41728</v>
      </c>
    </row>
    <row r="36" spans="1:21" s="446" customFormat="1" ht="14.25" customHeight="1">
      <c r="A36" s="755" t="s">
        <v>143</v>
      </c>
      <c r="B36" s="756">
        <v>1403</v>
      </c>
      <c r="C36" s="753">
        <v>191.68</v>
      </c>
      <c r="D36" s="753">
        <f t="shared" ref="D36:D67" si="17">E36/6.2</f>
        <v>17.619796434918413</v>
      </c>
      <c r="E36" s="753">
        <f t="shared" ref="E36:E67" si="18">I36/C36</f>
        <v>109.24273789649416</v>
      </c>
      <c r="F36" s="753">
        <f t="shared" ref="F36:F67" si="19">D36</f>
        <v>17.619796434918413</v>
      </c>
      <c r="G36" s="753">
        <f t="shared" si="14"/>
        <v>109.24273789649416</v>
      </c>
      <c r="H36" s="754">
        <v>3.3</v>
      </c>
      <c r="I36" s="753">
        <f t="shared" ref="I36:I41" si="20">26000-M36</f>
        <v>20939.648000000001</v>
      </c>
      <c r="J36" s="753">
        <f t="shared" ref="J36:J67" si="21">I36/6.2</f>
        <v>3377.3625806451614</v>
      </c>
      <c r="K36" s="753">
        <f t="shared" ref="K36:K67" si="22">J36</f>
        <v>3377.3625806451614</v>
      </c>
      <c r="L36" s="753">
        <f t="shared" ref="L36:L67" si="23">K36*6.2</f>
        <v>20939.648000000001</v>
      </c>
      <c r="M36" s="753">
        <f t="shared" ref="M36:M67" si="24">P36*8</f>
        <v>5060.3519999999999</v>
      </c>
      <c r="N36" s="767">
        <f t="shared" ref="N36:N67" si="25">L36/30/C36</f>
        <v>3.6414245965498053</v>
      </c>
      <c r="O36" s="753">
        <f t="shared" si="15"/>
        <v>26000</v>
      </c>
      <c r="P36" s="753">
        <f>C36*H36</f>
        <v>632.54399999999998</v>
      </c>
      <c r="Q36" s="753">
        <f t="shared" ref="Q36:Q67" si="26">J36+P36</f>
        <v>4009.9065806451613</v>
      </c>
      <c r="R36" s="771" t="s">
        <v>116</v>
      </c>
      <c r="S36" s="778" t="s">
        <v>144</v>
      </c>
      <c r="T36" s="779">
        <v>41000</v>
      </c>
      <c r="U36" s="780">
        <v>41729</v>
      </c>
    </row>
    <row r="37" spans="1:21" s="446" customFormat="1" ht="13.5" customHeight="1">
      <c r="A37" s="751" t="s">
        <v>145</v>
      </c>
      <c r="B37" s="756">
        <v>1904</v>
      </c>
      <c r="C37" s="753">
        <v>191.68</v>
      </c>
      <c r="D37" s="753">
        <f t="shared" si="17"/>
        <v>17.619796434918413</v>
      </c>
      <c r="E37" s="753">
        <f t="shared" si="18"/>
        <v>109.24273789649416</v>
      </c>
      <c r="F37" s="753">
        <f t="shared" si="19"/>
        <v>17.619796434918413</v>
      </c>
      <c r="G37" s="753">
        <f t="shared" si="14"/>
        <v>109.24273789649416</v>
      </c>
      <c r="H37" s="754">
        <v>3.3</v>
      </c>
      <c r="I37" s="753">
        <f t="shared" si="20"/>
        <v>20939.648000000001</v>
      </c>
      <c r="J37" s="753">
        <f t="shared" si="21"/>
        <v>3377.3625806451614</v>
      </c>
      <c r="K37" s="753">
        <f t="shared" si="22"/>
        <v>3377.3625806451614</v>
      </c>
      <c r="L37" s="753">
        <f t="shared" si="23"/>
        <v>20939.648000000001</v>
      </c>
      <c r="M37" s="753">
        <f t="shared" si="24"/>
        <v>5060.3519999999999</v>
      </c>
      <c r="N37" s="767">
        <f t="shared" si="25"/>
        <v>3.6414245965498053</v>
      </c>
      <c r="O37" s="753">
        <f t="shared" si="15"/>
        <v>26000</v>
      </c>
      <c r="P37" s="753">
        <f>C37*H37</f>
        <v>632.54399999999998</v>
      </c>
      <c r="Q37" s="753">
        <f t="shared" si="26"/>
        <v>4009.9065806451613</v>
      </c>
      <c r="R37" s="771" t="s">
        <v>125</v>
      </c>
      <c r="S37" s="778" t="s">
        <v>144</v>
      </c>
      <c r="T37" s="779">
        <v>41000</v>
      </c>
      <c r="U37" s="780">
        <v>41729</v>
      </c>
    </row>
    <row r="38" spans="1:21" s="737" customFormat="1" ht="12.75" customHeight="1">
      <c r="A38" s="751" t="s">
        <v>146</v>
      </c>
      <c r="B38" s="756">
        <v>2305</v>
      </c>
      <c r="C38" s="753">
        <v>166.03</v>
      </c>
      <c r="D38" s="753">
        <f t="shared" si="17"/>
        <v>25.856974934572651</v>
      </c>
      <c r="E38" s="753">
        <f t="shared" si="18"/>
        <v>160.31324459435044</v>
      </c>
      <c r="F38" s="753">
        <f t="shared" si="19"/>
        <v>25.856974934572651</v>
      </c>
      <c r="G38" s="753">
        <f t="shared" si="14"/>
        <v>160.31324459435044</v>
      </c>
      <c r="H38" s="754">
        <v>3.3</v>
      </c>
      <c r="I38" s="753">
        <f>31000-M38</f>
        <v>26616.808000000001</v>
      </c>
      <c r="J38" s="753">
        <f t="shared" si="21"/>
        <v>4293.0335483870967</v>
      </c>
      <c r="K38" s="753">
        <f t="shared" si="22"/>
        <v>4293.0335483870967</v>
      </c>
      <c r="L38" s="753">
        <f t="shared" si="23"/>
        <v>26616.808000000001</v>
      </c>
      <c r="M38" s="768">
        <f t="shared" si="24"/>
        <v>4383.192</v>
      </c>
      <c r="N38" s="767">
        <f t="shared" si="25"/>
        <v>5.3437748198116806</v>
      </c>
      <c r="O38" s="753">
        <f t="shared" si="15"/>
        <v>31000</v>
      </c>
      <c r="P38" s="763">
        <f t="shared" si="16"/>
        <v>547.899</v>
      </c>
      <c r="Q38" s="753">
        <f t="shared" si="26"/>
        <v>4840.9325483870971</v>
      </c>
      <c r="R38" s="771" t="s">
        <v>125</v>
      </c>
      <c r="S38" s="782">
        <v>12</v>
      </c>
      <c r="T38" s="779">
        <v>41365</v>
      </c>
      <c r="U38" s="777">
        <v>41729</v>
      </c>
    </row>
    <row r="39" spans="1:21" s="446" customFormat="1" ht="14.25" customHeight="1">
      <c r="A39" s="751" t="s">
        <v>147</v>
      </c>
      <c r="B39" s="756">
        <v>1306</v>
      </c>
      <c r="C39" s="753">
        <v>222.2</v>
      </c>
      <c r="D39" s="753">
        <f t="shared" si="17"/>
        <v>17.518306669376617</v>
      </c>
      <c r="E39" s="753">
        <f t="shared" si="18"/>
        <v>108.61350135013502</v>
      </c>
      <c r="F39" s="753">
        <f t="shared" si="19"/>
        <v>17.518306669376617</v>
      </c>
      <c r="G39" s="753">
        <f t="shared" si="14"/>
        <v>108.61350135013502</v>
      </c>
      <c r="H39" s="754">
        <v>3.3</v>
      </c>
      <c r="I39" s="753">
        <f>30000-M39</f>
        <v>24133.920000000002</v>
      </c>
      <c r="J39" s="753">
        <f t="shared" si="21"/>
        <v>3892.5677419354843</v>
      </c>
      <c r="K39" s="753">
        <f t="shared" si="22"/>
        <v>3892.5677419354843</v>
      </c>
      <c r="L39" s="753">
        <f t="shared" si="23"/>
        <v>24133.920000000002</v>
      </c>
      <c r="M39" s="753">
        <f t="shared" si="24"/>
        <v>5866.079999999999</v>
      </c>
      <c r="N39" s="767">
        <f t="shared" si="25"/>
        <v>3.620450045004501</v>
      </c>
      <c r="O39" s="753">
        <f t="shared" si="15"/>
        <v>30000</v>
      </c>
      <c r="P39" s="753">
        <f t="shared" ref="P39:P44" si="27">C39*H39</f>
        <v>733.25999999999988</v>
      </c>
      <c r="Q39" s="753">
        <f t="shared" si="26"/>
        <v>4625.8277419354845</v>
      </c>
      <c r="R39" s="771" t="s">
        <v>125</v>
      </c>
      <c r="S39" s="782">
        <v>12</v>
      </c>
      <c r="T39" s="779">
        <v>41365</v>
      </c>
      <c r="U39" s="780">
        <v>41729</v>
      </c>
    </row>
    <row r="40" spans="1:21" s="737" customFormat="1" ht="12.75" customHeight="1">
      <c r="A40" s="751" t="s">
        <v>148</v>
      </c>
      <c r="B40" s="756">
        <v>1305</v>
      </c>
      <c r="C40" s="753">
        <v>166.03</v>
      </c>
      <c r="D40" s="753">
        <f t="shared" si="17"/>
        <v>22.94261627805313</v>
      </c>
      <c r="E40" s="753">
        <f t="shared" si="18"/>
        <v>142.24422092392942</v>
      </c>
      <c r="F40" s="753">
        <f t="shared" si="19"/>
        <v>22.94261627805313</v>
      </c>
      <c r="G40" s="753">
        <f t="shared" si="14"/>
        <v>142.24422092392942</v>
      </c>
      <c r="H40" s="754">
        <v>3.3</v>
      </c>
      <c r="I40" s="753">
        <f>28000-M40</f>
        <v>23616.808000000001</v>
      </c>
      <c r="J40" s="753">
        <f t="shared" si="21"/>
        <v>3809.1625806451611</v>
      </c>
      <c r="K40" s="753">
        <f t="shared" si="22"/>
        <v>3809.1625806451611</v>
      </c>
      <c r="L40" s="753">
        <f t="shared" si="23"/>
        <v>23616.808000000001</v>
      </c>
      <c r="M40" s="753">
        <f t="shared" si="24"/>
        <v>4383.192</v>
      </c>
      <c r="N40" s="767">
        <f t="shared" si="25"/>
        <v>4.7414740307976473</v>
      </c>
      <c r="O40" s="753">
        <f t="shared" si="15"/>
        <v>28000</v>
      </c>
      <c r="P40" s="753">
        <f t="shared" si="27"/>
        <v>547.899</v>
      </c>
      <c r="Q40" s="753">
        <f t="shared" si="26"/>
        <v>4357.0615806451615</v>
      </c>
      <c r="R40" s="771" t="s">
        <v>116</v>
      </c>
      <c r="S40" s="778" t="s">
        <v>121</v>
      </c>
      <c r="T40" s="779">
        <v>41365</v>
      </c>
      <c r="U40" s="777">
        <v>41729</v>
      </c>
    </row>
    <row r="41" spans="1:21" s="737" customFormat="1" ht="21" customHeight="1">
      <c r="A41" s="755" t="s">
        <v>149</v>
      </c>
      <c r="B41" s="752">
        <v>1203</v>
      </c>
      <c r="C41" s="753">
        <v>121.52</v>
      </c>
      <c r="D41" s="753">
        <f t="shared" si="17"/>
        <v>30.251056510012955</v>
      </c>
      <c r="E41" s="753">
        <f t="shared" si="18"/>
        <v>187.55655036208032</v>
      </c>
      <c r="F41" s="753">
        <f t="shared" si="19"/>
        <v>30.251056510012955</v>
      </c>
      <c r="G41" s="753">
        <f t="shared" si="14"/>
        <v>187.55655036208032</v>
      </c>
      <c r="H41" s="754">
        <v>3.3</v>
      </c>
      <c r="I41" s="763">
        <f t="shared" si="20"/>
        <v>22791.871999999999</v>
      </c>
      <c r="J41" s="763">
        <f t="shared" si="21"/>
        <v>3676.1083870967741</v>
      </c>
      <c r="K41" s="763">
        <f t="shared" si="22"/>
        <v>3676.1083870967741</v>
      </c>
      <c r="L41" s="763">
        <f t="shared" si="23"/>
        <v>22791.871999999999</v>
      </c>
      <c r="M41" s="753">
        <f t="shared" si="24"/>
        <v>3208.1279999999997</v>
      </c>
      <c r="N41" s="766">
        <f t="shared" si="25"/>
        <v>6.2518850120693443</v>
      </c>
      <c r="O41" s="753">
        <f>SUM(L41:M41)</f>
        <v>26000</v>
      </c>
      <c r="P41" s="763">
        <f t="shared" si="27"/>
        <v>401.01599999999996</v>
      </c>
      <c r="Q41" s="763">
        <f t="shared" si="26"/>
        <v>4077.1243870967742</v>
      </c>
      <c r="R41" s="774" t="s">
        <v>116</v>
      </c>
      <c r="S41" s="775">
        <v>12</v>
      </c>
      <c r="T41" s="776">
        <v>41363</v>
      </c>
      <c r="U41" s="777">
        <v>41727</v>
      </c>
    </row>
    <row r="42" spans="1:21" s="737" customFormat="1" ht="12.75" customHeight="1">
      <c r="A42" s="751" t="s">
        <v>150</v>
      </c>
      <c r="B42" s="756" t="s">
        <v>151</v>
      </c>
      <c r="C42" s="753">
        <v>357.71</v>
      </c>
      <c r="D42" s="753">
        <f t="shared" si="17"/>
        <v>20.99216070686202</v>
      </c>
      <c r="E42" s="753">
        <f t="shared" si="18"/>
        <v>130.15139638254453</v>
      </c>
      <c r="F42" s="753">
        <f t="shared" si="19"/>
        <v>20.99216070686202</v>
      </c>
      <c r="G42" s="753">
        <f t="shared" ref="G42:G47" si="28">E42</f>
        <v>130.15139638254453</v>
      </c>
      <c r="H42" s="754">
        <v>3.3</v>
      </c>
      <c r="I42" s="753">
        <f>56000-M42</f>
        <v>46556.456000000006</v>
      </c>
      <c r="J42" s="753">
        <f t="shared" si="21"/>
        <v>7509.1058064516137</v>
      </c>
      <c r="K42" s="753">
        <f t="shared" si="22"/>
        <v>7509.1058064516137</v>
      </c>
      <c r="L42" s="753">
        <f t="shared" si="23"/>
        <v>46556.456000000006</v>
      </c>
      <c r="M42" s="753">
        <f t="shared" si="24"/>
        <v>9443.5439999999981</v>
      </c>
      <c r="N42" s="767">
        <f t="shared" si="25"/>
        <v>4.3383798794181514</v>
      </c>
      <c r="O42" s="753">
        <f t="shared" ref="O42:O48" si="29">SUM(L42,M42)</f>
        <v>56000</v>
      </c>
      <c r="P42" s="753">
        <f t="shared" si="27"/>
        <v>1180.4429999999998</v>
      </c>
      <c r="Q42" s="753">
        <f t="shared" si="26"/>
        <v>8689.5488064516139</v>
      </c>
      <c r="R42" s="771" t="s">
        <v>116</v>
      </c>
      <c r="S42" s="754" t="s">
        <v>121</v>
      </c>
      <c r="T42" s="777">
        <v>41336</v>
      </c>
      <c r="U42" s="777">
        <v>41700</v>
      </c>
    </row>
    <row r="43" spans="1:21" s="737" customFormat="1" ht="12.75" customHeight="1">
      <c r="A43" s="751" t="s">
        <v>152</v>
      </c>
      <c r="B43" s="756">
        <v>1205</v>
      </c>
      <c r="C43" s="753">
        <v>191.65</v>
      </c>
      <c r="D43" s="753">
        <f t="shared" si="17"/>
        <v>22.672748541948948</v>
      </c>
      <c r="E43" s="753">
        <f t="shared" si="18"/>
        <v>140.57104096008348</v>
      </c>
      <c r="F43" s="753">
        <f t="shared" si="19"/>
        <v>22.672748541948948</v>
      </c>
      <c r="G43" s="753">
        <f>L43/C43</f>
        <v>140.57104096008351</v>
      </c>
      <c r="H43" s="754">
        <v>3.3</v>
      </c>
      <c r="I43" s="753">
        <f>32000-M43</f>
        <v>26940.440000000002</v>
      </c>
      <c r="J43" s="753">
        <f t="shared" si="21"/>
        <v>4345.2322580645168</v>
      </c>
      <c r="K43" s="753">
        <f t="shared" si="22"/>
        <v>4345.2322580645168</v>
      </c>
      <c r="L43" s="753">
        <f t="shared" si="23"/>
        <v>26940.440000000006</v>
      </c>
      <c r="M43" s="753">
        <f t="shared" si="24"/>
        <v>5059.5599999999995</v>
      </c>
      <c r="N43" s="767">
        <f t="shared" si="25"/>
        <v>4.6857013653361168</v>
      </c>
      <c r="O43" s="753">
        <f t="shared" si="29"/>
        <v>32000.000000000007</v>
      </c>
      <c r="P43" s="753">
        <f t="shared" si="27"/>
        <v>632.44499999999994</v>
      </c>
      <c r="Q43" s="753">
        <f t="shared" si="26"/>
        <v>4977.6772580645165</v>
      </c>
      <c r="R43" s="771" t="s">
        <v>116</v>
      </c>
      <c r="S43" s="778" t="s">
        <v>121</v>
      </c>
      <c r="T43" s="779">
        <v>41340</v>
      </c>
      <c r="U43" s="779">
        <v>41704</v>
      </c>
    </row>
    <row r="44" spans="1:21" s="737" customFormat="1" ht="18" customHeight="1">
      <c r="A44" s="758" t="s">
        <v>153</v>
      </c>
      <c r="B44" s="759">
        <v>701</v>
      </c>
      <c r="C44" s="753">
        <v>121.52</v>
      </c>
      <c r="D44" s="753">
        <f t="shared" si="17"/>
        <v>27.596508738771259</v>
      </c>
      <c r="E44" s="753">
        <f t="shared" si="18"/>
        <v>171.09835418038182</v>
      </c>
      <c r="F44" s="753">
        <f t="shared" si="19"/>
        <v>27.596508738771259</v>
      </c>
      <c r="G44" s="753">
        <f>L44/C44</f>
        <v>171.09835418038182</v>
      </c>
      <c r="H44" s="754">
        <v>3.3</v>
      </c>
      <c r="I44" s="763">
        <f>24000-M44</f>
        <v>20791.871999999999</v>
      </c>
      <c r="J44" s="763">
        <f t="shared" si="21"/>
        <v>3353.5277419354838</v>
      </c>
      <c r="K44" s="763">
        <f t="shared" si="22"/>
        <v>3353.5277419354838</v>
      </c>
      <c r="L44" s="763">
        <f t="shared" si="23"/>
        <v>20791.871999999999</v>
      </c>
      <c r="M44" s="763">
        <f t="shared" si="24"/>
        <v>3208.1279999999997</v>
      </c>
      <c r="N44" s="766">
        <f t="shared" si="25"/>
        <v>5.7032784726793944</v>
      </c>
      <c r="O44" s="763">
        <f>SUM(L44:M44)</f>
        <v>24000</v>
      </c>
      <c r="P44" s="763">
        <f t="shared" si="27"/>
        <v>401.01599999999996</v>
      </c>
      <c r="Q44" s="763">
        <f t="shared" si="26"/>
        <v>3754.5437419354839</v>
      </c>
      <c r="R44" s="774" t="s">
        <v>125</v>
      </c>
      <c r="S44" s="775">
        <v>12</v>
      </c>
      <c r="T44" s="776">
        <v>41365</v>
      </c>
      <c r="U44" s="777">
        <v>41729</v>
      </c>
    </row>
    <row r="45" spans="1:21" s="737" customFormat="1" ht="12.75" customHeight="1">
      <c r="A45" s="751" t="s">
        <v>154</v>
      </c>
      <c r="B45" s="756">
        <v>803</v>
      </c>
      <c r="C45" s="753">
        <v>84.75</v>
      </c>
      <c r="D45" s="753">
        <f t="shared" si="17"/>
        <v>32.852983157293743</v>
      </c>
      <c r="E45" s="753">
        <f t="shared" si="18"/>
        <v>203.68849557522122</v>
      </c>
      <c r="F45" s="753">
        <f t="shared" si="19"/>
        <v>32.852983157293743</v>
      </c>
      <c r="G45" s="753">
        <f>L45/C45</f>
        <v>203.68849557522122</v>
      </c>
      <c r="H45" s="754">
        <v>3.3</v>
      </c>
      <c r="I45" s="753">
        <f>19500-M45</f>
        <v>17262.599999999999</v>
      </c>
      <c r="J45" s="753">
        <f t="shared" si="21"/>
        <v>2784.2903225806449</v>
      </c>
      <c r="K45" s="753">
        <f t="shared" si="22"/>
        <v>2784.2903225806449</v>
      </c>
      <c r="L45" s="753">
        <f t="shared" si="23"/>
        <v>17262.599999999999</v>
      </c>
      <c r="M45" s="768">
        <f t="shared" si="24"/>
        <v>2237.4</v>
      </c>
      <c r="N45" s="767">
        <f t="shared" si="25"/>
        <v>6.7896165191740412</v>
      </c>
      <c r="O45" s="753">
        <f t="shared" si="29"/>
        <v>19500</v>
      </c>
      <c r="P45" s="763">
        <f>H45*C45</f>
        <v>279.67500000000001</v>
      </c>
      <c r="Q45" s="753">
        <f t="shared" si="26"/>
        <v>3063.9653225806451</v>
      </c>
      <c r="R45" s="771" t="s">
        <v>125</v>
      </c>
      <c r="S45" s="754">
        <v>12</v>
      </c>
      <c r="T45" s="779">
        <v>41358</v>
      </c>
      <c r="U45" s="777">
        <v>41722</v>
      </c>
    </row>
    <row r="46" spans="1:21" s="737" customFormat="1" ht="12.75" customHeight="1">
      <c r="A46" s="751" t="s">
        <v>155</v>
      </c>
      <c r="B46" s="756">
        <v>2202</v>
      </c>
      <c r="C46" s="753">
        <v>166.03</v>
      </c>
      <c r="D46" s="753">
        <f t="shared" si="17"/>
        <v>24.885522049066143</v>
      </c>
      <c r="E46" s="753">
        <f t="shared" si="18"/>
        <v>154.29023670421009</v>
      </c>
      <c r="F46" s="753">
        <f t="shared" si="19"/>
        <v>24.885522049066143</v>
      </c>
      <c r="G46" s="753">
        <f t="shared" si="28"/>
        <v>154.29023670421009</v>
      </c>
      <c r="H46" s="754">
        <v>3.3</v>
      </c>
      <c r="I46" s="753">
        <f>30000-M46</f>
        <v>25616.808000000001</v>
      </c>
      <c r="J46" s="753">
        <f t="shared" si="21"/>
        <v>4131.7432258064518</v>
      </c>
      <c r="K46" s="753">
        <f t="shared" si="22"/>
        <v>4131.7432258064518</v>
      </c>
      <c r="L46" s="753">
        <f t="shared" si="23"/>
        <v>25616.808000000001</v>
      </c>
      <c r="M46" s="753">
        <f t="shared" si="24"/>
        <v>4383.192</v>
      </c>
      <c r="N46" s="767">
        <f t="shared" si="25"/>
        <v>5.1430078901403364</v>
      </c>
      <c r="O46" s="753">
        <f t="shared" si="29"/>
        <v>30000</v>
      </c>
      <c r="P46" s="753">
        <f>C46*H46</f>
        <v>547.899</v>
      </c>
      <c r="Q46" s="753">
        <f t="shared" si="26"/>
        <v>4679.6422258064522</v>
      </c>
      <c r="R46" s="771" t="s">
        <v>116</v>
      </c>
      <c r="S46" s="778" t="s">
        <v>121</v>
      </c>
      <c r="T46" s="777">
        <v>41365</v>
      </c>
      <c r="U46" s="777">
        <v>41729</v>
      </c>
    </row>
    <row r="47" spans="1:21" s="737" customFormat="1" ht="12.75" customHeight="1">
      <c r="A47" s="751" t="s">
        <v>156</v>
      </c>
      <c r="B47" s="756">
        <v>2201</v>
      </c>
      <c r="C47" s="753">
        <v>233.63</v>
      </c>
      <c r="D47" s="753">
        <f t="shared" si="17"/>
        <v>19.214396074300002</v>
      </c>
      <c r="E47" s="753">
        <f t="shared" si="18"/>
        <v>119.12925566066002</v>
      </c>
      <c r="F47" s="753">
        <f t="shared" si="19"/>
        <v>19.214396074300002</v>
      </c>
      <c r="G47" s="753">
        <f t="shared" si="28"/>
        <v>119.12925566066002</v>
      </c>
      <c r="H47" s="754">
        <v>3.3</v>
      </c>
      <c r="I47" s="753">
        <f>34000-M47</f>
        <v>27832.168000000001</v>
      </c>
      <c r="J47" s="753">
        <f t="shared" si="21"/>
        <v>4489.0593548387096</v>
      </c>
      <c r="K47" s="753">
        <f t="shared" si="22"/>
        <v>4489.0593548387096</v>
      </c>
      <c r="L47" s="753">
        <f t="shared" si="23"/>
        <v>27832.168000000001</v>
      </c>
      <c r="M47" s="753">
        <f t="shared" si="24"/>
        <v>6167.8319999999994</v>
      </c>
      <c r="N47" s="767">
        <f t="shared" si="25"/>
        <v>3.9709751886886675</v>
      </c>
      <c r="O47" s="753">
        <f t="shared" si="29"/>
        <v>34000</v>
      </c>
      <c r="P47" s="753">
        <f>C47*H47</f>
        <v>770.97899999999993</v>
      </c>
      <c r="Q47" s="753">
        <f t="shared" si="26"/>
        <v>5260.0383548387099</v>
      </c>
      <c r="R47" s="771" t="s">
        <v>116</v>
      </c>
      <c r="S47" s="754" t="s">
        <v>121</v>
      </c>
      <c r="T47" s="779">
        <v>41336</v>
      </c>
      <c r="U47" s="779">
        <v>41700</v>
      </c>
    </row>
    <row r="48" spans="1:21" s="446" customFormat="1" ht="12.75" customHeight="1">
      <c r="A48" s="751" t="s">
        <v>157</v>
      </c>
      <c r="B48" s="756">
        <v>602</v>
      </c>
      <c r="C48" s="753">
        <v>83.34</v>
      </c>
      <c r="D48" s="753">
        <f t="shared" si="17"/>
        <v>30.577858287466032</v>
      </c>
      <c r="E48" s="753">
        <f t="shared" si="18"/>
        <v>189.58272138228941</v>
      </c>
      <c r="F48" s="753">
        <f t="shared" si="19"/>
        <v>30.577858287466032</v>
      </c>
      <c r="G48" s="753">
        <f>L48/C48</f>
        <v>189.58272138228941</v>
      </c>
      <c r="H48" s="754">
        <v>3.3</v>
      </c>
      <c r="I48" s="753">
        <f>18000-M48</f>
        <v>15799.824000000001</v>
      </c>
      <c r="J48" s="753">
        <f t="shared" si="21"/>
        <v>2548.3587096774195</v>
      </c>
      <c r="K48" s="753">
        <f t="shared" si="22"/>
        <v>2548.3587096774195</v>
      </c>
      <c r="L48" s="753">
        <f t="shared" si="23"/>
        <v>15799.824000000001</v>
      </c>
      <c r="M48" s="753">
        <f t="shared" si="24"/>
        <v>2200.1759999999999</v>
      </c>
      <c r="N48" s="767">
        <f t="shared" si="25"/>
        <v>6.3194240460763131</v>
      </c>
      <c r="O48" s="753">
        <f t="shared" si="29"/>
        <v>18000</v>
      </c>
      <c r="P48" s="753">
        <f>C48*H48</f>
        <v>275.02199999999999</v>
      </c>
      <c r="Q48" s="753">
        <f t="shared" si="26"/>
        <v>2823.3807096774194</v>
      </c>
      <c r="R48" s="771" t="s">
        <v>125</v>
      </c>
      <c r="S48" s="778">
        <v>12</v>
      </c>
      <c r="T48" s="779">
        <v>41361</v>
      </c>
      <c r="U48" s="783">
        <v>41725</v>
      </c>
    </row>
    <row r="49" spans="1:21" s="737" customFormat="1" ht="21" customHeight="1">
      <c r="A49" s="760" t="s">
        <v>158</v>
      </c>
      <c r="B49" s="761">
        <v>801</v>
      </c>
      <c r="C49" s="753">
        <v>121.52</v>
      </c>
      <c r="D49" s="753">
        <f t="shared" si="17"/>
        <v>24.941960967529571</v>
      </c>
      <c r="E49" s="753">
        <f t="shared" si="18"/>
        <v>154.64015799868335</v>
      </c>
      <c r="F49" s="753">
        <f t="shared" si="19"/>
        <v>24.941960967529571</v>
      </c>
      <c r="G49" s="753">
        <f>L49/C49</f>
        <v>154.64015799868335</v>
      </c>
      <c r="H49" s="754">
        <v>3.3</v>
      </c>
      <c r="I49" s="763">
        <f>22000-M49</f>
        <v>18791.871999999999</v>
      </c>
      <c r="J49" s="763">
        <f t="shared" si="21"/>
        <v>3030.9470967741931</v>
      </c>
      <c r="K49" s="763">
        <f t="shared" si="22"/>
        <v>3030.9470967741931</v>
      </c>
      <c r="L49" s="763">
        <f t="shared" si="23"/>
        <v>18791.871999999999</v>
      </c>
      <c r="M49" s="763">
        <f t="shared" si="24"/>
        <v>3208.1279999999997</v>
      </c>
      <c r="N49" s="766">
        <f t="shared" si="25"/>
        <v>5.1546719332894444</v>
      </c>
      <c r="O49" s="763">
        <f>SUM(L49:M49)</f>
        <v>22000</v>
      </c>
      <c r="P49" s="763">
        <f>C49*H49</f>
        <v>401.01599999999996</v>
      </c>
      <c r="Q49" s="763">
        <f t="shared" si="26"/>
        <v>3431.9630967741932</v>
      </c>
      <c r="R49" s="774"/>
      <c r="S49" s="775">
        <v>12</v>
      </c>
      <c r="T49" s="776">
        <v>41390</v>
      </c>
      <c r="U49" s="777">
        <v>41754</v>
      </c>
    </row>
    <row r="50" spans="1:21" s="737" customFormat="1" ht="12.75" customHeight="1">
      <c r="A50" s="751" t="s">
        <v>159</v>
      </c>
      <c r="B50" s="756">
        <v>1906</v>
      </c>
      <c r="C50" s="753">
        <v>222.2</v>
      </c>
      <c r="D50" s="753">
        <f t="shared" si="17"/>
        <v>22.5994599459946</v>
      </c>
      <c r="E50" s="753">
        <f t="shared" si="18"/>
        <v>140.11665166516653</v>
      </c>
      <c r="F50" s="753">
        <f t="shared" si="19"/>
        <v>22.5994599459946</v>
      </c>
      <c r="G50" s="753">
        <f>E50</f>
        <v>140.11665166516653</v>
      </c>
      <c r="H50" s="754">
        <v>3.3</v>
      </c>
      <c r="I50" s="753">
        <f>37000-M50</f>
        <v>31133.920000000002</v>
      </c>
      <c r="J50" s="753">
        <f t="shared" si="21"/>
        <v>5021.6000000000004</v>
      </c>
      <c r="K50" s="753">
        <f t="shared" si="22"/>
        <v>5021.6000000000004</v>
      </c>
      <c r="L50" s="753">
        <f t="shared" si="23"/>
        <v>31133.920000000002</v>
      </c>
      <c r="M50" s="753">
        <f t="shared" si="24"/>
        <v>5866.079999999999</v>
      </c>
      <c r="N50" s="767">
        <f t="shared" si="25"/>
        <v>4.6705550555055515</v>
      </c>
      <c r="O50" s="753">
        <f>SUM(L50,M50)</f>
        <v>37000</v>
      </c>
      <c r="P50" s="753">
        <f>C50*H50</f>
        <v>733.25999999999988</v>
      </c>
      <c r="Q50" s="753">
        <f t="shared" si="26"/>
        <v>5754.8600000000006</v>
      </c>
      <c r="R50" s="771" t="s">
        <v>116</v>
      </c>
      <c r="S50" s="778">
        <v>18</v>
      </c>
      <c r="T50" s="779">
        <v>41205</v>
      </c>
      <c r="U50" s="777">
        <v>41751</v>
      </c>
    </row>
    <row r="51" spans="1:21" s="737" customFormat="1" ht="12.75" customHeight="1">
      <c r="A51" s="751" t="s">
        <v>160</v>
      </c>
      <c r="B51" s="756">
        <v>1705</v>
      </c>
      <c r="C51" s="753">
        <v>166.03</v>
      </c>
      <c r="D51" s="753">
        <f t="shared" si="17"/>
        <v>21.971163392546625</v>
      </c>
      <c r="E51" s="753">
        <f t="shared" si="18"/>
        <v>136.22121303378907</v>
      </c>
      <c r="F51" s="753">
        <f t="shared" si="19"/>
        <v>21.971163392546625</v>
      </c>
      <c r="G51" s="753">
        <f t="shared" ref="G51:G96" si="30">L51/C51</f>
        <v>136.22121303378907</v>
      </c>
      <c r="H51" s="754">
        <v>3.3</v>
      </c>
      <c r="I51" s="753">
        <f>27000-M51</f>
        <v>22616.808000000001</v>
      </c>
      <c r="J51" s="753">
        <f t="shared" si="21"/>
        <v>3647.8722580645162</v>
      </c>
      <c r="K51" s="753">
        <f t="shared" si="22"/>
        <v>3647.8722580645162</v>
      </c>
      <c r="L51" s="753">
        <f t="shared" si="23"/>
        <v>22616.808000000001</v>
      </c>
      <c r="M51" s="768">
        <f t="shared" si="24"/>
        <v>4383.192</v>
      </c>
      <c r="N51" s="767">
        <f t="shared" si="25"/>
        <v>4.5407071011263023</v>
      </c>
      <c r="O51" s="753">
        <f>SUM(L51,M51)</f>
        <v>27000</v>
      </c>
      <c r="P51" s="763">
        <f>H51*C51</f>
        <v>547.899</v>
      </c>
      <c r="Q51" s="753">
        <f t="shared" si="26"/>
        <v>4195.7712580645166</v>
      </c>
      <c r="R51" s="771" t="s">
        <v>125</v>
      </c>
      <c r="S51" s="782">
        <v>12</v>
      </c>
      <c r="T51" s="779">
        <v>41377</v>
      </c>
      <c r="U51" s="777">
        <v>41741</v>
      </c>
    </row>
    <row r="52" spans="1:21" s="449" customFormat="1" ht="13.5" customHeight="1">
      <c r="A52" s="751" t="s">
        <v>161</v>
      </c>
      <c r="B52" s="756">
        <v>1505</v>
      </c>
      <c r="C52" s="753">
        <v>166.03</v>
      </c>
      <c r="D52" s="753">
        <f t="shared" si="17"/>
        <v>23.428342720806384</v>
      </c>
      <c r="E52" s="753">
        <f t="shared" si="18"/>
        <v>145.25572486899958</v>
      </c>
      <c r="F52" s="753">
        <f t="shared" si="19"/>
        <v>23.428342720806384</v>
      </c>
      <c r="G52" s="753">
        <f t="shared" si="30"/>
        <v>145.25572486899958</v>
      </c>
      <c r="H52" s="754">
        <v>3.3</v>
      </c>
      <c r="I52" s="753">
        <f>28500-M52</f>
        <v>24116.808000000001</v>
      </c>
      <c r="J52" s="753">
        <f t="shared" si="21"/>
        <v>3889.807741935484</v>
      </c>
      <c r="K52" s="753">
        <f t="shared" si="22"/>
        <v>3889.807741935484</v>
      </c>
      <c r="L52" s="753">
        <f t="shared" si="23"/>
        <v>24116.808000000001</v>
      </c>
      <c r="M52" s="753">
        <f t="shared" si="24"/>
        <v>4383.192</v>
      </c>
      <c r="N52" s="767">
        <f t="shared" si="25"/>
        <v>4.8418574956333194</v>
      </c>
      <c r="O52" s="753">
        <f>SUM(L52,M52)</f>
        <v>28500</v>
      </c>
      <c r="P52" s="753">
        <f>C52*H52</f>
        <v>547.899</v>
      </c>
      <c r="Q52" s="753">
        <f t="shared" si="26"/>
        <v>4437.7067419354844</v>
      </c>
      <c r="R52" s="771" t="s">
        <v>116</v>
      </c>
      <c r="S52" s="778" t="s">
        <v>121</v>
      </c>
      <c r="T52" s="779">
        <v>41387</v>
      </c>
      <c r="U52" s="777">
        <v>41751</v>
      </c>
    </row>
    <row r="53" spans="1:21" s="737" customFormat="1" ht="12.75" customHeight="1">
      <c r="A53" s="751" t="s">
        <v>162</v>
      </c>
      <c r="B53" s="762">
        <v>1006</v>
      </c>
      <c r="C53" s="753">
        <v>84.75</v>
      </c>
      <c r="D53" s="753">
        <f t="shared" si="17"/>
        <v>33.804548482253303</v>
      </c>
      <c r="E53" s="753">
        <f t="shared" si="18"/>
        <v>209.58820058997048</v>
      </c>
      <c r="F53" s="753">
        <f t="shared" si="19"/>
        <v>33.804548482253303</v>
      </c>
      <c r="G53" s="753">
        <f t="shared" si="30"/>
        <v>209.58820058997048</v>
      </c>
      <c r="H53" s="754">
        <v>3.3</v>
      </c>
      <c r="I53" s="763">
        <f>20000-M53</f>
        <v>17762.599999999999</v>
      </c>
      <c r="J53" s="763">
        <f t="shared" si="21"/>
        <v>2864.9354838709673</v>
      </c>
      <c r="K53" s="753">
        <f t="shared" si="22"/>
        <v>2864.9354838709673</v>
      </c>
      <c r="L53" s="763">
        <f t="shared" si="23"/>
        <v>17762.599999999999</v>
      </c>
      <c r="M53" s="770">
        <f t="shared" si="24"/>
        <v>2237.4</v>
      </c>
      <c r="N53" s="767">
        <f t="shared" si="25"/>
        <v>6.9862733529990155</v>
      </c>
      <c r="O53" s="771">
        <f>SUM(L53,M53)</f>
        <v>20000</v>
      </c>
      <c r="P53" s="632">
        <f>C53*H53</f>
        <v>279.67500000000001</v>
      </c>
      <c r="Q53" s="771">
        <f t="shared" si="26"/>
        <v>3144.6104838709675</v>
      </c>
      <c r="R53" s="774" t="s">
        <v>116</v>
      </c>
      <c r="S53" s="784" t="s">
        <v>121</v>
      </c>
      <c r="T53" s="779">
        <v>41374</v>
      </c>
      <c r="U53" s="777">
        <v>41738</v>
      </c>
    </row>
    <row r="54" spans="1:21" s="737" customFormat="1" ht="20.25" customHeight="1">
      <c r="A54" s="751" t="s">
        <v>163</v>
      </c>
      <c r="B54" s="752">
        <v>703</v>
      </c>
      <c r="C54" s="753">
        <v>121.52</v>
      </c>
      <c r="D54" s="753">
        <f t="shared" si="17"/>
        <v>28.923782624392107</v>
      </c>
      <c r="E54" s="753">
        <f t="shared" si="18"/>
        <v>179.32745227123107</v>
      </c>
      <c r="F54" s="753">
        <f t="shared" si="19"/>
        <v>28.923782624392107</v>
      </c>
      <c r="G54" s="753">
        <f t="shared" si="30"/>
        <v>179.32745227123107</v>
      </c>
      <c r="H54" s="754">
        <v>3.3</v>
      </c>
      <c r="I54" s="763">
        <f>25000-M54</f>
        <v>21791.871999999999</v>
      </c>
      <c r="J54" s="763">
        <f t="shared" si="21"/>
        <v>3514.8180645161287</v>
      </c>
      <c r="K54" s="763">
        <f t="shared" si="22"/>
        <v>3514.8180645161287</v>
      </c>
      <c r="L54" s="763">
        <f t="shared" si="23"/>
        <v>21791.871999999999</v>
      </c>
      <c r="M54" s="763">
        <f t="shared" si="24"/>
        <v>3208.1279999999997</v>
      </c>
      <c r="N54" s="766">
        <f t="shared" si="25"/>
        <v>5.9775817423743689</v>
      </c>
      <c r="O54" s="763">
        <f>SUM(L54:M54)</f>
        <v>25000</v>
      </c>
      <c r="P54" s="763">
        <f>C54*H54</f>
        <v>401.01599999999996</v>
      </c>
      <c r="Q54" s="763">
        <f t="shared" si="26"/>
        <v>3915.8340645161288</v>
      </c>
      <c r="R54" s="774" t="s">
        <v>116</v>
      </c>
      <c r="S54" s="775">
        <v>12</v>
      </c>
      <c r="T54" s="776">
        <v>41379</v>
      </c>
      <c r="U54" s="777">
        <v>41743</v>
      </c>
    </row>
    <row r="55" spans="1:21" s="737" customFormat="1" ht="12.75" customHeight="1">
      <c r="A55" s="751" t="s">
        <v>164</v>
      </c>
      <c r="B55" s="756">
        <v>607</v>
      </c>
      <c r="C55" s="753">
        <v>83.34</v>
      </c>
      <c r="D55" s="753">
        <f t="shared" si="17"/>
        <v>30.577858287466032</v>
      </c>
      <c r="E55" s="753">
        <f t="shared" si="18"/>
        <v>189.58272138228941</v>
      </c>
      <c r="F55" s="753">
        <f t="shared" si="19"/>
        <v>30.577858287466032</v>
      </c>
      <c r="G55" s="753">
        <f t="shared" si="30"/>
        <v>189.58272138228941</v>
      </c>
      <c r="H55" s="754">
        <v>3.3</v>
      </c>
      <c r="I55" s="753">
        <f>18000-M55</f>
        <v>15799.824000000001</v>
      </c>
      <c r="J55" s="753">
        <f t="shared" si="21"/>
        <v>2548.3587096774195</v>
      </c>
      <c r="K55" s="753">
        <f t="shared" si="22"/>
        <v>2548.3587096774195</v>
      </c>
      <c r="L55" s="753">
        <f t="shared" si="23"/>
        <v>15799.824000000001</v>
      </c>
      <c r="M55" s="753">
        <f t="shared" si="24"/>
        <v>2200.1759999999999</v>
      </c>
      <c r="N55" s="767">
        <f t="shared" si="25"/>
        <v>6.3194240460763131</v>
      </c>
      <c r="O55" s="753">
        <f>SUM(L55,M55)</f>
        <v>18000</v>
      </c>
      <c r="P55" s="753">
        <f>C55*H55</f>
        <v>275.02199999999999</v>
      </c>
      <c r="Q55" s="753">
        <f t="shared" si="26"/>
        <v>2823.3807096774194</v>
      </c>
      <c r="R55" s="771" t="s">
        <v>116</v>
      </c>
      <c r="S55" s="778" t="s">
        <v>121</v>
      </c>
      <c r="T55" s="779">
        <v>41389</v>
      </c>
      <c r="U55" s="785">
        <v>41753</v>
      </c>
    </row>
    <row r="56" spans="1:21" s="737" customFormat="1" ht="12.75" customHeight="1">
      <c r="A56" s="751" t="s">
        <v>165</v>
      </c>
      <c r="B56" s="756">
        <v>903</v>
      </c>
      <c r="C56" s="753">
        <v>84.75</v>
      </c>
      <c r="D56" s="753">
        <f t="shared" si="17"/>
        <v>31.901417832334186</v>
      </c>
      <c r="E56" s="753">
        <f t="shared" si="18"/>
        <v>197.78879056047197</v>
      </c>
      <c r="F56" s="753">
        <f t="shared" si="19"/>
        <v>31.901417832334186</v>
      </c>
      <c r="G56" s="753">
        <f t="shared" si="30"/>
        <v>197.78879056047197</v>
      </c>
      <c r="H56" s="754">
        <v>3.3</v>
      </c>
      <c r="I56" s="753">
        <f>19000-M56</f>
        <v>16762.599999999999</v>
      </c>
      <c r="J56" s="753">
        <f t="shared" si="21"/>
        <v>2703.6451612903224</v>
      </c>
      <c r="K56" s="753">
        <f t="shared" si="22"/>
        <v>2703.6451612903224</v>
      </c>
      <c r="L56" s="753">
        <f t="shared" si="23"/>
        <v>16762.599999999999</v>
      </c>
      <c r="M56" s="768">
        <f t="shared" si="24"/>
        <v>2237.4</v>
      </c>
      <c r="N56" s="767">
        <f t="shared" si="25"/>
        <v>6.592959685349066</v>
      </c>
      <c r="O56" s="753">
        <f>SUM(L56,M56)</f>
        <v>19000</v>
      </c>
      <c r="P56" s="763">
        <f>H56*C56</f>
        <v>279.67500000000001</v>
      </c>
      <c r="Q56" s="753">
        <f t="shared" si="26"/>
        <v>2983.3201612903226</v>
      </c>
      <c r="R56" s="771" t="s">
        <v>125</v>
      </c>
      <c r="S56" s="782">
        <v>12</v>
      </c>
      <c r="T56" s="779">
        <v>41373</v>
      </c>
      <c r="U56" s="777">
        <v>41737</v>
      </c>
    </row>
    <row r="57" spans="1:21" s="446" customFormat="1" ht="13.5" customHeight="1">
      <c r="A57" s="751" t="s">
        <v>166</v>
      </c>
      <c r="B57" s="756">
        <v>902</v>
      </c>
      <c r="C57" s="753">
        <v>78.03</v>
      </c>
      <c r="D57" s="753">
        <f t="shared" si="17"/>
        <v>37.082528225289693</v>
      </c>
      <c r="E57" s="753">
        <f t="shared" si="18"/>
        <v>229.91167499679611</v>
      </c>
      <c r="F57" s="753">
        <f t="shared" si="19"/>
        <v>37.082528225289693</v>
      </c>
      <c r="G57" s="753">
        <f t="shared" si="30"/>
        <v>229.91167499679611</v>
      </c>
      <c r="H57" s="754">
        <v>3.3</v>
      </c>
      <c r="I57" s="753">
        <f>20000-M57</f>
        <v>17940.008000000002</v>
      </c>
      <c r="J57" s="753">
        <f t="shared" si="21"/>
        <v>2893.5496774193548</v>
      </c>
      <c r="K57" s="753">
        <f t="shared" si="22"/>
        <v>2893.5496774193548</v>
      </c>
      <c r="L57" s="753">
        <f t="shared" si="23"/>
        <v>17940.008000000002</v>
      </c>
      <c r="M57" s="753">
        <f t="shared" si="24"/>
        <v>2059.9919999999997</v>
      </c>
      <c r="N57" s="767">
        <f t="shared" si="25"/>
        <v>7.6637224998932032</v>
      </c>
      <c r="O57" s="753">
        <f>SUM(L57,M57)</f>
        <v>20000</v>
      </c>
      <c r="P57" s="753">
        <f>C57*H57</f>
        <v>257.49899999999997</v>
      </c>
      <c r="Q57" s="753">
        <f t="shared" si="26"/>
        <v>3151.0486774193546</v>
      </c>
      <c r="R57" s="771" t="s">
        <v>125</v>
      </c>
      <c r="S57" s="778" t="s">
        <v>121</v>
      </c>
      <c r="T57" s="779">
        <v>41373</v>
      </c>
      <c r="U57" s="780">
        <v>41737</v>
      </c>
    </row>
    <row r="58" spans="1:21" s="446" customFormat="1" ht="13.5" customHeight="1">
      <c r="A58" s="751" t="s">
        <v>115</v>
      </c>
      <c r="B58" s="752">
        <v>1005</v>
      </c>
      <c r="C58" s="606">
        <v>191.65</v>
      </c>
      <c r="D58" s="753">
        <f t="shared" si="17"/>
        <v>22.672748541948948</v>
      </c>
      <c r="E58" s="753">
        <f t="shared" si="18"/>
        <v>140.57104096008348</v>
      </c>
      <c r="F58" s="606">
        <f t="shared" si="19"/>
        <v>22.672748541948948</v>
      </c>
      <c r="G58" s="753">
        <f t="shared" si="30"/>
        <v>140.57104096008351</v>
      </c>
      <c r="H58" s="605">
        <v>3.3</v>
      </c>
      <c r="I58" s="753">
        <f>32000-M58</f>
        <v>26940.440000000002</v>
      </c>
      <c r="J58" s="763">
        <f t="shared" si="21"/>
        <v>4345.2322580645168</v>
      </c>
      <c r="K58" s="753">
        <f t="shared" si="22"/>
        <v>4345.2322580645168</v>
      </c>
      <c r="L58" s="763">
        <f t="shared" si="23"/>
        <v>26940.440000000006</v>
      </c>
      <c r="M58" s="631">
        <f t="shared" si="24"/>
        <v>5059.5599999999995</v>
      </c>
      <c r="N58" s="767">
        <f t="shared" si="25"/>
        <v>4.6857013653361168</v>
      </c>
      <c r="O58" s="771">
        <f>SUM(L58,M58)</f>
        <v>32000.000000000007</v>
      </c>
      <c r="P58" s="771">
        <f>C58*H58</f>
        <v>632.44499999999994</v>
      </c>
      <c r="Q58" s="771">
        <f t="shared" si="26"/>
        <v>4977.6772580645165</v>
      </c>
      <c r="R58" s="774" t="s">
        <v>116</v>
      </c>
      <c r="S58" s="633" t="s">
        <v>121</v>
      </c>
      <c r="T58" s="779">
        <v>41366</v>
      </c>
      <c r="U58" s="780">
        <v>41730</v>
      </c>
    </row>
    <row r="59" spans="1:21" s="737" customFormat="1" ht="12.75" customHeight="1">
      <c r="A59" s="751" t="s">
        <v>167</v>
      </c>
      <c r="B59" s="762">
        <v>1207</v>
      </c>
      <c r="C59" s="763">
        <v>75.180000000000007</v>
      </c>
      <c r="D59" s="753">
        <f t="shared" si="17"/>
        <v>40.795098215894754</v>
      </c>
      <c r="E59" s="753">
        <f t="shared" si="18"/>
        <v>252.92960893854746</v>
      </c>
      <c r="F59" s="753">
        <f t="shared" si="19"/>
        <v>40.795098215894754</v>
      </c>
      <c r="G59" s="753">
        <f t="shared" si="30"/>
        <v>252.92960893854746</v>
      </c>
      <c r="H59" s="754">
        <v>3.3</v>
      </c>
      <c r="I59" s="753">
        <f>21000-M59</f>
        <v>19015.248</v>
      </c>
      <c r="J59" s="753">
        <f t="shared" si="21"/>
        <v>3066.9754838709678</v>
      </c>
      <c r="K59" s="753">
        <f t="shared" si="22"/>
        <v>3066.9754838709678</v>
      </c>
      <c r="L59" s="753">
        <f t="shared" si="23"/>
        <v>19015.248</v>
      </c>
      <c r="M59" s="753">
        <f t="shared" si="24"/>
        <v>1984.7520000000002</v>
      </c>
      <c r="N59" s="767">
        <f t="shared" si="25"/>
        <v>8.4309869646182491</v>
      </c>
      <c r="O59" s="753">
        <f>SUM(L59,M59)</f>
        <v>21000</v>
      </c>
      <c r="P59" s="753">
        <f>C59*H59</f>
        <v>248.09400000000002</v>
      </c>
      <c r="Q59" s="753">
        <f t="shared" si="26"/>
        <v>3315.0694838709678</v>
      </c>
      <c r="R59" s="771" t="s">
        <v>116</v>
      </c>
      <c r="S59" s="778" t="s">
        <v>121</v>
      </c>
      <c r="T59" s="776">
        <v>41389</v>
      </c>
      <c r="U59" s="777">
        <v>41753</v>
      </c>
    </row>
    <row r="60" spans="1:21" s="737" customFormat="1" ht="21" customHeight="1">
      <c r="A60" s="755" t="s">
        <v>168</v>
      </c>
      <c r="B60" s="752">
        <v>902</v>
      </c>
      <c r="C60" s="753">
        <v>121.52</v>
      </c>
      <c r="D60" s="753">
        <f t="shared" si="17"/>
        <v>26.269234853150419</v>
      </c>
      <c r="E60" s="753">
        <f t="shared" si="18"/>
        <v>162.8692560895326</v>
      </c>
      <c r="F60" s="753">
        <f t="shared" si="19"/>
        <v>26.269234853150419</v>
      </c>
      <c r="G60" s="753">
        <f t="shared" si="30"/>
        <v>162.8692560895326</v>
      </c>
      <c r="H60" s="754">
        <v>3.3</v>
      </c>
      <c r="I60" s="763">
        <f>23000-M60</f>
        <v>19791.871999999999</v>
      </c>
      <c r="J60" s="763">
        <f t="shared" si="21"/>
        <v>3192.2374193548385</v>
      </c>
      <c r="K60" s="763">
        <f t="shared" si="22"/>
        <v>3192.2374193548385</v>
      </c>
      <c r="L60" s="763">
        <f t="shared" si="23"/>
        <v>19791.871999999999</v>
      </c>
      <c r="M60" s="753">
        <f t="shared" si="24"/>
        <v>3208.1279999999997</v>
      </c>
      <c r="N60" s="766">
        <f t="shared" si="25"/>
        <v>5.4289752029844198</v>
      </c>
      <c r="O60" s="753">
        <f>SUM(L60:M60)</f>
        <v>23000</v>
      </c>
      <c r="P60" s="763">
        <f>C60*H60</f>
        <v>401.01599999999996</v>
      </c>
      <c r="Q60" s="763">
        <f t="shared" si="26"/>
        <v>3593.2534193548386</v>
      </c>
      <c r="R60" s="774" t="s">
        <v>125</v>
      </c>
      <c r="S60" s="775">
        <v>12</v>
      </c>
      <c r="T60" s="776">
        <v>41386</v>
      </c>
      <c r="U60" s="777">
        <v>41750</v>
      </c>
    </row>
    <row r="61" spans="1:21" s="737" customFormat="1" ht="18" customHeight="1">
      <c r="A61" s="751" t="s">
        <v>169</v>
      </c>
      <c r="B61" s="756">
        <v>1105</v>
      </c>
      <c r="C61" s="753">
        <v>191.65</v>
      </c>
      <c r="D61" s="753">
        <f t="shared" si="17"/>
        <v>20.989572725819073</v>
      </c>
      <c r="E61" s="753">
        <f t="shared" si="18"/>
        <v>130.13535090007827</v>
      </c>
      <c r="F61" s="753">
        <f t="shared" si="19"/>
        <v>20.989572725819073</v>
      </c>
      <c r="G61" s="753">
        <f t="shared" si="30"/>
        <v>130.13535090007827</v>
      </c>
      <c r="H61" s="754">
        <v>3.3</v>
      </c>
      <c r="I61" s="753">
        <f>30000-M61</f>
        <v>24940.440000000002</v>
      </c>
      <c r="J61" s="753">
        <f t="shared" si="21"/>
        <v>4022.6516129032261</v>
      </c>
      <c r="K61" s="753">
        <f t="shared" si="22"/>
        <v>4022.6516129032261</v>
      </c>
      <c r="L61" s="753">
        <f t="shared" si="23"/>
        <v>24940.440000000002</v>
      </c>
      <c r="M61" s="753">
        <f t="shared" si="24"/>
        <v>5059.5599999999995</v>
      </c>
      <c r="N61" s="767">
        <f t="shared" si="25"/>
        <v>4.337845030002609</v>
      </c>
      <c r="O61" s="753">
        <f>SUM(L61,M61)</f>
        <v>30000</v>
      </c>
      <c r="P61" s="753">
        <f>C61*H61</f>
        <v>632.44499999999994</v>
      </c>
      <c r="Q61" s="753">
        <f t="shared" si="26"/>
        <v>4655.0966129032258</v>
      </c>
      <c r="R61" s="771" t="s">
        <v>116</v>
      </c>
      <c r="S61" s="778" t="s">
        <v>121</v>
      </c>
      <c r="T61" s="779">
        <v>41383</v>
      </c>
      <c r="U61" s="779">
        <v>41747</v>
      </c>
    </row>
    <row r="62" spans="1:21" s="737" customFormat="1" ht="12.75" customHeight="1">
      <c r="A62" s="751" t="s">
        <v>170</v>
      </c>
      <c r="B62" s="756">
        <v>1703</v>
      </c>
      <c r="C62" s="753">
        <v>191.68</v>
      </c>
      <c r="D62" s="753">
        <f t="shared" si="17"/>
        <v>22.668533577467823</v>
      </c>
      <c r="E62" s="753">
        <f t="shared" si="18"/>
        <v>140.5449081803005</v>
      </c>
      <c r="F62" s="753">
        <f t="shared" si="19"/>
        <v>22.668533577467823</v>
      </c>
      <c r="G62" s="753">
        <f t="shared" si="30"/>
        <v>140.5449081803005</v>
      </c>
      <c r="H62" s="754">
        <v>3.3</v>
      </c>
      <c r="I62" s="753">
        <f>32000-M62</f>
        <v>26939.648000000001</v>
      </c>
      <c r="J62" s="753">
        <f t="shared" si="21"/>
        <v>4345.1045161290322</v>
      </c>
      <c r="K62" s="753">
        <f t="shared" si="22"/>
        <v>4345.1045161290322</v>
      </c>
      <c r="L62" s="753">
        <f t="shared" si="23"/>
        <v>26939.648000000001</v>
      </c>
      <c r="M62" s="768">
        <f t="shared" si="24"/>
        <v>5060.3519999999999</v>
      </c>
      <c r="N62" s="767">
        <f t="shared" si="25"/>
        <v>4.6848302726766837</v>
      </c>
      <c r="O62" s="753">
        <f>SUM(L62,M62)</f>
        <v>32000</v>
      </c>
      <c r="P62" s="763">
        <f>H62*C62</f>
        <v>632.54399999999998</v>
      </c>
      <c r="Q62" s="753">
        <f t="shared" si="26"/>
        <v>4977.648516129032</v>
      </c>
      <c r="R62" s="771" t="s">
        <v>125</v>
      </c>
      <c r="S62" s="782">
        <v>12</v>
      </c>
      <c r="T62" s="779">
        <v>41379</v>
      </c>
      <c r="U62" s="777">
        <v>41743</v>
      </c>
    </row>
    <row r="63" spans="1:21" s="737" customFormat="1">
      <c r="A63" s="751" t="s">
        <v>164</v>
      </c>
      <c r="B63" s="762">
        <v>2303</v>
      </c>
      <c r="C63" s="753">
        <v>191.68</v>
      </c>
      <c r="D63" s="753">
        <f t="shared" si="17"/>
        <v>24.351445958317623</v>
      </c>
      <c r="E63" s="753">
        <f t="shared" si="18"/>
        <v>150.97896494156927</v>
      </c>
      <c r="F63" s="753">
        <f t="shared" si="19"/>
        <v>24.351445958317623</v>
      </c>
      <c r="G63" s="753">
        <f t="shared" si="30"/>
        <v>150.97896494156927</v>
      </c>
      <c r="H63" s="754">
        <v>3.3</v>
      </c>
      <c r="I63" s="753">
        <f>34000-M63</f>
        <v>28939.648000000001</v>
      </c>
      <c r="J63" s="753">
        <f t="shared" si="21"/>
        <v>4667.6851612903229</v>
      </c>
      <c r="K63" s="753">
        <f t="shared" si="22"/>
        <v>4667.6851612903229</v>
      </c>
      <c r="L63" s="753">
        <f t="shared" si="23"/>
        <v>28939.648000000001</v>
      </c>
      <c r="M63" s="753">
        <f t="shared" si="24"/>
        <v>5060.3519999999999</v>
      </c>
      <c r="N63" s="767">
        <f t="shared" si="25"/>
        <v>5.0326321647189758</v>
      </c>
      <c r="O63" s="753">
        <f>SUM(L63,M63)</f>
        <v>34000</v>
      </c>
      <c r="P63" s="753">
        <f t="shared" ref="P63:P96" si="31">C63*H63</f>
        <v>632.54399999999998</v>
      </c>
      <c r="Q63" s="753">
        <f t="shared" si="26"/>
        <v>5300.2291612903227</v>
      </c>
      <c r="R63" s="771" t="s">
        <v>116</v>
      </c>
      <c r="S63" s="778" t="s">
        <v>121</v>
      </c>
      <c r="T63" s="779">
        <v>41440</v>
      </c>
      <c r="U63" s="777">
        <v>41804</v>
      </c>
    </row>
    <row r="64" spans="1:21" s="737" customFormat="1" ht="12.75" customHeight="1">
      <c r="A64" s="751" t="s">
        <v>171</v>
      </c>
      <c r="B64" s="756">
        <v>2105</v>
      </c>
      <c r="C64" s="753">
        <v>166.03</v>
      </c>
      <c r="D64" s="753">
        <f t="shared" si="17"/>
        <v>25.856974934572651</v>
      </c>
      <c r="E64" s="753">
        <f t="shared" si="18"/>
        <v>160.31324459435044</v>
      </c>
      <c r="F64" s="753">
        <f t="shared" si="19"/>
        <v>25.856974934572651</v>
      </c>
      <c r="G64" s="753">
        <f t="shared" si="30"/>
        <v>160.31324459435044</v>
      </c>
      <c r="H64" s="754">
        <v>3.3</v>
      </c>
      <c r="I64" s="753">
        <f>31000-M64</f>
        <v>26616.808000000001</v>
      </c>
      <c r="J64" s="753">
        <f t="shared" si="21"/>
        <v>4293.0335483870967</v>
      </c>
      <c r="K64" s="753">
        <f t="shared" si="22"/>
        <v>4293.0335483870967</v>
      </c>
      <c r="L64" s="753">
        <f t="shared" si="23"/>
        <v>26616.808000000001</v>
      </c>
      <c r="M64" s="753">
        <f t="shared" si="24"/>
        <v>4383.192</v>
      </c>
      <c r="N64" s="767">
        <f t="shared" si="25"/>
        <v>5.3437748198116806</v>
      </c>
      <c r="O64" s="753">
        <f>SUM(L64:M64)</f>
        <v>31000</v>
      </c>
      <c r="P64" s="753">
        <f t="shared" si="31"/>
        <v>547.899</v>
      </c>
      <c r="Q64" s="753">
        <f t="shared" si="26"/>
        <v>4840.9325483870971</v>
      </c>
      <c r="R64" s="771" t="s">
        <v>116</v>
      </c>
      <c r="S64" s="778" t="s">
        <v>121</v>
      </c>
      <c r="T64" s="779">
        <v>41414</v>
      </c>
      <c r="U64" s="777">
        <v>41778</v>
      </c>
    </row>
    <row r="65" spans="1:21" s="446" customFormat="1" ht="14.25" customHeight="1">
      <c r="A65" s="751" t="s">
        <v>172</v>
      </c>
      <c r="B65" s="756">
        <v>1206</v>
      </c>
      <c r="C65" s="753">
        <v>84.75</v>
      </c>
      <c r="D65" s="753">
        <f t="shared" si="17"/>
        <v>35.707679132172416</v>
      </c>
      <c r="E65" s="753">
        <f t="shared" si="18"/>
        <v>221.387610619469</v>
      </c>
      <c r="F65" s="753">
        <f t="shared" si="19"/>
        <v>35.707679132172416</v>
      </c>
      <c r="G65" s="753">
        <f t="shared" si="30"/>
        <v>221.387610619469</v>
      </c>
      <c r="H65" s="754">
        <v>3.3</v>
      </c>
      <c r="I65" s="753">
        <f>21000-M65</f>
        <v>18762.599999999999</v>
      </c>
      <c r="J65" s="753">
        <f t="shared" si="21"/>
        <v>3026.2258064516127</v>
      </c>
      <c r="K65" s="753">
        <f t="shared" si="22"/>
        <v>3026.2258064516127</v>
      </c>
      <c r="L65" s="753">
        <f t="shared" si="23"/>
        <v>18762.599999999999</v>
      </c>
      <c r="M65" s="753">
        <f t="shared" si="24"/>
        <v>2237.4</v>
      </c>
      <c r="N65" s="767">
        <f t="shared" si="25"/>
        <v>7.3795870206489669</v>
      </c>
      <c r="O65" s="753">
        <f t="shared" ref="O65:O74" si="32">SUM(L65,M65)</f>
        <v>21000</v>
      </c>
      <c r="P65" s="753">
        <f t="shared" si="31"/>
        <v>279.67500000000001</v>
      </c>
      <c r="Q65" s="753">
        <f t="shared" si="26"/>
        <v>3305.9008064516129</v>
      </c>
      <c r="R65" s="771" t="s">
        <v>125</v>
      </c>
      <c r="S65" s="782">
        <v>12</v>
      </c>
      <c r="T65" s="779">
        <v>41412</v>
      </c>
      <c r="U65" s="780">
        <v>41776</v>
      </c>
    </row>
    <row r="66" spans="1:21" s="446" customFormat="1" ht="14.25" customHeight="1">
      <c r="A66" s="751" t="s">
        <v>173</v>
      </c>
      <c r="B66" s="756">
        <v>702</v>
      </c>
      <c r="C66" s="753">
        <v>83.34</v>
      </c>
      <c r="D66" s="753">
        <f t="shared" si="17"/>
        <v>32.513187332110206</v>
      </c>
      <c r="E66" s="753">
        <f t="shared" si="18"/>
        <v>201.58176145908328</v>
      </c>
      <c r="F66" s="753">
        <f t="shared" si="19"/>
        <v>32.513187332110206</v>
      </c>
      <c r="G66" s="753">
        <f t="shared" si="30"/>
        <v>201.58176145908328</v>
      </c>
      <c r="H66" s="754">
        <v>3.3</v>
      </c>
      <c r="I66" s="753">
        <f>19000-M66</f>
        <v>16799.824000000001</v>
      </c>
      <c r="J66" s="753">
        <f t="shared" si="21"/>
        <v>2709.6490322580644</v>
      </c>
      <c r="K66" s="753">
        <f t="shared" si="22"/>
        <v>2709.6490322580644</v>
      </c>
      <c r="L66" s="753">
        <f t="shared" si="23"/>
        <v>16799.824000000001</v>
      </c>
      <c r="M66" s="753">
        <f t="shared" si="24"/>
        <v>2200.1759999999999</v>
      </c>
      <c r="N66" s="767">
        <f t="shared" si="25"/>
        <v>6.7193920486361094</v>
      </c>
      <c r="O66" s="753">
        <f t="shared" si="32"/>
        <v>19000</v>
      </c>
      <c r="P66" s="753">
        <f t="shared" si="31"/>
        <v>275.02199999999999</v>
      </c>
      <c r="Q66" s="753">
        <f t="shared" si="26"/>
        <v>2984.6710322580643</v>
      </c>
      <c r="R66" s="771" t="s">
        <v>125</v>
      </c>
      <c r="S66" s="782">
        <v>12</v>
      </c>
      <c r="T66" s="779">
        <v>41402</v>
      </c>
      <c r="U66" s="780">
        <v>41766</v>
      </c>
    </row>
    <row r="67" spans="1:21" s="446" customFormat="1" ht="14.25" customHeight="1">
      <c r="A67" s="751" t="s">
        <v>137</v>
      </c>
      <c r="B67" s="756">
        <v>705</v>
      </c>
      <c r="C67" s="753">
        <v>189.08</v>
      </c>
      <c r="D67" s="753">
        <f t="shared" si="17"/>
        <v>23.038795662528916</v>
      </c>
      <c r="E67" s="753">
        <f t="shared" si="18"/>
        <v>142.84053310767928</v>
      </c>
      <c r="F67" s="753">
        <f t="shared" si="19"/>
        <v>23.038795662528916</v>
      </c>
      <c r="G67" s="753">
        <f t="shared" si="30"/>
        <v>142.84053310767928</v>
      </c>
      <c r="H67" s="754">
        <v>3.3</v>
      </c>
      <c r="I67" s="753">
        <f>32000-M67</f>
        <v>27008.288</v>
      </c>
      <c r="J67" s="753">
        <f t="shared" si="21"/>
        <v>4356.1754838709676</v>
      </c>
      <c r="K67" s="753">
        <f t="shared" si="22"/>
        <v>4356.1754838709676</v>
      </c>
      <c r="L67" s="753">
        <f t="shared" si="23"/>
        <v>27008.288</v>
      </c>
      <c r="M67" s="753">
        <f t="shared" si="24"/>
        <v>4991.7120000000004</v>
      </c>
      <c r="N67" s="767">
        <f t="shared" si="25"/>
        <v>4.761351103589309</v>
      </c>
      <c r="O67" s="753">
        <f t="shared" si="32"/>
        <v>32000</v>
      </c>
      <c r="P67" s="753">
        <f t="shared" si="31"/>
        <v>623.96400000000006</v>
      </c>
      <c r="Q67" s="753">
        <f t="shared" si="26"/>
        <v>4980.1394838709675</v>
      </c>
      <c r="R67" s="771" t="s">
        <v>125</v>
      </c>
      <c r="S67" s="782">
        <v>12</v>
      </c>
      <c r="T67" s="779">
        <v>41405</v>
      </c>
      <c r="U67" s="780">
        <v>41769</v>
      </c>
    </row>
    <row r="68" spans="1:21" s="446" customFormat="1" ht="13.5" customHeight="1">
      <c r="A68" s="755" t="s">
        <v>143</v>
      </c>
      <c r="B68" s="756">
        <v>1304</v>
      </c>
      <c r="C68" s="753">
        <v>191.68</v>
      </c>
      <c r="D68" s="753">
        <f t="shared" ref="D68:D96" si="33">E68/6.2</f>
        <v>17.619796434918413</v>
      </c>
      <c r="E68" s="753">
        <f t="shared" ref="E68:E96" si="34">I68/C68</f>
        <v>109.24273789649416</v>
      </c>
      <c r="F68" s="753">
        <f t="shared" ref="F68:F89" si="35">D68</f>
        <v>17.619796434918413</v>
      </c>
      <c r="G68" s="753">
        <f t="shared" si="30"/>
        <v>109.24273789649416</v>
      </c>
      <c r="H68" s="754">
        <v>3.3</v>
      </c>
      <c r="I68" s="753">
        <f>26000-M68</f>
        <v>20939.648000000001</v>
      </c>
      <c r="J68" s="753">
        <f t="shared" ref="J68:J96" si="36">I68/6.2</f>
        <v>3377.3625806451614</v>
      </c>
      <c r="K68" s="753">
        <f t="shared" ref="K68:K96" si="37">J68</f>
        <v>3377.3625806451614</v>
      </c>
      <c r="L68" s="753">
        <f t="shared" ref="L68:L96" si="38">K68*6.2</f>
        <v>20939.648000000001</v>
      </c>
      <c r="M68" s="753">
        <f t="shared" ref="M68:M96" si="39">P68*8</f>
        <v>5060.3519999999999</v>
      </c>
      <c r="N68" s="767">
        <f t="shared" ref="N68:N100" si="40">L68/30/C68</f>
        <v>3.6414245965498053</v>
      </c>
      <c r="O68" s="753">
        <f t="shared" si="32"/>
        <v>26000</v>
      </c>
      <c r="P68" s="753">
        <f t="shared" si="31"/>
        <v>632.54399999999998</v>
      </c>
      <c r="Q68" s="753">
        <f t="shared" ref="Q68:Q90" si="41">J68+P68</f>
        <v>4009.9065806451613</v>
      </c>
      <c r="R68" s="771" t="s">
        <v>116</v>
      </c>
      <c r="S68" s="778" t="s">
        <v>144</v>
      </c>
      <c r="T68" s="779">
        <v>41045</v>
      </c>
      <c r="U68" s="780">
        <v>41774</v>
      </c>
    </row>
    <row r="69" spans="1:21" s="446" customFormat="1" ht="13.5" customHeight="1">
      <c r="A69" s="755" t="s">
        <v>143</v>
      </c>
      <c r="B69" s="756">
        <v>1303</v>
      </c>
      <c r="C69" s="753">
        <v>191.68</v>
      </c>
      <c r="D69" s="753">
        <f t="shared" si="33"/>
        <v>17.619796434918413</v>
      </c>
      <c r="E69" s="753">
        <f t="shared" si="34"/>
        <v>109.24273789649416</v>
      </c>
      <c r="F69" s="753">
        <f t="shared" si="35"/>
        <v>17.619796434918413</v>
      </c>
      <c r="G69" s="753">
        <f t="shared" si="30"/>
        <v>109.24273789649416</v>
      </c>
      <c r="H69" s="754">
        <v>3.3</v>
      </c>
      <c r="I69" s="753">
        <f>26000-M69</f>
        <v>20939.648000000001</v>
      </c>
      <c r="J69" s="753">
        <f t="shared" si="36"/>
        <v>3377.3625806451614</v>
      </c>
      <c r="K69" s="753">
        <f t="shared" si="37"/>
        <v>3377.3625806451614</v>
      </c>
      <c r="L69" s="753">
        <f t="shared" si="38"/>
        <v>20939.648000000001</v>
      </c>
      <c r="M69" s="753">
        <f t="shared" si="39"/>
        <v>5060.3519999999999</v>
      </c>
      <c r="N69" s="767">
        <f t="shared" si="40"/>
        <v>3.6414245965498053</v>
      </c>
      <c r="O69" s="753">
        <f t="shared" si="32"/>
        <v>26000</v>
      </c>
      <c r="P69" s="753">
        <f t="shared" si="31"/>
        <v>632.54399999999998</v>
      </c>
      <c r="Q69" s="753">
        <f t="shared" si="41"/>
        <v>4009.9065806451613</v>
      </c>
      <c r="R69" s="771" t="s">
        <v>116</v>
      </c>
      <c r="S69" s="778" t="s">
        <v>144</v>
      </c>
      <c r="T69" s="779">
        <v>41045</v>
      </c>
      <c r="U69" s="780">
        <v>41774</v>
      </c>
    </row>
    <row r="70" spans="1:21" s="446" customFormat="1" ht="13.5" customHeight="1">
      <c r="A70" s="755" t="s">
        <v>143</v>
      </c>
      <c r="B70" s="756">
        <v>1503</v>
      </c>
      <c r="C70" s="753">
        <v>191.68</v>
      </c>
      <c r="D70" s="753">
        <f t="shared" si="33"/>
        <v>17.619796434918413</v>
      </c>
      <c r="E70" s="753">
        <f t="shared" si="34"/>
        <v>109.24273789649416</v>
      </c>
      <c r="F70" s="753">
        <f t="shared" si="35"/>
        <v>17.619796434918413</v>
      </c>
      <c r="G70" s="753">
        <f t="shared" si="30"/>
        <v>109.24273789649416</v>
      </c>
      <c r="H70" s="754">
        <v>3.3</v>
      </c>
      <c r="I70" s="753">
        <f>26000-M70</f>
        <v>20939.648000000001</v>
      </c>
      <c r="J70" s="753">
        <f t="shared" si="36"/>
        <v>3377.3625806451614</v>
      </c>
      <c r="K70" s="753">
        <f t="shared" si="37"/>
        <v>3377.3625806451614</v>
      </c>
      <c r="L70" s="753">
        <f t="shared" si="38"/>
        <v>20939.648000000001</v>
      </c>
      <c r="M70" s="753">
        <f t="shared" si="39"/>
        <v>5060.3519999999999</v>
      </c>
      <c r="N70" s="767">
        <f t="shared" si="40"/>
        <v>3.6414245965498053</v>
      </c>
      <c r="O70" s="753">
        <f t="shared" si="32"/>
        <v>26000</v>
      </c>
      <c r="P70" s="753">
        <f t="shared" si="31"/>
        <v>632.54399999999998</v>
      </c>
      <c r="Q70" s="753">
        <f t="shared" si="41"/>
        <v>4009.9065806451613</v>
      </c>
      <c r="R70" s="771" t="s">
        <v>116</v>
      </c>
      <c r="S70" s="778" t="s">
        <v>144</v>
      </c>
      <c r="T70" s="779">
        <v>41045</v>
      </c>
      <c r="U70" s="780">
        <v>41774</v>
      </c>
    </row>
    <row r="71" spans="1:21" s="446" customFormat="1" ht="14.25" customHeight="1">
      <c r="A71" s="751" t="s">
        <v>174</v>
      </c>
      <c r="B71" s="756">
        <v>2006</v>
      </c>
      <c r="C71" s="753">
        <v>222.2</v>
      </c>
      <c r="D71" s="753">
        <f t="shared" si="33"/>
        <v>23.325338985511454</v>
      </c>
      <c r="E71" s="753">
        <f t="shared" si="34"/>
        <v>144.61710171017103</v>
      </c>
      <c r="F71" s="753">
        <f t="shared" si="35"/>
        <v>23.325338985511454</v>
      </c>
      <c r="G71" s="753">
        <f t="shared" si="30"/>
        <v>144.61710171017103</v>
      </c>
      <c r="H71" s="754">
        <v>3.3</v>
      </c>
      <c r="I71" s="753">
        <f>38000-M71</f>
        <v>32133.920000000002</v>
      </c>
      <c r="J71" s="753">
        <f t="shared" si="36"/>
        <v>5182.8903225806453</v>
      </c>
      <c r="K71" s="753">
        <f t="shared" si="37"/>
        <v>5182.8903225806453</v>
      </c>
      <c r="L71" s="753">
        <f t="shared" si="38"/>
        <v>32133.920000000002</v>
      </c>
      <c r="M71" s="753">
        <f t="shared" si="39"/>
        <v>5866.079999999999</v>
      </c>
      <c r="N71" s="767">
        <f t="shared" si="40"/>
        <v>4.8205700570057006</v>
      </c>
      <c r="O71" s="753">
        <f t="shared" si="32"/>
        <v>38000</v>
      </c>
      <c r="P71" s="753">
        <f t="shared" si="31"/>
        <v>733.25999999999988</v>
      </c>
      <c r="Q71" s="753">
        <f t="shared" si="41"/>
        <v>5916.1503225806455</v>
      </c>
      <c r="R71" s="771" t="s">
        <v>125</v>
      </c>
      <c r="S71" s="782">
        <v>12</v>
      </c>
      <c r="T71" s="779">
        <v>41411</v>
      </c>
      <c r="U71" s="780">
        <v>41775</v>
      </c>
    </row>
    <row r="72" spans="1:21" s="737" customFormat="1" ht="12.75" customHeight="1">
      <c r="A72" s="751" t="s">
        <v>175</v>
      </c>
      <c r="B72" s="756">
        <v>2103</v>
      </c>
      <c r="C72" s="753">
        <v>191.68</v>
      </c>
      <c r="D72" s="753">
        <f t="shared" si="33"/>
        <v>23.930717863105176</v>
      </c>
      <c r="E72" s="753">
        <f t="shared" si="34"/>
        <v>148.37045075125209</v>
      </c>
      <c r="F72" s="753">
        <f t="shared" si="35"/>
        <v>23.930717863105176</v>
      </c>
      <c r="G72" s="753">
        <f t="shared" si="30"/>
        <v>148.37045075125209</v>
      </c>
      <c r="H72" s="754">
        <v>3.3</v>
      </c>
      <c r="I72" s="753">
        <f>33500-M72</f>
        <v>28439.648000000001</v>
      </c>
      <c r="J72" s="753">
        <f t="shared" si="36"/>
        <v>4587.04</v>
      </c>
      <c r="K72" s="753">
        <f t="shared" si="37"/>
        <v>4587.04</v>
      </c>
      <c r="L72" s="753">
        <f t="shared" si="38"/>
        <v>28439.648000000001</v>
      </c>
      <c r="M72" s="753">
        <f t="shared" si="39"/>
        <v>5060.3519999999999</v>
      </c>
      <c r="N72" s="767">
        <f t="shared" si="40"/>
        <v>4.945681691708403</v>
      </c>
      <c r="O72" s="753">
        <f t="shared" si="32"/>
        <v>33500</v>
      </c>
      <c r="P72" s="753">
        <f t="shared" si="31"/>
        <v>632.54399999999998</v>
      </c>
      <c r="Q72" s="753">
        <f t="shared" si="41"/>
        <v>5219.5839999999998</v>
      </c>
      <c r="R72" s="771" t="s">
        <v>116</v>
      </c>
      <c r="S72" s="778" t="s">
        <v>121</v>
      </c>
      <c r="T72" s="779">
        <v>41416</v>
      </c>
      <c r="U72" s="777">
        <v>41780</v>
      </c>
    </row>
    <row r="73" spans="1:21" s="446" customFormat="1" ht="13.5" customHeight="1">
      <c r="A73" s="751" t="s">
        <v>128</v>
      </c>
      <c r="B73" s="756">
        <v>601</v>
      </c>
      <c r="C73" s="753">
        <v>112.36</v>
      </c>
      <c r="D73" s="753">
        <f t="shared" si="33"/>
        <v>24.451498064975482</v>
      </c>
      <c r="E73" s="753">
        <f t="shared" si="34"/>
        <v>151.599288002848</v>
      </c>
      <c r="F73" s="753">
        <f t="shared" si="35"/>
        <v>24.451498064975482</v>
      </c>
      <c r="G73" s="753">
        <f t="shared" si="30"/>
        <v>151.599288002848</v>
      </c>
      <c r="H73" s="754">
        <v>3.3</v>
      </c>
      <c r="I73" s="753">
        <f>20000-M73</f>
        <v>17033.696</v>
      </c>
      <c r="J73" s="753">
        <f t="shared" si="36"/>
        <v>2747.3703225806453</v>
      </c>
      <c r="K73" s="753">
        <f t="shared" si="37"/>
        <v>2747.3703225806453</v>
      </c>
      <c r="L73" s="753">
        <f t="shared" si="38"/>
        <v>17033.696</v>
      </c>
      <c r="M73" s="753">
        <f t="shared" si="39"/>
        <v>2966.3039999999996</v>
      </c>
      <c r="N73" s="767">
        <f t="shared" si="40"/>
        <v>5.0533096000949325</v>
      </c>
      <c r="O73" s="753">
        <f t="shared" si="32"/>
        <v>20000</v>
      </c>
      <c r="P73" s="753">
        <f t="shared" si="31"/>
        <v>370.78799999999995</v>
      </c>
      <c r="Q73" s="753">
        <f t="shared" si="41"/>
        <v>3118.1583225806453</v>
      </c>
      <c r="R73" s="771" t="s">
        <v>116</v>
      </c>
      <c r="S73" s="778">
        <v>12</v>
      </c>
      <c r="T73" s="779">
        <v>41424</v>
      </c>
      <c r="U73" s="780">
        <v>41788</v>
      </c>
    </row>
    <row r="74" spans="1:21" s="446" customFormat="1" ht="14.25" customHeight="1">
      <c r="A74" s="751" t="s">
        <v>176</v>
      </c>
      <c r="B74" s="756">
        <v>1903</v>
      </c>
      <c r="C74" s="753">
        <v>191.68</v>
      </c>
      <c r="D74" s="753">
        <f t="shared" si="33"/>
        <v>23.509989767892723</v>
      </c>
      <c r="E74" s="753">
        <f t="shared" si="34"/>
        <v>145.76193656093488</v>
      </c>
      <c r="F74" s="753">
        <f t="shared" si="35"/>
        <v>23.509989767892723</v>
      </c>
      <c r="G74" s="753">
        <f t="shared" si="30"/>
        <v>145.76193656093488</v>
      </c>
      <c r="H74" s="754">
        <v>3.3</v>
      </c>
      <c r="I74" s="753">
        <f>33000-M74</f>
        <v>27939.648000000001</v>
      </c>
      <c r="J74" s="753">
        <f t="shared" si="36"/>
        <v>4506.3948387096771</v>
      </c>
      <c r="K74" s="753">
        <f t="shared" si="37"/>
        <v>4506.3948387096771</v>
      </c>
      <c r="L74" s="753">
        <f t="shared" si="38"/>
        <v>27939.647999999997</v>
      </c>
      <c r="M74" s="753">
        <f t="shared" si="39"/>
        <v>5060.3519999999999</v>
      </c>
      <c r="N74" s="767">
        <f t="shared" si="40"/>
        <v>4.8587312186978293</v>
      </c>
      <c r="O74" s="753">
        <f t="shared" si="32"/>
        <v>33000</v>
      </c>
      <c r="P74" s="753">
        <f t="shared" si="31"/>
        <v>632.54399999999998</v>
      </c>
      <c r="Q74" s="753">
        <f t="shared" si="41"/>
        <v>5138.9388387096769</v>
      </c>
      <c r="R74" s="771" t="s">
        <v>125</v>
      </c>
      <c r="S74" s="782">
        <v>12</v>
      </c>
      <c r="T74" s="779">
        <v>41399</v>
      </c>
      <c r="U74" s="780">
        <v>41763</v>
      </c>
    </row>
    <row r="75" spans="1:21" s="737" customFormat="1" ht="21.75" customHeight="1">
      <c r="A75" s="755" t="s">
        <v>177</v>
      </c>
      <c r="B75" s="752">
        <v>806</v>
      </c>
      <c r="C75" s="753">
        <v>182.53</v>
      </c>
      <c r="D75" s="753">
        <f t="shared" si="33"/>
        <v>21.36741817076468</v>
      </c>
      <c r="E75" s="753">
        <f t="shared" si="34"/>
        <v>132.47799265874102</v>
      </c>
      <c r="F75" s="753">
        <f t="shared" si="35"/>
        <v>21.36741817076468</v>
      </c>
      <c r="G75" s="753">
        <f t="shared" si="30"/>
        <v>132.47799265874102</v>
      </c>
      <c r="H75" s="754">
        <v>3.3</v>
      </c>
      <c r="I75" s="763">
        <f>29000-M75</f>
        <v>24181.207999999999</v>
      </c>
      <c r="J75" s="763">
        <f t="shared" si="36"/>
        <v>3900.1948387096772</v>
      </c>
      <c r="K75" s="763">
        <f t="shared" si="37"/>
        <v>3900.1948387096772</v>
      </c>
      <c r="L75" s="763">
        <f t="shared" si="38"/>
        <v>24181.207999999999</v>
      </c>
      <c r="M75" s="763">
        <f t="shared" si="39"/>
        <v>4818.7919999999995</v>
      </c>
      <c r="N75" s="766">
        <f t="shared" si="40"/>
        <v>4.4159330886247004</v>
      </c>
      <c r="O75" s="763">
        <f>SUM(L75:M75)</f>
        <v>29000</v>
      </c>
      <c r="P75" s="763">
        <f t="shared" si="31"/>
        <v>602.34899999999993</v>
      </c>
      <c r="Q75" s="763">
        <f t="shared" si="41"/>
        <v>4502.5438387096774</v>
      </c>
      <c r="R75" s="774" t="s">
        <v>116</v>
      </c>
      <c r="S75" s="775">
        <v>12</v>
      </c>
      <c r="T75" s="776">
        <v>41405</v>
      </c>
      <c r="U75" s="777">
        <v>41769</v>
      </c>
    </row>
    <row r="76" spans="1:21" s="737" customFormat="1" ht="21" customHeight="1">
      <c r="A76" s="758" t="s">
        <v>178</v>
      </c>
      <c r="B76" s="759">
        <v>707</v>
      </c>
      <c r="C76" s="753">
        <v>121.52</v>
      </c>
      <c r="D76" s="753">
        <f t="shared" si="33"/>
        <v>25.605597910339991</v>
      </c>
      <c r="E76" s="753">
        <f t="shared" si="34"/>
        <v>158.75470704410796</v>
      </c>
      <c r="F76" s="753">
        <f t="shared" si="35"/>
        <v>25.605597910339991</v>
      </c>
      <c r="G76" s="753">
        <f t="shared" si="30"/>
        <v>158.75470704410796</v>
      </c>
      <c r="H76" s="754">
        <v>3.3</v>
      </c>
      <c r="I76" s="763">
        <f>22500-M76</f>
        <v>19291.871999999999</v>
      </c>
      <c r="J76" s="763">
        <f t="shared" si="36"/>
        <v>3111.592258064516</v>
      </c>
      <c r="K76" s="763">
        <f t="shared" si="37"/>
        <v>3111.592258064516</v>
      </c>
      <c r="L76" s="763">
        <f t="shared" si="38"/>
        <v>19291.871999999999</v>
      </c>
      <c r="M76" s="763">
        <f t="shared" si="39"/>
        <v>3208.1279999999997</v>
      </c>
      <c r="N76" s="766">
        <f t="shared" si="40"/>
        <v>5.291823568136933</v>
      </c>
      <c r="O76" s="763">
        <f>SUM(L76:M76)</f>
        <v>22500</v>
      </c>
      <c r="P76" s="763">
        <f t="shared" si="31"/>
        <v>401.01599999999996</v>
      </c>
      <c r="Q76" s="763">
        <f t="shared" si="41"/>
        <v>3512.6082580645161</v>
      </c>
      <c r="R76" s="774" t="s">
        <v>116</v>
      </c>
      <c r="S76" s="775">
        <v>12</v>
      </c>
      <c r="T76" s="776">
        <v>41401</v>
      </c>
      <c r="U76" s="777">
        <v>41765</v>
      </c>
    </row>
    <row r="77" spans="1:21" s="446" customFormat="1" ht="12" customHeight="1">
      <c r="A77" s="751" t="s">
        <v>179</v>
      </c>
      <c r="B77" s="756">
        <v>1202</v>
      </c>
      <c r="C77" s="753">
        <v>78.03</v>
      </c>
      <c r="D77" s="753">
        <f t="shared" si="33"/>
        <v>38.736151934946449</v>
      </c>
      <c r="E77" s="753">
        <f t="shared" si="34"/>
        <v>240.16414199666798</v>
      </c>
      <c r="F77" s="753">
        <f t="shared" si="35"/>
        <v>38.736151934946449</v>
      </c>
      <c r="G77" s="753">
        <f t="shared" si="30"/>
        <v>240.16414199666798</v>
      </c>
      <c r="H77" s="754">
        <v>3.3</v>
      </c>
      <c r="I77" s="753">
        <f>20800-M77</f>
        <v>18740.008000000002</v>
      </c>
      <c r="J77" s="753">
        <f t="shared" si="36"/>
        <v>3022.5819354838713</v>
      </c>
      <c r="K77" s="753">
        <f t="shared" si="37"/>
        <v>3022.5819354838713</v>
      </c>
      <c r="L77" s="753">
        <f t="shared" si="38"/>
        <v>18740.008000000002</v>
      </c>
      <c r="M77" s="753">
        <f t="shared" si="39"/>
        <v>2059.9919999999997</v>
      </c>
      <c r="N77" s="767">
        <f t="shared" si="40"/>
        <v>8.0054713998889326</v>
      </c>
      <c r="O77" s="753">
        <f>SUM(L77,M77)</f>
        <v>20800</v>
      </c>
      <c r="P77" s="753">
        <f t="shared" si="31"/>
        <v>257.49899999999997</v>
      </c>
      <c r="Q77" s="753">
        <f t="shared" si="41"/>
        <v>3280.0809354838711</v>
      </c>
      <c r="R77" s="774" t="s">
        <v>116</v>
      </c>
      <c r="S77" s="778" t="s">
        <v>121</v>
      </c>
      <c r="T77" s="779">
        <v>41410</v>
      </c>
      <c r="U77" s="780">
        <v>41774</v>
      </c>
    </row>
    <row r="78" spans="1:21" s="738" customFormat="1" ht="13.5" customHeight="1">
      <c r="A78" s="786" t="s">
        <v>180</v>
      </c>
      <c r="B78" s="787">
        <v>1702</v>
      </c>
      <c r="C78" s="788">
        <v>166.03</v>
      </c>
      <c r="D78" s="788">
        <f t="shared" si="33"/>
        <v>24.399795606312892</v>
      </c>
      <c r="E78" s="788">
        <f t="shared" si="34"/>
        <v>151.27873275913993</v>
      </c>
      <c r="F78" s="788">
        <f t="shared" si="35"/>
        <v>24.399795606312892</v>
      </c>
      <c r="G78" s="788">
        <f t="shared" si="30"/>
        <v>151.27873275913993</v>
      </c>
      <c r="H78" s="789">
        <v>3.3</v>
      </c>
      <c r="I78" s="788">
        <f>29500-M78</f>
        <v>25116.808000000001</v>
      </c>
      <c r="J78" s="788">
        <f t="shared" si="36"/>
        <v>4051.0980645161289</v>
      </c>
      <c r="K78" s="788">
        <f t="shared" si="37"/>
        <v>4051.0980645161289</v>
      </c>
      <c r="L78" s="788">
        <f t="shared" si="38"/>
        <v>25116.808000000001</v>
      </c>
      <c r="M78" s="788">
        <f t="shared" si="39"/>
        <v>4383.192</v>
      </c>
      <c r="N78" s="767">
        <f t="shared" si="40"/>
        <v>5.0426244253046644</v>
      </c>
      <c r="O78" s="788">
        <f>SUM(L78,M78)</f>
        <v>29500</v>
      </c>
      <c r="P78" s="788">
        <f t="shared" si="31"/>
        <v>547.899</v>
      </c>
      <c r="Q78" s="788">
        <f t="shared" si="41"/>
        <v>4598.9970645161293</v>
      </c>
      <c r="R78" s="769" t="s">
        <v>116</v>
      </c>
      <c r="S78" s="808" t="s">
        <v>121</v>
      </c>
      <c r="T78" s="809">
        <v>41456</v>
      </c>
      <c r="U78" s="810">
        <v>41820</v>
      </c>
    </row>
    <row r="79" spans="1:21" s="739" customFormat="1" ht="14.25" customHeight="1">
      <c r="A79" s="790" t="s">
        <v>181</v>
      </c>
      <c r="B79" s="791">
        <v>1602</v>
      </c>
      <c r="C79" s="792">
        <v>166.03</v>
      </c>
      <c r="D79" s="792">
        <f t="shared" si="33"/>
        <v>22.94261627805313</v>
      </c>
      <c r="E79" s="792">
        <f t="shared" si="34"/>
        <v>142.24422092392942</v>
      </c>
      <c r="F79" s="792">
        <f t="shared" si="35"/>
        <v>22.94261627805313</v>
      </c>
      <c r="G79" s="792">
        <f t="shared" si="30"/>
        <v>142.24422092392942</v>
      </c>
      <c r="H79" s="793">
        <v>3.3</v>
      </c>
      <c r="I79" s="792">
        <f>28000-M79</f>
        <v>23616.808000000001</v>
      </c>
      <c r="J79" s="792">
        <f t="shared" si="36"/>
        <v>3809.1625806451611</v>
      </c>
      <c r="K79" s="792">
        <f t="shared" si="37"/>
        <v>3809.1625806451611</v>
      </c>
      <c r="L79" s="792">
        <f t="shared" si="38"/>
        <v>23616.808000000001</v>
      </c>
      <c r="M79" s="792">
        <f t="shared" si="39"/>
        <v>4383.192</v>
      </c>
      <c r="N79" s="767">
        <f t="shared" si="40"/>
        <v>4.7414740307976473</v>
      </c>
      <c r="O79" s="792">
        <f>SUM(L79,M79)</f>
        <v>28000</v>
      </c>
      <c r="P79" s="792">
        <f t="shared" si="31"/>
        <v>547.899</v>
      </c>
      <c r="Q79" s="792">
        <f t="shared" si="41"/>
        <v>4357.0615806451615</v>
      </c>
      <c r="R79" s="811" t="s">
        <v>125</v>
      </c>
      <c r="S79" s="812">
        <v>12</v>
      </c>
      <c r="T79" s="813">
        <v>41445</v>
      </c>
      <c r="U79" s="814">
        <v>41809</v>
      </c>
    </row>
    <row r="80" spans="1:21" s="740" customFormat="1" ht="16.5" customHeight="1">
      <c r="A80" s="841" t="s">
        <v>182</v>
      </c>
      <c r="B80" s="794">
        <v>707</v>
      </c>
      <c r="C80" s="788">
        <v>83.34</v>
      </c>
      <c r="D80" s="788">
        <f t="shared" si="33"/>
        <v>32.513187332110206</v>
      </c>
      <c r="E80" s="788">
        <f t="shared" si="34"/>
        <v>201.58176145908328</v>
      </c>
      <c r="F80" s="788">
        <f t="shared" si="35"/>
        <v>32.513187332110206</v>
      </c>
      <c r="G80" s="788">
        <f t="shared" si="30"/>
        <v>201.58176145908328</v>
      </c>
      <c r="H80" s="789">
        <v>3.3</v>
      </c>
      <c r="I80" s="788">
        <f>19000-M80</f>
        <v>16799.824000000001</v>
      </c>
      <c r="J80" s="788">
        <f t="shared" si="36"/>
        <v>2709.6490322580644</v>
      </c>
      <c r="K80" s="788">
        <f t="shared" si="37"/>
        <v>2709.6490322580644</v>
      </c>
      <c r="L80" s="788">
        <f t="shared" si="38"/>
        <v>16799.824000000001</v>
      </c>
      <c r="M80" s="788">
        <f t="shared" si="39"/>
        <v>2200.1759999999999</v>
      </c>
      <c r="N80" s="767">
        <f t="shared" si="40"/>
        <v>6.7193920486361094</v>
      </c>
      <c r="O80" s="788">
        <f>SUM(L80,M80)</f>
        <v>19000</v>
      </c>
      <c r="P80" s="788">
        <f t="shared" si="31"/>
        <v>275.02199999999999</v>
      </c>
      <c r="Q80" s="788">
        <f t="shared" si="41"/>
        <v>2984.6710322580643</v>
      </c>
      <c r="R80" s="769" t="s">
        <v>116</v>
      </c>
      <c r="S80" s="808">
        <v>12</v>
      </c>
      <c r="T80" s="815">
        <v>41452</v>
      </c>
      <c r="U80" s="816">
        <v>41816</v>
      </c>
    </row>
    <row r="81" spans="1:253" s="741" customFormat="1" ht="21.75" customHeight="1">
      <c r="A81" s="790" t="s">
        <v>183</v>
      </c>
      <c r="B81" s="795">
        <v>1004</v>
      </c>
      <c r="C81" s="792">
        <v>191.65</v>
      </c>
      <c r="D81" s="792">
        <f t="shared" si="33"/>
        <v>19.306396909689205</v>
      </c>
      <c r="E81" s="792">
        <f t="shared" si="34"/>
        <v>119.69966084007307</v>
      </c>
      <c r="F81" s="792">
        <f t="shared" si="35"/>
        <v>19.306396909689205</v>
      </c>
      <c r="G81" s="792">
        <f t="shared" si="30"/>
        <v>119.69966084007307</v>
      </c>
      <c r="H81" s="793">
        <v>3.3</v>
      </c>
      <c r="I81" s="806">
        <f>28000-M81</f>
        <v>22940.440000000002</v>
      </c>
      <c r="J81" s="806">
        <f t="shared" si="36"/>
        <v>3700.0709677419359</v>
      </c>
      <c r="K81" s="806">
        <f t="shared" si="37"/>
        <v>3700.0709677419359</v>
      </c>
      <c r="L81" s="806">
        <f t="shared" si="38"/>
        <v>22940.440000000002</v>
      </c>
      <c r="M81" s="806">
        <f t="shared" si="39"/>
        <v>5059.5599999999995</v>
      </c>
      <c r="N81" s="767">
        <f t="shared" si="40"/>
        <v>3.9899886946691021</v>
      </c>
      <c r="O81" s="806">
        <f>SUM(L81:M81)</f>
        <v>28000</v>
      </c>
      <c r="P81" s="806">
        <f t="shared" si="31"/>
        <v>632.44499999999994</v>
      </c>
      <c r="Q81" s="792">
        <f t="shared" si="41"/>
        <v>4332.515967741936</v>
      </c>
      <c r="R81" s="817" t="s">
        <v>125</v>
      </c>
      <c r="S81" s="818">
        <v>12</v>
      </c>
      <c r="T81" s="819">
        <v>41453</v>
      </c>
      <c r="U81" s="820">
        <v>41817</v>
      </c>
    </row>
    <row r="82" spans="1:253" s="737" customFormat="1" ht="21" customHeight="1">
      <c r="A82" s="839" t="s">
        <v>184</v>
      </c>
      <c r="B82" s="752">
        <v>1108</v>
      </c>
      <c r="C82" s="753">
        <v>182.53</v>
      </c>
      <c r="D82" s="753">
        <f t="shared" si="33"/>
        <v>24.990331240291034</v>
      </c>
      <c r="E82" s="753">
        <f t="shared" si="34"/>
        <v>154.94005368980442</v>
      </c>
      <c r="F82" s="753">
        <f t="shared" si="35"/>
        <v>24.990331240291034</v>
      </c>
      <c r="G82" s="753">
        <f t="shared" si="30"/>
        <v>154.94005368980442</v>
      </c>
      <c r="H82" s="754">
        <v>3.3</v>
      </c>
      <c r="I82" s="763">
        <f>33100-M82</f>
        <v>28281.207999999999</v>
      </c>
      <c r="J82" s="763">
        <f t="shared" si="36"/>
        <v>4561.4851612903221</v>
      </c>
      <c r="K82" s="763">
        <f t="shared" si="37"/>
        <v>4561.4851612903221</v>
      </c>
      <c r="L82" s="763">
        <f t="shared" si="38"/>
        <v>28281.207999999999</v>
      </c>
      <c r="M82" s="753">
        <f t="shared" si="39"/>
        <v>4818.7919999999995</v>
      </c>
      <c r="N82" s="766">
        <f t="shared" si="40"/>
        <v>5.1646684563268135</v>
      </c>
      <c r="O82" s="753">
        <f>SUM(L82:M82)</f>
        <v>33100</v>
      </c>
      <c r="P82" s="763">
        <f t="shared" si="31"/>
        <v>602.34899999999993</v>
      </c>
      <c r="Q82" s="763">
        <f t="shared" si="41"/>
        <v>5163.8341612903223</v>
      </c>
      <c r="R82" s="774" t="s">
        <v>116</v>
      </c>
      <c r="S82" s="775">
        <v>12</v>
      </c>
      <c r="T82" s="776">
        <v>41440</v>
      </c>
      <c r="U82" s="777">
        <v>41804</v>
      </c>
    </row>
    <row r="83" spans="1:253" s="737" customFormat="1" ht="21.75" customHeight="1">
      <c r="A83" s="755" t="s">
        <v>185</v>
      </c>
      <c r="B83" s="752">
        <v>901</v>
      </c>
      <c r="C83" s="753">
        <v>121.52</v>
      </c>
      <c r="D83" s="753">
        <f t="shared" si="33"/>
        <v>28.923782624392107</v>
      </c>
      <c r="E83" s="753">
        <f t="shared" si="34"/>
        <v>179.32745227123107</v>
      </c>
      <c r="F83" s="753">
        <f t="shared" si="35"/>
        <v>28.923782624392107</v>
      </c>
      <c r="G83" s="753">
        <f t="shared" si="30"/>
        <v>179.32745227123107</v>
      </c>
      <c r="H83" s="754">
        <v>3.3</v>
      </c>
      <c r="I83" s="763">
        <f>25000-M83</f>
        <v>21791.871999999999</v>
      </c>
      <c r="J83" s="763">
        <f t="shared" si="36"/>
        <v>3514.8180645161287</v>
      </c>
      <c r="K83" s="763">
        <f t="shared" si="37"/>
        <v>3514.8180645161287</v>
      </c>
      <c r="L83" s="763">
        <f t="shared" si="38"/>
        <v>21791.871999999999</v>
      </c>
      <c r="M83" s="763">
        <f t="shared" si="39"/>
        <v>3208.1279999999997</v>
      </c>
      <c r="N83" s="766">
        <f t="shared" si="40"/>
        <v>5.9775817423743689</v>
      </c>
      <c r="O83" s="763">
        <f>SUM(L83:M83)</f>
        <v>25000</v>
      </c>
      <c r="P83" s="763">
        <f t="shared" si="31"/>
        <v>401.01599999999996</v>
      </c>
      <c r="Q83" s="763">
        <f t="shared" si="41"/>
        <v>3915.8340645161288</v>
      </c>
      <c r="R83" s="774" t="s">
        <v>125</v>
      </c>
      <c r="S83" s="775">
        <v>12</v>
      </c>
      <c r="T83" s="776">
        <v>41440</v>
      </c>
      <c r="U83" s="777">
        <v>41804</v>
      </c>
    </row>
    <row r="84" spans="1:253" s="739" customFormat="1" ht="14.25" customHeight="1">
      <c r="A84" s="790" t="s">
        <v>186</v>
      </c>
      <c r="B84" s="791">
        <v>1402</v>
      </c>
      <c r="C84" s="792">
        <v>166.03</v>
      </c>
      <c r="D84" s="792">
        <f t="shared" si="33"/>
        <v>24.399795606312892</v>
      </c>
      <c r="E84" s="792">
        <f t="shared" si="34"/>
        <v>151.27873275913993</v>
      </c>
      <c r="F84" s="792">
        <f t="shared" si="35"/>
        <v>24.399795606312892</v>
      </c>
      <c r="G84" s="792">
        <f t="shared" si="30"/>
        <v>151.27873275913993</v>
      </c>
      <c r="H84" s="793">
        <v>3.3</v>
      </c>
      <c r="I84" s="792">
        <f>29500-M84</f>
        <v>25116.808000000001</v>
      </c>
      <c r="J84" s="792">
        <f t="shared" si="36"/>
        <v>4051.0980645161289</v>
      </c>
      <c r="K84" s="792">
        <f t="shared" si="37"/>
        <v>4051.0980645161289</v>
      </c>
      <c r="L84" s="792">
        <f t="shared" si="38"/>
        <v>25116.808000000001</v>
      </c>
      <c r="M84" s="792">
        <f t="shared" si="39"/>
        <v>4383.192</v>
      </c>
      <c r="N84" s="767">
        <f t="shared" si="40"/>
        <v>5.0426244253046644</v>
      </c>
      <c r="O84" s="792">
        <f t="shared" ref="O84:O89" si="42">SUM(L84,M84)</f>
        <v>29500</v>
      </c>
      <c r="P84" s="792">
        <f t="shared" si="31"/>
        <v>547.899</v>
      </c>
      <c r="Q84" s="792">
        <f t="shared" si="41"/>
        <v>4598.9970645161293</v>
      </c>
      <c r="R84" s="811" t="s">
        <v>125</v>
      </c>
      <c r="S84" s="812">
        <v>12</v>
      </c>
      <c r="T84" s="813">
        <v>41433</v>
      </c>
      <c r="U84" s="814">
        <v>41797</v>
      </c>
    </row>
    <row r="85" spans="1:253" s="740" customFormat="1" ht="16.5" customHeight="1">
      <c r="A85" s="841" t="s">
        <v>178</v>
      </c>
      <c r="B85" s="794">
        <v>1301</v>
      </c>
      <c r="C85" s="788">
        <v>233.63</v>
      </c>
      <c r="D85" s="788">
        <f t="shared" si="33"/>
        <v>23.356595002022772</v>
      </c>
      <c r="E85" s="788">
        <f t="shared" si="34"/>
        <v>144.8108890125412</v>
      </c>
      <c r="F85" s="788">
        <f t="shared" si="35"/>
        <v>23.356595002022772</v>
      </c>
      <c r="G85" s="788">
        <f t="shared" si="30"/>
        <v>144.8108890125412</v>
      </c>
      <c r="H85" s="789">
        <v>3.3</v>
      </c>
      <c r="I85" s="788">
        <f>40000-M85</f>
        <v>33832.167999999998</v>
      </c>
      <c r="J85" s="788">
        <f t="shared" si="36"/>
        <v>5456.8012903225799</v>
      </c>
      <c r="K85" s="788">
        <f t="shared" si="37"/>
        <v>5456.8012903225799</v>
      </c>
      <c r="L85" s="788">
        <f t="shared" si="38"/>
        <v>33832.167999999998</v>
      </c>
      <c r="M85" s="788">
        <f t="shared" si="39"/>
        <v>6167.8319999999994</v>
      </c>
      <c r="N85" s="767">
        <f t="shared" si="40"/>
        <v>4.8270296337513736</v>
      </c>
      <c r="O85" s="788">
        <f t="shared" si="42"/>
        <v>40000</v>
      </c>
      <c r="P85" s="788">
        <f t="shared" si="31"/>
        <v>770.97899999999993</v>
      </c>
      <c r="Q85" s="788">
        <f t="shared" si="41"/>
        <v>6227.7802903225802</v>
      </c>
      <c r="R85" s="769" t="s">
        <v>116</v>
      </c>
      <c r="S85" s="808" t="s">
        <v>121</v>
      </c>
      <c r="T85" s="815">
        <v>41477</v>
      </c>
      <c r="U85" s="816">
        <v>41841</v>
      </c>
    </row>
    <row r="86" spans="1:253" s="738" customFormat="1" ht="13.5" customHeight="1">
      <c r="A86" s="786" t="s">
        <v>187</v>
      </c>
      <c r="B86" s="794">
        <v>2101</v>
      </c>
      <c r="C86" s="788">
        <v>233.63</v>
      </c>
      <c r="D86" s="788">
        <f t="shared" si="33"/>
        <v>20.940312294184494</v>
      </c>
      <c r="E86" s="788">
        <f t="shared" si="34"/>
        <v>129.82993622394386</v>
      </c>
      <c r="F86" s="788">
        <f t="shared" si="35"/>
        <v>20.940312294184494</v>
      </c>
      <c r="G86" s="788">
        <f t="shared" si="30"/>
        <v>129.82993622394383</v>
      </c>
      <c r="H86" s="789">
        <v>3.3</v>
      </c>
      <c r="I86" s="788">
        <f>36500-M86</f>
        <v>30332.168000000001</v>
      </c>
      <c r="J86" s="788">
        <f t="shared" si="36"/>
        <v>4892.2851612903223</v>
      </c>
      <c r="K86" s="788">
        <f t="shared" si="37"/>
        <v>4892.2851612903223</v>
      </c>
      <c r="L86" s="788">
        <f t="shared" si="38"/>
        <v>30332.167999999998</v>
      </c>
      <c r="M86" s="788">
        <f t="shared" si="39"/>
        <v>6167.8319999999994</v>
      </c>
      <c r="N86" s="767">
        <f t="shared" si="40"/>
        <v>4.3276645407981276</v>
      </c>
      <c r="O86" s="788">
        <f t="shared" si="42"/>
        <v>36500</v>
      </c>
      <c r="P86" s="788">
        <f t="shared" si="31"/>
        <v>770.97899999999993</v>
      </c>
      <c r="Q86" s="788">
        <f t="shared" si="41"/>
        <v>5663.2641612903226</v>
      </c>
      <c r="R86" s="821" t="s">
        <v>125</v>
      </c>
      <c r="S86" s="808" t="s">
        <v>121</v>
      </c>
      <c r="T86" s="809">
        <v>41464</v>
      </c>
      <c r="U86" s="810">
        <v>41828</v>
      </c>
    </row>
    <row r="87" spans="1:253" s="741" customFormat="1" ht="12.75" customHeight="1">
      <c r="A87" s="790" t="s">
        <v>188</v>
      </c>
      <c r="B87" s="791">
        <v>2002</v>
      </c>
      <c r="C87" s="792">
        <v>166.03</v>
      </c>
      <c r="D87" s="792">
        <f t="shared" si="33"/>
        <v>24.885522049066143</v>
      </c>
      <c r="E87" s="792">
        <f t="shared" si="34"/>
        <v>154.29023670421009</v>
      </c>
      <c r="F87" s="792">
        <f t="shared" si="35"/>
        <v>24.885522049066143</v>
      </c>
      <c r="G87" s="792">
        <f t="shared" si="30"/>
        <v>154.29023670421009</v>
      </c>
      <c r="H87" s="793">
        <v>3.3</v>
      </c>
      <c r="I87" s="792">
        <f>30000-M87</f>
        <v>25616.808000000001</v>
      </c>
      <c r="J87" s="792">
        <f t="shared" si="36"/>
        <v>4131.7432258064518</v>
      </c>
      <c r="K87" s="792">
        <f t="shared" si="37"/>
        <v>4131.7432258064518</v>
      </c>
      <c r="L87" s="792">
        <f t="shared" si="38"/>
        <v>25616.808000000001</v>
      </c>
      <c r="M87" s="792">
        <f t="shared" si="39"/>
        <v>4383.192</v>
      </c>
      <c r="N87" s="767">
        <f t="shared" si="40"/>
        <v>5.1430078901403364</v>
      </c>
      <c r="O87" s="792">
        <f t="shared" si="42"/>
        <v>30000</v>
      </c>
      <c r="P87" s="792">
        <f t="shared" si="31"/>
        <v>547.899</v>
      </c>
      <c r="Q87" s="792">
        <f t="shared" si="41"/>
        <v>4679.6422258064522</v>
      </c>
      <c r="R87" s="817" t="s">
        <v>125</v>
      </c>
      <c r="S87" s="822">
        <v>12</v>
      </c>
      <c r="T87" s="813">
        <v>41486</v>
      </c>
      <c r="U87" s="820">
        <v>41850</v>
      </c>
    </row>
    <row r="88" spans="1:253" s="739" customFormat="1" ht="14.25" customHeight="1">
      <c r="A88" s="790" t="s">
        <v>189</v>
      </c>
      <c r="B88" s="791">
        <v>1803</v>
      </c>
      <c r="C88" s="792">
        <v>191.68</v>
      </c>
      <c r="D88" s="792">
        <f t="shared" si="33"/>
        <v>24.351445958317623</v>
      </c>
      <c r="E88" s="792">
        <f t="shared" si="34"/>
        <v>150.97896494156927</v>
      </c>
      <c r="F88" s="792">
        <f t="shared" si="35"/>
        <v>24.351445958317623</v>
      </c>
      <c r="G88" s="792">
        <f t="shared" si="30"/>
        <v>150.97896494156927</v>
      </c>
      <c r="H88" s="793">
        <v>3.3</v>
      </c>
      <c r="I88" s="792">
        <f>34000-M88</f>
        <v>28939.648000000001</v>
      </c>
      <c r="J88" s="792">
        <f t="shared" si="36"/>
        <v>4667.6851612903229</v>
      </c>
      <c r="K88" s="792">
        <f t="shared" si="37"/>
        <v>4667.6851612903229</v>
      </c>
      <c r="L88" s="792">
        <f t="shared" si="38"/>
        <v>28939.648000000001</v>
      </c>
      <c r="M88" s="792">
        <f t="shared" si="39"/>
        <v>5060.3519999999999</v>
      </c>
      <c r="N88" s="767">
        <f t="shared" si="40"/>
        <v>5.0326321647189758</v>
      </c>
      <c r="O88" s="792">
        <f t="shared" si="42"/>
        <v>34000</v>
      </c>
      <c r="P88" s="792">
        <f t="shared" si="31"/>
        <v>632.54399999999998</v>
      </c>
      <c r="Q88" s="792">
        <f t="shared" si="41"/>
        <v>5300.2291612903227</v>
      </c>
      <c r="R88" s="811" t="s">
        <v>125</v>
      </c>
      <c r="S88" s="812">
        <v>12</v>
      </c>
      <c r="T88" s="813">
        <v>41469</v>
      </c>
      <c r="U88" s="814">
        <v>41833</v>
      </c>
    </row>
    <row r="89" spans="1:253" s="740" customFormat="1" ht="12.75" customHeight="1">
      <c r="A89" s="796" t="s">
        <v>123</v>
      </c>
      <c r="B89" s="794">
        <v>1802</v>
      </c>
      <c r="C89" s="788">
        <v>166.03</v>
      </c>
      <c r="D89" s="788">
        <f t="shared" si="33"/>
        <v>25.371248491819394</v>
      </c>
      <c r="E89" s="788">
        <f t="shared" si="34"/>
        <v>157.30174064928025</v>
      </c>
      <c r="F89" s="788">
        <f t="shared" si="35"/>
        <v>25.371248491819394</v>
      </c>
      <c r="G89" s="788">
        <f t="shared" si="30"/>
        <v>157.30174064928022</v>
      </c>
      <c r="H89" s="789">
        <v>3.3</v>
      </c>
      <c r="I89" s="788">
        <f>30500-M89</f>
        <v>26116.808000000001</v>
      </c>
      <c r="J89" s="788">
        <f t="shared" si="36"/>
        <v>4212.3883870967738</v>
      </c>
      <c r="K89" s="788">
        <f t="shared" si="37"/>
        <v>4212.3883870967738</v>
      </c>
      <c r="L89" s="788">
        <f t="shared" si="38"/>
        <v>26116.807999999997</v>
      </c>
      <c r="M89" s="788">
        <f t="shared" si="39"/>
        <v>4383.192</v>
      </c>
      <c r="N89" s="767">
        <f t="shared" si="40"/>
        <v>5.2433913549760076</v>
      </c>
      <c r="O89" s="788">
        <f t="shared" si="42"/>
        <v>30499.999999999996</v>
      </c>
      <c r="P89" s="788">
        <f t="shared" si="31"/>
        <v>547.899</v>
      </c>
      <c r="Q89" s="788">
        <f t="shared" si="41"/>
        <v>4760.2873870967742</v>
      </c>
      <c r="R89" s="821" t="s">
        <v>116</v>
      </c>
      <c r="S89" s="808">
        <v>12</v>
      </c>
      <c r="T89" s="809">
        <v>41486</v>
      </c>
      <c r="U89" s="816">
        <v>41850</v>
      </c>
    </row>
    <row r="90" spans="1:253" s="740" customFormat="1" ht="16.5" customHeight="1">
      <c r="A90" s="796" t="s">
        <v>190</v>
      </c>
      <c r="B90" s="787">
        <v>1204</v>
      </c>
      <c r="C90" s="788">
        <v>191.65</v>
      </c>
      <c r="D90" s="788">
        <f t="shared" si="33"/>
        <v>20.989572725819073</v>
      </c>
      <c r="E90" s="788">
        <f t="shared" si="34"/>
        <v>130.13535090007827</v>
      </c>
      <c r="F90" s="788">
        <f>K90/C90</f>
        <v>20.989572725819077</v>
      </c>
      <c r="G90" s="788">
        <f t="shared" si="30"/>
        <v>130.13535090007827</v>
      </c>
      <c r="H90" s="789">
        <v>3.3</v>
      </c>
      <c r="I90" s="788">
        <f>30000-M90</f>
        <v>24940.440000000002</v>
      </c>
      <c r="J90" s="788">
        <f t="shared" si="36"/>
        <v>4022.6516129032261</v>
      </c>
      <c r="K90" s="788">
        <f t="shared" si="37"/>
        <v>4022.6516129032261</v>
      </c>
      <c r="L90" s="788">
        <f t="shared" si="38"/>
        <v>24940.440000000002</v>
      </c>
      <c r="M90" s="788">
        <f t="shared" si="39"/>
        <v>5059.5599999999995</v>
      </c>
      <c r="N90" s="767">
        <f t="shared" si="40"/>
        <v>4.337845030002609</v>
      </c>
      <c r="O90" s="788">
        <f>SUM(I90,M90)</f>
        <v>30000</v>
      </c>
      <c r="P90" s="788">
        <f t="shared" si="31"/>
        <v>632.44499999999994</v>
      </c>
      <c r="Q90" s="788">
        <f t="shared" si="41"/>
        <v>4655.0966129032258</v>
      </c>
      <c r="R90" s="769" t="s">
        <v>116</v>
      </c>
      <c r="S90" s="808" t="s">
        <v>121</v>
      </c>
      <c r="T90" s="815">
        <v>41470</v>
      </c>
      <c r="U90" s="816">
        <v>41834</v>
      </c>
    </row>
    <row r="91" spans="1:253" s="742" customFormat="1" ht="21" customHeight="1">
      <c r="A91" s="786" t="s">
        <v>191</v>
      </c>
      <c r="B91" s="794">
        <v>1107</v>
      </c>
      <c r="C91" s="788">
        <v>75.180000000000007</v>
      </c>
      <c r="D91" s="788">
        <f t="shared" si="33"/>
        <v>36.504320812844867</v>
      </c>
      <c r="E91" s="788">
        <f t="shared" si="34"/>
        <v>226.32678903963819</v>
      </c>
      <c r="F91" s="788">
        <f t="shared" ref="F91:F96" si="43">D91</f>
        <v>36.504320812844867</v>
      </c>
      <c r="G91" s="788">
        <f t="shared" si="30"/>
        <v>226.32678903963819</v>
      </c>
      <c r="H91" s="789">
        <v>3.3</v>
      </c>
      <c r="I91" s="788">
        <f>19000-M91</f>
        <v>17015.248</v>
      </c>
      <c r="J91" s="788">
        <f t="shared" si="36"/>
        <v>2744.3948387096771</v>
      </c>
      <c r="K91" s="788">
        <f t="shared" si="37"/>
        <v>2744.3948387096771</v>
      </c>
      <c r="L91" s="788">
        <f t="shared" si="38"/>
        <v>17015.248</v>
      </c>
      <c r="M91" s="788">
        <f t="shared" si="39"/>
        <v>1984.7520000000002</v>
      </c>
      <c r="N91" s="767">
        <f t="shared" si="40"/>
        <v>7.5442263013212729</v>
      </c>
      <c r="O91" s="788">
        <f t="shared" ref="O91:O96" si="44">SUM(L91,M91)</f>
        <v>19000</v>
      </c>
      <c r="P91" s="788">
        <f t="shared" si="31"/>
        <v>248.09400000000002</v>
      </c>
      <c r="Q91" s="788">
        <v>40179</v>
      </c>
      <c r="R91" s="769" t="s">
        <v>116</v>
      </c>
      <c r="S91" s="808" t="s">
        <v>121</v>
      </c>
      <c r="T91" s="809">
        <v>41466</v>
      </c>
      <c r="U91" s="816">
        <v>41830</v>
      </c>
      <c r="V91" s="740"/>
      <c r="W91" s="740"/>
      <c r="X91" s="740"/>
      <c r="Y91" s="740"/>
      <c r="Z91" s="740"/>
      <c r="AA91" s="740"/>
      <c r="AB91" s="740"/>
      <c r="AC91" s="740"/>
      <c r="AD91" s="740"/>
      <c r="AE91" s="740"/>
      <c r="AF91" s="740"/>
      <c r="AG91" s="740"/>
      <c r="AH91" s="740"/>
      <c r="AI91" s="740"/>
      <c r="AJ91" s="740"/>
      <c r="AK91" s="740"/>
      <c r="AL91" s="740"/>
      <c r="AM91" s="740"/>
      <c r="AN91" s="740"/>
      <c r="AO91" s="740"/>
      <c r="AP91" s="740"/>
      <c r="AQ91" s="740"/>
      <c r="AR91" s="740"/>
      <c r="AS91" s="740"/>
      <c r="AT91" s="740"/>
      <c r="AU91" s="740"/>
      <c r="AV91" s="740"/>
      <c r="AW91" s="740"/>
      <c r="AX91" s="740"/>
      <c r="AY91" s="740"/>
      <c r="AZ91" s="740"/>
      <c r="BA91" s="740"/>
      <c r="BB91" s="740"/>
      <c r="BC91" s="740"/>
      <c r="BD91" s="740"/>
      <c r="BE91" s="740"/>
      <c r="BF91" s="740"/>
      <c r="BG91" s="740"/>
      <c r="BH91" s="740"/>
      <c r="BI91" s="740"/>
      <c r="BJ91" s="740"/>
      <c r="BK91" s="740"/>
      <c r="BL91" s="740"/>
      <c r="BM91" s="740"/>
      <c r="BN91" s="740"/>
      <c r="BO91" s="740"/>
      <c r="BP91" s="740"/>
      <c r="BQ91" s="740"/>
      <c r="BR91" s="740"/>
      <c r="BS91" s="740"/>
      <c r="BT91" s="740"/>
      <c r="BU91" s="740"/>
      <c r="BV91" s="740"/>
      <c r="BW91" s="740"/>
      <c r="BX91" s="740"/>
      <c r="BY91" s="740"/>
      <c r="BZ91" s="740"/>
      <c r="CA91" s="740"/>
      <c r="CB91" s="740"/>
      <c r="CC91" s="740"/>
      <c r="CD91" s="740"/>
      <c r="CE91" s="740"/>
      <c r="CF91" s="740"/>
      <c r="CG91" s="740"/>
      <c r="CH91" s="740"/>
      <c r="CI91" s="740"/>
      <c r="CJ91" s="740"/>
      <c r="CK91" s="740"/>
      <c r="CL91" s="740"/>
      <c r="CM91" s="740"/>
      <c r="CN91" s="740"/>
      <c r="CO91" s="740"/>
      <c r="CP91" s="740"/>
      <c r="CQ91" s="740"/>
      <c r="CR91" s="740"/>
      <c r="CS91" s="740"/>
      <c r="CT91" s="740"/>
      <c r="CU91" s="740"/>
      <c r="CV91" s="740"/>
      <c r="CW91" s="740"/>
      <c r="CX91" s="740"/>
      <c r="CY91" s="740"/>
      <c r="CZ91" s="740"/>
      <c r="DA91" s="740"/>
      <c r="DB91" s="740"/>
      <c r="DC91" s="740"/>
      <c r="DD91" s="740"/>
      <c r="DE91" s="740"/>
      <c r="DF91" s="740"/>
      <c r="DG91" s="740"/>
      <c r="DH91" s="740"/>
      <c r="DI91" s="740"/>
      <c r="DJ91" s="740"/>
      <c r="DK91" s="740"/>
      <c r="DL91" s="740"/>
      <c r="DM91" s="740"/>
      <c r="DN91" s="740"/>
      <c r="DO91" s="740"/>
      <c r="DP91" s="740"/>
      <c r="DQ91" s="740"/>
      <c r="DR91" s="740"/>
      <c r="DS91" s="740"/>
      <c r="DT91" s="740"/>
      <c r="DU91" s="740"/>
      <c r="DV91" s="740"/>
      <c r="DW91" s="740"/>
      <c r="DX91" s="740"/>
      <c r="DY91" s="740"/>
      <c r="DZ91" s="740"/>
      <c r="EA91" s="740"/>
      <c r="EB91" s="740"/>
      <c r="EC91" s="740"/>
      <c r="ED91" s="740"/>
      <c r="EE91" s="740"/>
      <c r="EF91" s="740"/>
      <c r="EG91" s="740"/>
      <c r="EH91" s="740"/>
      <c r="EI91" s="740"/>
      <c r="EJ91" s="740"/>
      <c r="EK91" s="740"/>
      <c r="EL91" s="740"/>
      <c r="EM91" s="740"/>
      <c r="EN91" s="740"/>
      <c r="EO91" s="740"/>
      <c r="EP91" s="740"/>
      <c r="EQ91" s="740"/>
      <c r="ER91" s="740"/>
      <c r="ES91" s="740"/>
      <c r="ET91" s="740"/>
      <c r="EU91" s="740"/>
      <c r="EV91" s="740"/>
      <c r="EW91" s="740"/>
      <c r="EX91" s="740"/>
      <c r="EY91" s="740"/>
      <c r="EZ91" s="740"/>
      <c r="FA91" s="740"/>
      <c r="FB91" s="740"/>
      <c r="FC91" s="740"/>
      <c r="FD91" s="740"/>
      <c r="FE91" s="740"/>
      <c r="FF91" s="740"/>
      <c r="FG91" s="740"/>
      <c r="FH91" s="740"/>
      <c r="FI91" s="740"/>
      <c r="FJ91" s="740"/>
      <c r="FK91" s="740"/>
      <c r="FL91" s="740"/>
      <c r="FM91" s="740"/>
      <c r="FN91" s="740"/>
      <c r="FO91" s="740"/>
      <c r="FP91" s="740"/>
      <c r="FQ91" s="740"/>
      <c r="FR91" s="740"/>
      <c r="FS91" s="740"/>
      <c r="FT91" s="740"/>
      <c r="FU91" s="740"/>
      <c r="FV91" s="740"/>
      <c r="FW91" s="740"/>
      <c r="FX91" s="740"/>
      <c r="FY91" s="740"/>
      <c r="FZ91" s="740"/>
      <c r="GA91" s="740"/>
      <c r="GB91" s="740"/>
      <c r="GC91" s="740"/>
      <c r="GD91" s="740"/>
      <c r="GE91" s="740"/>
      <c r="GF91" s="740"/>
      <c r="GG91" s="740"/>
      <c r="GH91" s="740"/>
      <c r="GI91" s="740"/>
      <c r="GJ91" s="740"/>
      <c r="GK91" s="740"/>
      <c r="GL91" s="740"/>
      <c r="GM91" s="740"/>
      <c r="GN91" s="740"/>
      <c r="GO91" s="740"/>
      <c r="GP91" s="740"/>
      <c r="GQ91" s="740"/>
      <c r="GR91" s="740"/>
      <c r="GS91" s="740"/>
      <c r="GT91" s="740"/>
      <c r="GU91" s="740"/>
      <c r="GV91" s="740"/>
      <c r="GW91" s="740"/>
      <c r="GX91" s="740"/>
      <c r="GY91" s="740"/>
      <c r="GZ91" s="740"/>
      <c r="HA91" s="740"/>
      <c r="HB91" s="740"/>
      <c r="HC91" s="740"/>
      <c r="HD91" s="740"/>
      <c r="HE91" s="740"/>
      <c r="HF91" s="740"/>
      <c r="HG91" s="740"/>
      <c r="HH91" s="740"/>
      <c r="HI91" s="740"/>
      <c r="HJ91" s="740"/>
      <c r="HK91" s="740"/>
      <c r="HL91" s="740"/>
      <c r="HM91" s="740"/>
      <c r="HN91" s="740"/>
      <c r="HO91" s="740"/>
      <c r="HP91" s="740"/>
      <c r="HQ91" s="740"/>
      <c r="HR91" s="740"/>
      <c r="HS91" s="740"/>
      <c r="HT91" s="740"/>
      <c r="HU91" s="740"/>
      <c r="HV91" s="740"/>
      <c r="HW91" s="740"/>
      <c r="HX91" s="740"/>
      <c r="HY91" s="740"/>
      <c r="HZ91" s="740"/>
      <c r="IA91" s="740"/>
      <c r="IB91" s="740"/>
      <c r="IC91" s="740"/>
      <c r="ID91" s="740"/>
      <c r="IE91" s="740"/>
      <c r="IF91" s="740"/>
      <c r="IG91" s="740"/>
      <c r="IH91" s="740"/>
      <c r="II91" s="740"/>
      <c r="IJ91" s="740"/>
      <c r="IK91" s="740"/>
      <c r="IL91" s="740"/>
      <c r="IM91" s="740"/>
      <c r="IN91" s="740"/>
      <c r="IO91" s="740"/>
      <c r="IP91" s="740"/>
      <c r="IQ91" s="740"/>
      <c r="IR91" s="740"/>
      <c r="IS91" s="740"/>
    </row>
    <row r="92" spans="1:253" s="446" customFormat="1" ht="13.5" customHeight="1">
      <c r="A92" s="755" t="s">
        <v>143</v>
      </c>
      <c r="B92" s="756">
        <v>1104</v>
      </c>
      <c r="C92" s="753">
        <v>191.65</v>
      </c>
      <c r="D92" s="753">
        <f t="shared" si="33"/>
        <v>17.202427139526861</v>
      </c>
      <c r="E92" s="753">
        <f t="shared" si="34"/>
        <v>106.65504826506654</v>
      </c>
      <c r="F92" s="753">
        <f t="shared" si="43"/>
        <v>17.202427139526861</v>
      </c>
      <c r="G92" s="753">
        <f t="shared" si="30"/>
        <v>106.65504826506654</v>
      </c>
      <c r="H92" s="754">
        <v>3.3</v>
      </c>
      <c r="I92" s="753">
        <f>25500-M92</f>
        <v>20440.440000000002</v>
      </c>
      <c r="J92" s="753">
        <f t="shared" si="36"/>
        <v>3296.8451612903227</v>
      </c>
      <c r="K92" s="753">
        <f t="shared" si="37"/>
        <v>3296.8451612903227</v>
      </c>
      <c r="L92" s="753">
        <f t="shared" si="38"/>
        <v>20440.440000000002</v>
      </c>
      <c r="M92" s="753">
        <f t="shared" si="39"/>
        <v>5059.5599999999995</v>
      </c>
      <c r="N92" s="767">
        <f t="shared" si="40"/>
        <v>3.555168275502218</v>
      </c>
      <c r="O92" s="753">
        <f t="shared" si="44"/>
        <v>25500</v>
      </c>
      <c r="P92" s="753">
        <f t="shared" si="31"/>
        <v>632.44499999999994</v>
      </c>
      <c r="Q92" s="753">
        <f>J92+P92</f>
        <v>3929.2901612903224</v>
      </c>
      <c r="R92" s="771" t="s">
        <v>116</v>
      </c>
      <c r="S92" s="778" t="s">
        <v>144</v>
      </c>
      <c r="T92" s="779">
        <v>41105</v>
      </c>
      <c r="U92" s="780">
        <v>41834</v>
      </c>
    </row>
    <row r="93" spans="1:253" s="446" customFormat="1" ht="13.5" customHeight="1">
      <c r="A93" s="755" t="s">
        <v>143</v>
      </c>
      <c r="B93" s="756">
        <v>904</v>
      </c>
      <c r="C93" s="753">
        <v>191.65</v>
      </c>
      <c r="D93" s="753">
        <f t="shared" si="33"/>
        <v>17.202427139526861</v>
      </c>
      <c r="E93" s="753">
        <f t="shared" si="34"/>
        <v>106.65504826506654</v>
      </c>
      <c r="F93" s="753">
        <f t="shared" si="43"/>
        <v>17.202427139526861</v>
      </c>
      <c r="G93" s="753">
        <f t="shared" si="30"/>
        <v>106.65504826506654</v>
      </c>
      <c r="H93" s="754">
        <v>3.3</v>
      </c>
      <c r="I93" s="753">
        <f>25500-M93</f>
        <v>20440.440000000002</v>
      </c>
      <c r="J93" s="753">
        <f t="shared" si="36"/>
        <v>3296.8451612903227</v>
      </c>
      <c r="K93" s="753">
        <f t="shared" si="37"/>
        <v>3296.8451612903227</v>
      </c>
      <c r="L93" s="753">
        <f t="shared" si="38"/>
        <v>20440.440000000002</v>
      </c>
      <c r="M93" s="768">
        <f t="shared" si="39"/>
        <v>5059.5599999999995</v>
      </c>
      <c r="N93" s="767">
        <f t="shared" si="40"/>
        <v>3.555168275502218</v>
      </c>
      <c r="O93" s="753">
        <f t="shared" si="44"/>
        <v>25500</v>
      </c>
      <c r="P93" s="763">
        <f t="shared" si="31"/>
        <v>632.44499999999994</v>
      </c>
      <c r="Q93" s="753">
        <f>J93+P93</f>
        <v>3929.2901612903224</v>
      </c>
      <c r="R93" s="771" t="s">
        <v>116</v>
      </c>
      <c r="S93" s="778" t="s">
        <v>144</v>
      </c>
      <c r="T93" s="779">
        <v>41105</v>
      </c>
      <c r="U93" s="781">
        <v>41834</v>
      </c>
    </row>
    <row r="94" spans="1:253" s="738" customFormat="1" ht="13.5" customHeight="1">
      <c r="A94" s="786" t="s">
        <v>188</v>
      </c>
      <c r="B94" s="787">
        <v>704</v>
      </c>
      <c r="C94" s="788">
        <v>189.08</v>
      </c>
      <c r="D94" s="788">
        <f t="shared" si="33"/>
        <v>20.906228461071265</v>
      </c>
      <c r="E94" s="788">
        <f t="shared" si="34"/>
        <v>129.61861645864184</v>
      </c>
      <c r="F94" s="788">
        <f t="shared" si="43"/>
        <v>20.906228461071265</v>
      </c>
      <c r="G94" s="788">
        <f t="shared" si="30"/>
        <v>129.61861645864184</v>
      </c>
      <c r="H94" s="789">
        <v>3.3</v>
      </c>
      <c r="I94" s="788">
        <f>29500-M94</f>
        <v>24508.288</v>
      </c>
      <c r="J94" s="788">
        <f t="shared" si="36"/>
        <v>3952.9496774193549</v>
      </c>
      <c r="K94" s="788">
        <f t="shared" si="37"/>
        <v>3952.9496774193549</v>
      </c>
      <c r="L94" s="788">
        <f t="shared" si="38"/>
        <v>24508.288</v>
      </c>
      <c r="M94" s="788">
        <f t="shared" si="39"/>
        <v>4991.7120000000004</v>
      </c>
      <c r="N94" s="767">
        <f t="shared" si="40"/>
        <v>4.3206205486213944</v>
      </c>
      <c r="O94" s="788">
        <f t="shared" si="44"/>
        <v>29500</v>
      </c>
      <c r="P94" s="788">
        <f t="shared" si="31"/>
        <v>623.96400000000006</v>
      </c>
      <c r="Q94" s="788">
        <f>J94+P94</f>
        <v>4576.9136774193548</v>
      </c>
      <c r="R94" s="821" t="s">
        <v>116</v>
      </c>
      <c r="S94" s="808" t="s">
        <v>121</v>
      </c>
      <c r="T94" s="809">
        <v>41471</v>
      </c>
      <c r="U94" s="810">
        <v>41835</v>
      </c>
    </row>
    <row r="95" spans="1:253" s="738" customFormat="1" ht="13.5" customHeight="1">
      <c r="A95" s="786" t="s">
        <v>192</v>
      </c>
      <c r="B95" s="787">
        <v>606</v>
      </c>
      <c r="C95" s="788">
        <v>86.79</v>
      </c>
      <c r="D95" s="788">
        <f t="shared" si="33"/>
        <v>29.193091221301696</v>
      </c>
      <c r="E95" s="788">
        <f t="shared" si="34"/>
        <v>180.99716557207051</v>
      </c>
      <c r="F95" s="788">
        <f t="shared" si="43"/>
        <v>29.193091221301696</v>
      </c>
      <c r="G95" s="788">
        <f t="shared" si="30"/>
        <v>180.99716557207049</v>
      </c>
      <c r="H95" s="789">
        <v>3.3</v>
      </c>
      <c r="I95" s="788">
        <f>18000-M95</f>
        <v>15708.744000000001</v>
      </c>
      <c r="J95" s="788">
        <f t="shared" si="36"/>
        <v>2533.668387096774</v>
      </c>
      <c r="K95" s="788">
        <f t="shared" si="37"/>
        <v>2533.668387096774</v>
      </c>
      <c r="L95" s="788">
        <f t="shared" si="38"/>
        <v>15708.743999999999</v>
      </c>
      <c r="M95" s="788">
        <f t="shared" si="39"/>
        <v>2291.2559999999999</v>
      </c>
      <c r="N95" s="767">
        <f t="shared" si="40"/>
        <v>6.0332388524023495</v>
      </c>
      <c r="O95" s="788">
        <f t="shared" si="44"/>
        <v>18000</v>
      </c>
      <c r="P95" s="788">
        <f t="shared" si="31"/>
        <v>286.40699999999998</v>
      </c>
      <c r="Q95" s="788">
        <f>J95+P95</f>
        <v>2820.0753870967742</v>
      </c>
      <c r="R95" s="769" t="s">
        <v>116</v>
      </c>
      <c r="S95" s="808" t="s">
        <v>121</v>
      </c>
      <c r="T95" s="809">
        <v>41467</v>
      </c>
      <c r="U95" s="810">
        <v>41831</v>
      </c>
    </row>
    <row r="96" spans="1:253" s="446" customFormat="1" ht="12.75" customHeight="1">
      <c r="A96" s="755" t="s">
        <v>143</v>
      </c>
      <c r="B96" s="756">
        <v>604</v>
      </c>
      <c r="C96" s="753">
        <v>189.08</v>
      </c>
      <c r="D96" s="753">
        <f t="shared" si="33"/>
        <v>17.49412093873902</v>
      </c>
      <c r="E96" s="753">
        <f t="shared" si="34"/>
        <v>108.46354982018192</v>
      </c>
      <c r="F96" s="753">
        <f t="shared" si="43"/>
        <v>17.49412093873902</v>
      </c>
      <c r="G96" s="753">
        <f t="shared" si="30"/>
        <v>108.46354982018192</v>
      </c>
      <c r="H96" s="754">
        <v>3.3</v>
      </c>
      <c r="I96" s="753">
        <f>25500-M96</f>
        <v>20508.288</v>
      </c>
      <c r="J96" s="753">
        <f t="shared" si="36"/>
        <v>3307.7883870967744</v>
      </c>
      <c r="K96" s="753">
        <f t="shared" si="37"/>
        <v>3307.7883870967744</v>
      </c>
      <c r="L96" s="753">
        <f t="shared" si="38"/>
        <v>20508.288</v>
      </c>
      <c r="M96" s="753">
        <f t="shared" si="39"/>
        <v>4991.7120000000004</v>
      </c>
      <c r="N96" s="767">
        <f t="shared" si="40"/>
        <v>3.6154516606727309</v>
      </c>
      <c r="O96" s="753">
        <f t="shared" si="44"/>
        <v>25500</v>
      </c>
      <c r="P96" s="753">
        <f t="shared" si="31"/>
        <v>623.96400000000006</v>
      </c>
      <c r="Q96" s="753">
        <f>J96+P96</f>
        <v>3931.7523870967743</v>
      </c>
      <c r="R96" s="771" t="s">
        <v>116</v>
      </c>
      <c r="S96" s="778">
        <v>24</v>
      </c>
      <c r="T96" s="779">
        <v>41105</v>
      </c>
      <c r="U96" s="783">
        <v>41834</v>
      </c>
    </row>
    <row r="97" spans="1:21" s="743" customFormat="1" ht="18" customHeight="1">
      <c r="A97" s="797"/>
      <c r="B97" s="798"/>
      <c r="C97" s="799">
        <f>SUM(C4:C96)</f>
        <v>14914.640000000009</v>
      </c>
      <c r="D97" s="799"/>
      <c r="E97" s="799"/>
      <c r="F97" s="799"/>
      <c r="G97" s="799"/>
      <c r="H97" s="800"/>
      <c r="I97" s="807"/>
      <c r="J97" s="807"/>
      <c r="K97" s="807"/>
      <c r="L97" s="807">
        <f>SUM(L4:M96)</f>
        <v>2578700</v>
      </c>
      <c r="M97" s="807"/>
      <c r="N97" s="807">
        <f t="shared" si="40"/>
        <v>5.7632411286270822</v>
      </c>
      <c r="O97" s="807"/>
      <c r="P97" s="807"/>
      <c r="Q97" s="807"/>
      <c r="R97" s="823"/>
      <c r="S97" s="824"/>
      <c r="T97" s="825"/>
      <c r="U97" s="826"/>
    </row>
    <row r="98" spans="1:21" s="737" customFormat="1" ht="12.75" customHeight="1">
      <c r="A98" s="751" t="s">
        <v>193</v>
      </c>
      <c r="B98" s="756">
        <v>808</v>
      </c>
      <c r="C98" s="753">
        <v>214.39</v>
      </c>
      <c r="D98" s="753">
        <f>E98/6.2</f>
        <v>19.816240827313504</v>
      </c>
      <c r="E98" s="753">
        <f>I98/C98</f>
        <v>122.86069312934373</v>
      </c>
      <c r="F98" s="753">
        <f>D98</f>
        <v>19.816240827313504</v>
      </c>
      <c r="G98" s="753">
        <f>L98/C98</f>
        <v>122.86069312934373</v>
      </c>
      <c r="H98" s="754">
        <v>3.3</v>
      </c>
      <c r="I98" s="753">
        <f>32000-M98</f>
        <v>26340.103999999999</v>
      </c>
      <c r="J98" s="753">
        <f>I98/6.2</f>
        <v>4248.4038709677416</v>
      </c>
      <c r="K98" s="753">
        <f>J98</f>
        <v>4248.4038709677416</v>
      </c>
      <c r="L98" s="753">
        <f>K98*6.2</f>
        <v>26340.103999999999</v>
      </c>
      <c r="M98" s="768">
        <f>P98*8</f>
        <v>5659.8959999999997</v>
      </c>
      <c r="N98" s="767">
        <f t="shared" si="40"/>
        <v>4.0953564376447913</v>
      </c>
      <c r="O98" s="753">
        <f>SUM(L98,M98)</f>
        <v>32000</v>
      </c>
      <c r="P98" s="763">
        <f>H98*C98</f>
        <v>707.48699999999997</v>
      </c>
      <c r="Q98" s="753">
        <f>J98+P98</f>
        <v>4955.8908709677416</v>
      </c>
      <c r="R98" s="771" t="s">
        <v>125</v>
      </c>
      <c r="S98" s="778">
        <v>24</v>
      </c>
      <c r="T98" s="779">
        <v>41306</v>
      </c>
      <c r="U98" s="777">
        <v>42035</v>
      </c>
    </row>
    <row r="99" spans="1:21" s="446" customFormat="1" ht="13.5" customHeight="1">
      <c r="A99" s="755" t="s">
        <v>143</v>
      </c>
      <c r="B99" s="756">
        <v>1605</v>
      </c>
      <c r="C99" s="753">
        <v>166.03</v>
      </c>
      <c r="D99" s="753">
        <f>E99/6.2</f>
        <v>20.99971050704012</v>
      </c>
      <c r="E99" s="753">
        <f>I99/C99</f>
        <v>130.19820514364875</v>
      </c>
      <c r="F99" s="753">
        <f>D99</f>
        <v>20.99971050704012</v>
      </c>
      <c r="G99" s="753">
        <f>L99/C99</f>
        <v>130.19820514364875</v>
      </c>
      <c r="H99" s="754">
        <v>3.3</v>
      </c>
      <c r="I99" s="753">
        <f>26000-M99</f>
        <v>21616.808000000001</v>
      </c>
      <c r="J99" s="753">
        <f>I99/6.2</f>
        <v>3486.5819354838709</v>
      </c>
      <c r="K99" s="753">
        <f>J99</f>
        <v>3486.5819354838709</v>
      </c>
      <c r="L99" s="753">
        <f>K99*6.2</f>
        <v>21616.808000000001</v>
      </c>
      <c r="M99" s="753">
        <f>P99*8</f>
        <v>4383.192</v>
      </c>
      <c r="N99" s="767">
        <f t="shared" si="40"/>
        <v>4.3399401714549581</v>
      </c>
      <c r="O99" s="753">
        <f>SUM(L99,M99)</f>
        <v>26000</v>
      </c>
      <c r="P99" s="753">
        <f>C99*H99</f>
        <v>547.899</v>
      </c>
      <c r="Q99" s="753">
        <f>J99+P99</f>
        <v>4034.4809354838708</v>
      </c>
      <c r="R99" s="771" t="s">
        <v>116</v>
      </c>
      <c r="S99" s="778">
        <v>24</v>
      </c>
      <c r="T99" s="779">
        <v>41334</v>
      </c>
      <c r="U99" s="780">
        <v>42063</v>
      </c>
    </row>
    <row r="100" spans="1:21" s="744" customFormat="1" ht="14.25" customHeight="1">
      <c r="A100" s="801" t="s">
        <v>194</v>
      </c>
      <c r="B100" s="802"/>
      <c r="C100" s="803">
        <f>SUM(C98:C99)</f>
        <v>380.41999999999996</v>
      </c>
      <c r="D100" s="804"/>
      <c r="E100" s="804"/>
      <c r="F100" s="804"/>
      <c r="G100" s="804"/>
      <c r="H100" s="804"/>
      <c r="I100" s="803"/>
      <c r="J100" s="803"/>
      <c r="K100" s="803"/>
      <c r="L100" s="803">
        <f>SUM(L98:L99)</f>
        <v>47956.911999999997</v>
      </c>
      <c r="M100" s="803">
        <f>SUM(M10:M96)</f>
        <v>370582.60800000001</v>
      </c>
      <c r="N100" s="807">
        <f t="shared" si="40"/>
        <v>4.2021022378774333</v>
      </c>
      <c r="O100" s="803"/>
      <c r="P100" s="803"/>
      <c r="Q100" s="803"/>
      <c r="R100" s="827"/>
      <c r="S100" s="828"/>
      <c r="T100" s="829"/>
      <c r="U100" s="830"/>
    </row>
    <row r="101" spans="1:21" s="449" customFormat="1">
      <c r="A101" s="577"/>
      <c r="B101" s="759"/>
      <c r="D101" s="805"/>
      <c r="E101" s="805"/>
      <c r="N101" s="548"/>
    </row>
    <row r="102" spans="1:21" s="449" customFormat="1">
      <c r="A102" s="577"/>
      <c r="B102" s="759"/>
      <c r="D102" s="805"/>
      <c r="E102" s="805"/>
      <c r="N102" s="548"/>
    </row>
    <row r="103" spans="1:21" s="449" customFormat="1">
      <c r="A103" s="577"/>
      <c r="B103" s="759"/>
      <c r="D103" s="805"/>
      <c r="E103" s="805"/>
      <c r="N103" s="548"/>
    </row>
    <row r="104" spans="1:21" s="449" customFormat="1">
      <c r="A104" s="577"/>
      <c r="B104" s="759"/>
      <c r="D104" s="805"/>
      <c r="E104" s="805"/>
      <c r="N104" s="548"/>
    </row>
    <row r="105" spans="1:21" s="449" customFormat="1">
      <c r="A105" s="577"/>
      <c r="B105" s="759"/>
      <c r="D105" s="805"/>
      <c r="E105" s="805"/>
      <c r="N105" s="548"/>
    </row>
    <row r="106" spans="1:21" s="449" customFormat="1">
      <c r="A106" s="577"/>
      <c r="B106" s="759"/>
      <c r="D106" s="805"/>
      <c r="E106" s="805"/>
      <c r="N106" s="548"/>
    </row>
    <row r="107" spans="1:21" s="449" customFormat="1">
      <c r="A107" s="577"/>
      <c r="B107" s="759"/>
      <c r="D107" s="805"/>
      <c r="E107" s="805"/>
      <c r="N107" s="548"/>
    </row>
    <row r="108" spans="1:21" s="449" customFormat="1">
      <c r="A108" s="577"/>
      <c r="B108" s="759"/>
      <c r="D108" s="805"/>
      <c r="E108" s="805"/>
      <c r="N108" s="548"/>
    </row>
    <row r="109" spans="1:21" s="449" customFormat="1">
      <c r="A109" s="577"/>
      <c r="B109" s="759"/>
      <c r="D109" s="805"/>
      <c r="E109" s="805"/>
      <c r="N109" s="548"/>
    </row>
    <row r="110" spans="1:21" s="449" customFormat="1">
      <c r="A110" s="577"/>
      <c r="B110" s="759"/>
      <c r="D110" s="805"/>
      <c r="E110" s="805"/>
      <c r="N110" s="548"/>
    </row>
    <row r="111" spans="1:21" s="449" customFormat="1">
      <c r="A111" s="577"/>
      <c r="B111" s="759"/>
      <c r="D111" s="805"/>
      <c r="E111" s="805"/>
      <c r="N111" s="548"/>
    </row>
    <row r="112" spans="1:21" s="449" customFormat="1">
      <c r="A112" s="577"/>
      <c r="B112" s="759"/>
      <c r="D112" s="805"/>
      <c r="E112" s="805"/>
      <c r="N112" s="548"/>
    </row>
    <row r="113" spans="1:14" s="449" customFormat="1">
      <c r="A113" s="577"/>
      <c r="B113" s="759"/>
      <c r="D113" s="805"/>
      <c r="E113" s="805"/>
      <c r="N113" s="548"/>
    </row>
    <row r="114" spans="1:14" s="449" customFormat="1">
      <c r="A114" s="577"/>
      <c r="B114" s="759"/>
      <c r="D114" s="805"/>
      <c r="E114" s="805"/>
      <c r="N114" s="548"/>
    </row>
    <row r="115" spans="1:14" s="449" customFormat="1">
      <c r="A115" s="577"/>
      <c r="B115" s="759"/>
      <c r="D115" s="805"/>
      <c r="E115" s="805"/>
      <c r="N115" s="548"/>
    </row>
    <row r="116" spans="1:14" s="449" customFormat="1">
      <c r="A116" s="577"/>
      <c r="B116" s="759"/>
      <c r="D116" s="805"/>
      <c r="E116" s="805"/>
      <c r="N116" s="548"/>
    </row>
    <row r="117" spans="1:14" s="449" customFormat="1">
      <c r="A117" s="577"/>
      <c r="B117" s="759"/>
      <c r="D117" s="805"/>
      <c r="E117" s="805"/>
      <c r="N117" s="548"/>
    </row>
    <row r="118" spans="1:14" s="449" customFormat="1">
      <c r="A118" s="577"/>
      <c r="B118" s="759"/>
      <c r="D118" s="805"/>
      <c r="E118" s="805"/>
      <c r="N118" s="548"/>
    </row>
    <row r="119" spans="1:14" s="449" customFormat="1">
      <c r="A119" s="577"/>
      <c r="B119" s="759"/>
      <c r="D119" s="805"/>
      <c r="E119" s="805"/>
      <c r="N119" s="548"/>
    </row>
    <row r="120" spans="1:14" s="449" customFormat="1">
      <c r="A120" s="577"/>
      <c r="B120" s="759"/>
      <c r="D120" s="805"/>
      <c r="E120" s="805"/>
      <c r="N120" s="548"/>
    </row>
    <row r="121" spans="1:14" s="449" customFormat="1">
      <c r="A121" s="577"/>
      <c r="B121" s="759"/>
      <c r="D121" s="805"/>
      <c r="E121" s="805"/>
      <c r="N121" s="548"/>
    </row>
    <row r="122" spans="1:14" s="449" customFormat="1">
      <c r="A122" s="577"/>
      <c r="B122" s="759"/>
      <c r="D122" s="805"/>
      <c r="E122" s="805"/>
      <c r="N122" s="548"/>
    </row>
    <row r="123" spans="1:14" s="449" customFormat="1">
      <c r="A123" s="577"/>
      <c r="B123" s="759"/>
      <c r="D123" s="805"/>
      <c r="E123" s="805"/>
      <c r="N123" s="548"/>
    </row>
    <row r="124" spans="1:14" s="449" customFormat="1">
      <c r="A124" s="577"/>
      <c r="B124" s="759"/>
      <c r="D124" s="805"/>
      <c r="E124" s="805"/>
      <c r="N124" s="548"/>
    </row>
    <row r="125" spans="1:14" s="449" customFormat="1">
      <c r="A125" s="577"/>
      <c r="B125" s="759"/>
      <c r="D125" s="805"/>
      <c r="E125" s="805"/>
      <c r="N125" s="548"/>
    </row>
    <row r="126" spans="1:14" s="449" customFormat="1">
      <c r="A126" s="577"/>
      <c r="B126" s="759"/>
      <c r="D126" s="805"/>
      <c r="E126" s="805"/>
      <c r="N126" s="548"/>
    </row>
    <row r="127" spans="1:14" s="449" customFormat="1">
      <c r="A127" s="577"/>
      <c r="B127" s="759"/>
      <c r="D127" s="805"/>
      <c r="E127" s="805"/>
      <c r="N127" s="548"/>
    </row>
    <row r="128" spans="1:14" s="449" customFormat="1">
      <c r="A128" s="577"/>
      <c r="B128" s="759"/>
      <c r="D128" s="805"/>
      <c r="E128" s="805"/>
      <c r="N128" s="548"/>
    </row>
  </sheetData>
  <mergeCells count="16">
    <mergeCell ref="R1:R2"/>
    <mergeCell ref="T1:U1"/>
    <mergeCell ref="C1:C2"/>
    <mergeCell ref="D1:D2"/>
    <mergeCell ref="E1:E2"/>
    <mergeCell ref="F1:F2"/>
    <mergeCell ref="G1:G2"/>
    <mergeCell ref="H1:H2"/>
    <mergeCell ref="I1:I2"/>
    <mergeCell ref="J1:J2"/>
    <mergeCell ref="K1:K2"/>
    <mergeCell ref="L1:L2"/>
    <mergeCell ref="M1:M2"/>
    <mergeCell ref="O1:O2"/>
    <mergeCell ref="P1:P2"/>
    <mergeCell ref="Q1:Q2"/>
  </mergeCells>
  <phoneticPr fontId="93" type="noConversion"/>
  <pageMargins left="0.69861111111111107" right="0.69861111111111107" top="0.75" bottom="0.75" header="0.3" footer="0.3"/>
  <headerFooter alignWithMargins="0"/>
  <legacy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499984740745262"/>
  </sheetPr>
  <dimension ref="A1:AD73"/>
  <sheetViews>
    <sheetView view="pageBreakPreview" topLeftCell="B10" workbookViewId="0">
      <selection activeCell="O27" sqref="O27:P27"/>
    </sheetView>
  </sheetViews>
  <sheetFormatPr defaultColWidth="9" defaultRowHeight="13.5"/>
  <cols>
    <col min="1" max="1" width="10.5" customWidth="1"/>
    <col min="2" max="2" width="14.625" customWidth="1"/>
    <col min="3" max="3" width="6" customWidth="1"/>
    <col min="11" max="11" width="9.375" bestFit="1" customWidth="1"/>
    <col min="12" max="12" width="6.375" customWidth="1"/>
    <col min="14" max="14" width="9.375" bestFit="1" customWidth="1"/>
    <col min="15" max="15" width="7.375" customWidth="1"/>
    <col min="16" max="16" width="6.25" customWidth="1"/>
    <col min="17" max="17" width="6.625" customWidth="1"/>
    <col min="18" max="18" width="6.75" customWidth="1"/>
    <col min="19" max="19" width="7.5" customWidth="1"/>
    <col min="20" max="20" width="6" customWidth="1"/>
    <col min="21" max="21" width="6.375" customWidth="1"/>
  </cols>
  <sheetData>
    <row r="1" spans="1:26" ht="20.25">
      <c r="A1" s="1477" t="s">
        <v>735</v>
      </c>
      <c r="B1" s="1478"/>
      <c r="C1" s="1478"/>
      <c r="D1" s="1478"/>
      <c r="E1" s="1478"/>
      <c r="F1" s="1478"/>
      <c r="G1" s="1478"/>
      <c r="H1" s="1478"/>
      <c r="I1" s="1478"/>
      <c r="J1" s="1478"/>
      <c r="K1" s="1478"/>
      <c r="L1" s="1478"/>
      <c r="M1" s="1478"/>
      <c r="N1" s="1478"/>
      <c r="O1" s="1478"/>
      <c r="P1" s="1478"/>
      <c r="Q1" s="1478"/>
      <c r="R1" s="1478"/>
      <c r="S1" s="1478"/>
      <c r="T1" s="1478"/>
      <c r="U1" s="1478"/>
      <c r="V1" s="1478"/>
      <c r="W1" s="1478"/>
      <c r="X1" s="1478"/>
      <c r="Y1" s="1478"/>
      <c r="Z1" s="1479"/>
    </row>
    <row r="2" spans="1:26" ht="14.25">
      <c r="A2" s="1480" t="s">
        <v>196</v>
      </c>
      <c r="B2" s="1480"/>
      <c r="C2" s="1480"/>
      <c r="D2" s="1480"/>
      <c r="E2" s="1480"/>
      <c r="F2" s="1480"/>
      <c r="G2" s="1480"/>
      <c r="H2" s="1480"/>
      <c r="I2" s="1480"/>
      <c r="J2" s="1480"/>
      <c r="K2" s="1480"/>
      <c r="L2" s="1508"/>
      <c r="M2" s="1481" t="s">
        <v>197</v>
      </c>
      <c r="N2" s="1481"/>
      <c r="O2" s="1481"/>
      <c r="P2" s="1481"/>
      <c r="Q2" s="1481"/>
      <c r="R2" s="1481"/>
      <c r="S2" s="1481"/>
      <c r="T2" s="1481"/>
      <c r="U2" s="1484"/>
      <c r="V2" s="1481" t="s">
        <v>198</v>
      </c>
      <c r="W2" s="1481"/>
      <c r="X2" s="1481"/>
      <c r="Y2" s="1481"/>
      <c r="Z2" s="1481"/>
    </row>
    <row r="3" spans="1:26" ht="14.25">
      <c r="A3" s="1517" t="s">
        <v>199</v>
      </c>
      <c r="B3" s="1490"/>
      <c r="C3" s="1506" t="s">
        <v>662</v>
      </c>
      <c r="D3" s="1482" t="s">
        <v>200</v>
      </c>
      <c r="E3" s="1482"/>
      <c r="F3" s="1483" t="s">
        <v>852</v>
      </c>
      <c r="G3" s="1482"/>
      <c r="H3" s="1483" t="s">
        <v>853</v>
      </c>
      <c r="I3" s="1482"/>
      <c r="J3" s="1483" t="s">
        <v>854</v>
      </c>
      <c r="K3" s="1482"/>
      <c r="L3" s="1485"/>
      <c r="M3" s="1517" t="s">
        <v>199</v>
      </c>
      <c r="N3" s="1490"/>
      <c r="O3" s="1517" t="s">
        <v>201</v>
      </c>
      <c r="P3" s="1490"/>
      <c r="Q3" s="1517" t="s">
        <v>202</v>
      </c>
      <c r="R3" s="1490"/>
      <c r="S3" s="1494" t="s">
        <v>203</v>
      </c>
      <c r="T3" s="1494"/>
      <c r="U3" s="1485"/>
      <c r="V3" s="1517" t="s">
        <v>199</v>
      </c>
      <c r="W3" s="1490"/>
      <c r="X3" s="1515" t="s">
        <v>201</v>
      </c>
      <c r="Y3" s="1515" t="s">
        <v>202</v>
      </c>
      <c r="Z3" s="1515" t="s">
        <v>203</v>
      </c>
    </row>
    <row r="4" spans="1:26" ht="14.25">
      <c r="A4" s="1518"/>
      <c r="B4" s="1519"/>
      <c r="C4" s="1507"/>
      <c r="D4" s="1511" t="e">
        <f>#REF!</f>
        <v>#REF!</v>
      </c>
      <c r="E4" s="1512"/>
      <c r="F4" s="1513" t="str">
        <f>B41</f>
        <v>国美家园 (推广名：国美第一城)</v>
      </c>
      <c r="G4" s="1514"/>
      <c r="H4" s="1511" t="str">
        <f>B46</f>
        <v>双桥嘉园</v>
      </c>
      <c r="I4" s="1512"/>
      <c r="J4" s="1511" t="str">
        <f>B47</f>
        <v>玉兰湾嘉园</v>
      </c>
      <c r="K4" s="1512"/>
      <c r="L4" s="1485"/>
      <c r="M4" s="1518"/>
      <c r="N4" s="1519"/>
      <c r="O4" s="1520"/>
      <c r="P4" s="1521"/>
      <c r="Q4" s="1518"/>
      <c r="R4" s="1519"/>
      <c r="S4" s="1494"/>
      <c r="T4" s="1494"/>
      <c r="U4" s="1485"/>
      <c r="V4" s="1518"/>
      <c r="W4" s="1519"/>
      <c r="X4" s="1516"/>
      <c r="Y4" s="1516"/>
      <c r="Z4" s="1516"/>
    </row>
    <row r="5" spans="1:26" ht="14.25">
      <c r="A5" s="1489" t="s">
        <v>208</v>
      </c>
      <c r="B5" s="1491"/>
      <c r="C5" s="196"/>
      <c r="D5" s="845" t="e">
        <f>#REF!</f>
        <v>#REF!</v>
      </c>
      <c r="E5" s="195">
        <v>100</v>
      </c>
      <c r="F5" s="197" t="s">
        <v>905</v>
      </c>
      <c r="G5" s="872">
        <f>ROUND(100-100*F26*$B$34,2)</f>
        <v>99.5</v>
      </c>
      <c r="H5" s="197" t="s">
        <v>910</v>
      </c>
      <c r="I5" s="872">
        <f>ROUND(100-100*H26*$B$34,2)</f>
        <v>99</v>
      </c>
      <c r="J5" s="197" t="s">
        <v>915</v>
      </c>
      <c r="K5" s="872">
        <f>ROUND(100-100*J26*$B$34,2)</f>
        <v>99.5</v>
      </c>
      <c r="L5" s="1485"/>
      <c r="M5" s="1487" t="s">
        <v>208</v>
      </c>
      <c r="N5" s="1492"/>
      <c r="O5" s="217" t="s">
        <v>210</v>
      </c>
      <c r="P5" s="218">
        <f t="shared" ref="P5:P25" si="0">G5</f>
        <v>99.5</v>
      </c>
      <c r="Q5" s="217" t="s">
        <v>210</v>
      </c>
      <c r="R5" s="218">
        <f t="shared" ref="R5:R25" si="1">I5</f>
        <v>99</v>
      </c>
      <c r="S5" s="217" t="s">
        <v>210</v>
      </c>
      <c r="T5" s="218">
        <f t="shared" ref="T5:T25" si="2">K5</f>
        <v>99.5</v>
      </c>
      <c r="U5" s="1485"/>
      <c r="V5" s="1487" t="s">
        <v>208</v>
      </c>
      <c r="W5" s="1488"/>
      <c r="X5" s="224">
        <f t="shared" ref="X5:X25" si="3">E5/G5</f>
        <v>1.0050251256281406</v>
      </c>
      <c r="Y5" s="224">
        <f t="shared" ref="Y5:Y25" si="4">E5/I5</f>
        <v>1.0101010101010102</v>
      </c>
      <c r="Z5" s="224">
        <f t="shared" ref="Z5:Z25" si="5">E5/K5</f>
        <v>1.0050251256281406</v>
      </c>
    </row>
    <row r="6" spans="1:26" ht="14.25">
      <c r="A6" s="1489" t="s">
        <v>211</v>
      </c>
      <c r="B6" s="1490"/>
      <c r="C6" s="196">
        <v>2</v>
      </c>
      <c r="D6" s="197" t="s">
        <v>212</v>
      </c>
      <c r="E6" s="195">
        <v>100</v>
      </c>
      <c r="F6" s="197" t="s">
        <v>212</v>
      </c>
      <c r="G6" s="872">
        <v>100</v>
      </c>
      <c r="H6" s="197" t="s">
        <v>212</v>
      </c>
      <c r="I6" s="872">
        <v>100</v>
      </c>
      <c r="J6" s="197" t="s">
        <v>212</v>
      </c>
      <c r="K6" s="872">
        <v>100</v>
      </c>
      <c r="L6" s="1485"/>
      <c r="M6" s="1487" t="s">
        <v>211</v>
      </c>
      <c r="N6" s="1488"/>
      <c r="O6" s="217" t="s">
        <v>210</v>
      </c>
      <c r="P6" s="218">
        <f t="shared" si="0"/>
        <v>100</v>
      </c>
      <c r="Q6" s="217" t="s">
        <v>210</v>
      </c>
      <c r="R6" s="218">
        <f t="shared" si="1"/>
        <v>100</v>
      </c>
      <c r="S6" s="217" t="s">
        <v>210</v>
      </c>
      <c r="T6" s="218">
        <f t="shared" si="2"/>
        <v>100</v>
      </c>
      <c r="U6" s="1485"/>
      <c r="V6" s="1487" t="s">
        <v>211</v>
      </c>
      <c r="W6" s="1488"/>
      <c r="X6" s="224">
        <f t="shared" si="3"/>
        <v>1</v>
      </c>
      <c r="Y6" s="224">
        <f t="shared" si="4"/>
        <v>1</v>
      </c>
      <c r="Z6" s="224">
        <f t="shared" si="5"/>
        <v>1</v>
      </c>
    </row>
    <row r="7" spans="1:26" ht="14.25">
      <c r="A7" s="1486" t="s">
        <v>213</v>
      </c>
      <c r="B7" s="843" t="s">
        <v>847</v>
      </c>
      <c r="C7" s="196">
        <v>2</v>
      </c>
      <c r="D7" s="844" t="s">
        <v>848</v>
      </c>
      <c r="E7" s="195">
        <v>100</v>
      </c>
      <c r="F7" s="844" t="s">
        <v>848</v>
      </c>
      <c r="G7" s="872">
        <v>100</v>
      </c>
      <c r="H7" s="844" t="s">
        <v>848</v>
      </c>
      <c r="I7" s="872">
        <v>100</v>
      </c>
      <c r="J7" s="873" t="s">
        <v>874</v>
      </c>
      <c r="K7" s="872">
        <v>100</v>
      </c>
      <c r="L7" s="1485"/>
      <c r="M7" s="1486" t="s">
        <v>213</v>
      </c>
      <c r="N7" s="219" t="str">
        <f t="shared" ref="N7:N25" si="6">B7</f>
        <v>用途</v>
      </c>
      <c r="O7" s="217" t="s">
        <v>210</v>
      </c>
      <c r="P7" s="218">
        <f t="shared" si="0"/>
        <v>100</v>
      </c>
      <c r="Q7" s="217" t="s">
        <v>210</v>
      </c>
      <c r="R7" s="218">
        <f t="shared" si="1"/>
        <v>100</v>
      </c>
      <c r="S7" s="217" t="s">
        <v>210</v>
      </c>
      <c r="T7" s="218">
        <f t="shared" si="2"/>
        <v>100</v>
      </c>
      <c r="U7" s="1485"/>
      <c r="V7" s="1486" t="s">
        <v>213</v>
      </c>
      <c r="W7" s="225" t="str">
        <f t="shared" ref="W7:W25" si="7">N7</f>
        <v>用途</v>
      </c>
      <c r="X7" s="224">
        <f t="shared" si="3"/>
        <v>1</v>
      </c>
      <c r="Y7" s="224">
        <f t="shared" si="4"/>
        <v>1</v>
      </c>
      <c r="Z7" s="224">
        <f t="shared" si="5"/>
        <v>1</v>
      </c>
    </row>
    <row r="8" spans="1:26" ht="14.25">
      <c r="A8" s="1486"/>
      <c r="B8" s="198" t="s">
        <v>216</v>
      </c>
      <c r="C8" s="196"/>
      <c r="D8" s="199" t="e">
        <f>#REF!+10</f>
        <v>#REF!</v>
      </c>
      <c r="E8" s="195">
        <v>100</v>
      </c>
      <c r="F8" s="197" t="s">
        <v>907</v>
      </c>
      <c r="G8" s="872">
        <v>97</v>
      </c>
      <c r="H8" s="197" t="s">
        <v>912</v>
      </c>
      <c r="I8" s="872">
        <v>99</v>
      </c>
      <c r="J8" s="197" t="s">
        <v>917</v>
      </c>
      <c r="K8" s="872">
        <v>100</v>
      </c>
      <c r="L8" s="1485"/>
      <c r="M8" s="1486"/>
      <c r="N8" s="219" t="str">
        <f t="shared" si="6"/>
        <v>土地使用年限</v>
      </c>
      <c r="O8" s="217" t="s">
        <v>210</v>
      </c>
      <c r="P8" s="218">
        <f t="shared" si="0"/>
        <v>97</v>
      </c>
      <c r="Q8" s="217" t="s">
        <v>210</v>
      </c>
      <c r="R8" s="218">
        <f t="shared" si="1"/>
        <v>99</v>
      </c>
      <c r="S8" s="217" t="s">
        <v>210</v>
      </c>
      <c r="T8" s="218">
        <f t="shared" si="2"/>
        <v>100</v>
      </c>
      <c r="U8" s="1485"/>
      <c r="V8" s="1486"/>
      <c r="W8" s="225" t="str">
        <f t="shared" si="7"/>
        <v>土地使用年限</v>
      </c>
      <c r="X8" s="224">
        <f t="shared" si="3"/>
        <v>1.0309278350515463</v>
      </c>
      <c r="Y8" s="224">
        <f t="shared" si="4"/>
        <v>1.0101010101010102</v>
      </c>
      <c r="Z8" s="224">
        <f t="shared" si="5"/>
        <v>1</v>
      </c>
    </row>
    <row r="9" spans="1:26" ht="14.25">
      <c r="A9" s="1486"/>
      <c r="B9" s="198" t="s">
        <v>74</v>
      </c>
      <c r="C9" s="196">
        <v>2</v>
      </c>
      <c r="D9" s="197"/>
      <c r="E9" s="195">
        <v>100</v>
      </c>
      <c r="F9" s="197" t="s">
        <v>926</v>
      </c>
      <c r="G9" s="872">
        <v>100</v>
      </c>
      <c r="H9" s="197" t="s">
        <v>925</v>
      </c>
      <c r="I9" s="872">
        <v>100</v>
      </c>
      <c r="J9" s="197" t="s">
        <v>924</v>
      </c>
      <c r="K9" s="872">
        <v>100</v>
      </c>
      <c r="L9" s="1485"/>
      <c r="M9" s="1486"/>
      <c r="N9" s="219" t="str">
        <f t="shared" si="6"/>
        <v>容积率</v>
      </c>
      <c r="O9" s="217" t="s">
        <v>210</v>
      </c>
      <c r="P9" s="218">
        <f t="shared" si="0"/>
        <v>100</v>
      </c>
      <c r="Q9" s="217" t="s">
        <v>210</v>
      </c>
      <c r="R9" s="218">
        <f t="shared" si="1"/>
        <v>100</v>
      </c>
      <c r="S9" s="217" t="s">
        <v>210</v>
      </c>
      <c r="T9" s="218">
        <f t="shared" si="2"/>
        <v>100</v>
      </c>
      <c r="U9" s="1485"/>
      <c r="V9" s="1486"/>
      <c r="W9" s="225" t="str">
        <f t="shared" si="7"/>
        <v>容积率</v>
      </c>
      <c r="X9" s="224">
        <f t="shared" si="3"/>
        <v>1</v>
      </c>
      <c r="Y9" s="224">
        <f t="shared" si="4"/>
        <v>1</v>
      </c>
      <c r="Z9" s="224">
        <f t="shared" si="5"/>
        <v>1</v>
      </c>
    </row>
    <row r="10" spans="1:26" ht="28.5">
      <c r="A10" s="1495" t="s">
        <v>219</v>
      </c>
      <c r="B10" s="843" t="s">
        <v>849</v>
      </c>
      <c r="C10" s="196">
        <v>2</v>
      </c>
      <c r="D10" s="199" t="e">
        <f>#REF!</f>
        <v>#REF!</v>
      </c>
      <c r="E10" s="195">
        <v>100</v>
      </c>
      <c r="F10" s="197" t="s">
        <v>913</v>
      </c>
      <c r="G10" s="872">
        <v>102</v>
      </c>
      <c r="H10" s="197" t="s">
        <v>913</v>
      </c>
      <c r="I10" s="872">
        <f>G10</f>
        <v>102</v>
      </c>
      <c r="J10" s="197" t="s">
        <v>918</v>
      </c>
      <c r="K10" s="872">
        <f>G10</f>
        <v>102</v>
      </c>
      <c r="L10" s="1485"/>
      <c r="M10" s="1495" t="s">
        <v>219</v>
      </c>
      <c r="N10" s="219" t="str">
        <f t="shared" si="6"/>
        <v>商业繁华度/居住社区成熟度</v>
      </c>
      <c r="O10" s="217" t="s">
        <v>210</v>
      </c>
      <c r="P10" s="218">
        <f t="shared" si="0"/>
        <v>102</v>
      </c>
      <c r="Q10" s="217" t="s">
        <v>210</v>
      </c>
      <c r="R10" s="218">
        <f t="shared" si="1"/>
        <v>102</v>
      </c>
      <c r="S10" s="217" t="s">
        <v>210</v>
      </c>
      <c r="T10" s="218">
        <f t="shared" si="2"/>
        <v>102</v>
      </c>
      <c r="U10" s="1485"/>
      <c r="V10" s="1495" t="s">
        <v>219</v>
      </c>
      <c r="W10" s="226" t="str">
        <f t="shared" si="7"/>
        <v>商业繁华度/居住社区成熟度</v>
      </c>
      <c r="X10" s="224">
        <f t="shared" si="3"/>
        <v>0.98039215686274506</v>
      </c>
      <c r="Y10" s="224">
        <f t="shared" si="4"/>
        <v>0.98039215686274506</v>
      </c>
      <c r="Z10" s="224">
        <f t="shared" si="5"/>
        <v>0.98039215686274506</v>
      </c>
    </row>
    <row r="11" spans="1:26" ht="14.25">
      <c r="A11" s="1496"/>
      <c r="B11" s="198" t="s">
        <v>224</v>
      </c>
      <c r="C11" s="196">
        <v>2</v>
      </c>
      <c r="D11" s="199" t="e">
        <f>#REF!</f>
        <v>#REF!</v>
      </c>
      <c r="E11" s="195">
        <v>100</v>
      </c>
      <c r="F11" s="197" t="s">
        <v>913</v>
      </c>
      <c r="G11" s="872">
        <v>98</v>
      </c>
      <c r="H11" s="844" t="s">
        <v>851</v>
      </c>
      <c r="I11" s="872">
        <f>G11</f>
        <v>98</v>
      </c>
      <c r="J11" s="197" t="s">
        <v>919</v>
      </c>
      <c r="K11" s="872">
        <v>100</v>
      </c>
      <c r="L11" s="1485"/>
      <c r="M11" s="1496"/>
      <c r="N11" s="219" t="str">
        <f t="shared" si="6"/>
        <v>交通便捷度</v>
      </c>
      <c r="O11" s="217" t="s">
        <v>210</v>
      </c>
      <c r="P11" s="218">
        <f t="shared" si="0"/>
        <v>98</v>
      </c>
      <c r="Q11" s="217" t="s">
        <v>210</v>
      </c>
      <c r="R11" s="218">
        <f t="shared" si="1"/>
        <v>98</v>
      </c>
      <c r="S11" s="217" t="s">
        <v>210</v>
      </c>
      <c r="T11" s="218">
        <f t="shared" si="2"/>
        <v>100</v>
      </c>
      <c r="U11" s="1485"/>
      <c r="V11" s="1496"/>
      <c r="W11" s="226" t="str">
        <f t="shared" si="7"/>
        <v>交通便捷度</v>
      </c>
      <c r="X11" s="224">
        <f t="shared" si="3"/>
        <v>1.0204081632653061</v>
      </c>
      <c r="Y11" s="224">
        <f t="shared" si="4"/>
        <v>1.0204081632653061</v>
      </c>
      <c r="Z11" s="224">
        <f t="shared" si="5"/>
        <v>1</v>
      </c>
    </row>
    <row r="12" spans="1:26" ht="14.25">
      <c r="A12" s="1496"/>
      <c r="B12" s="198" t="s">
        <v>664</v>
      </c>
      <c r="C12" s="196">
        <v>2</v>
      </c>
      <c r="D12" s="199" t="s">
        <v>665</v>
      </c>
      <c r="E12" s="195">
        <v>100</v>
      </c>
      <c r="F12" s="197" t="s">
        <v>665</v>
      </c>
      <c r="G12" s="872">
        <v>100</v>
      </c>
      <c r="H12" s="197" t="s">
        <v>665</v>
      </c>
      <c r="I12" s="872">
        <v>100</v>
      </c>
      <c r="J12" s="197" t="s">
        <v>665</v>
      </c>
      <c r="K12" s="872">
        <v>100</v>
      </c>
      <c r="L12" s="1485"/>
      <c r="M12" s="1496"/>
      <c r="N12" s="219" t="str">
        <f t="shared" si="6"/>
        <v>基础设施情况</v>
      </c>
      <c r="O12" s="217" t="s">
        <v>210</v>
      </c>
      <c r="P12" s="218">
        <f t="shared" si="0"/>
        <v>100</v>
      </c>
      <c r="Q12" s="217" t="s">
        <v>210</v>
      </c>
      <c r="R12" s="218">
        <f t="shared" si="1"/>
        <v>100</v>
      </c>
      <c r="S12" s="217" t="s">
        <v>210</v>
      </c>
      <c r="T12" s="218">
        <f t="shared" si="2"/>
        <v>100</v>
      </c>
      <c r="U12" s="1485"/>
      <c r="V12" s="1496"/>
      <c r="W12" s="226" t="str">
        <f t="shared" si="7"/>
        <v>基础设施情况</v>
      </c>
      <c r="X12" s="224">
        <f t="shared" si="3"/>
        <v>1</v>
      </c>
      <c r="Y12" s="224">
        <f t="shared" si="4"/>
        <v>1</v>
      </c>
      <c r="Z12" s="224">
        <f t="shared" si="5"/>
        <v>1</v>
      </c>
    </row>
    <row r="13" spans="1:26" ht="42.75">
      <c r="A13" s="1496"/>
      <c r="B13" s="198" t="s">
        <v>666</v>
      </c>
      <c r="C13" s="196">
        <v>2</v>
      </c>
      <c r="D13" s="853" t="e">
        <f>#REF!</f>
        <v>#REF!</v>
      </c>
      <c r="E13" s="195">
        <v>100</v>
      </c>
      <c r="F13" s="198" t="s">
        <v>908</v>
      </c>
      <c r="G13" s="872">
        <v>99</v>
      </c>
      <c r="H13" s="198" t="s">
        <v>914</v>
      </c>
      <c r="I13" s="872">
        <f>G13</f>
        <v>99</v>
      </c>
      <c r="J13" s="198" t="s">
        <v>920</v>
      </c>
      <c r="K13" s="872">
        <v>101</v>
      </c>
      <c r="L13" s="1485"/>
      <c r="M13" s="1496"/>
      <c r="N13" s="219" t="str">
        <f t="shared" si="6"/>
        <v>临街道路级别</v>
      </c>
      <c r="O13" s="217" t="s">
        <v>210</v>
      </c>
      <c r="P13" s="218">
        <f t="shared" si="0"/>
        <v>99</v>
      </c>
      <c r="Q13" s="217" t="s">
        <v>210</v>
      </c>
      <c r="R13" s="218">
        <f t="shared" si="1"/>
        <v>99</v>
      </c>
      <c r="S13" s="217" t="s">
        <v>210</v>
      </c>
      <c r="T13" s="218">
        <f t="shared" si="2"/>
        <v>101</v>
      </c>
      <c r="U13" s="1485"/>
      <c r="V13" s="1496"/>
      <c r="W13" s="226" t="str">
        <f t="shared" si="7"/>
        <v>临街道路级别</v>
      </c>
      <c r="X13" s="224">
        <f t="shared" si="3"/>
        <v>1.0101010101010102</v>
      </c>
      <c r="Y13" s="224">
        <f t="shared" si="4"/>
        <v>1.0101010101010102</v>
      </c>
      <c r="Z13" s="224">
        <f t="shared" si="5"/>
        <v>0.99009900990099009</v>
      </c>
    </row>
    <row r="14" spans="1:26" ht="28.5">
      <c r="A14" s="1496"/>
      <c r="B14" s="198" t="s">
        <v>667</v>
      </c>
      <c r="C14" s="196">
        <v>2</v>
      </c>
      <c r="D14" s="199" t="e">
        <f>#REF!</f>
        <v>#REF!</v>
      </c>
      <c r="E14" s="195">
        <v>100</v>
      </c>
      <c r="F14" s="197" t="s">
        <v>913</v>
      </c>
      <c r="G14" s="872">
        <v>102</v>
      </c>
      <c r="H14" s="197" t="s">
        <v>909</v>
      </c>
      <c r="I14" s="872">
        <v>100</v>
      </c>
      <c r="J14" s="197" t="s">
        <v>918</v>
      </c>
      <c r="K14" s="872">
        <f>G14</f>
        <v>102</v>
      </c>
      <c r="L14" s="1485"/>
      <c r="M14" s="1496"/>
      <c r="N14" s="219" t="str">
        <f t="shared" si="6"/>
        <v>公共服务设施状况</v>
      </c>
      <c r="O14" s="217" t="s">
        <v>210</v>
      </c>
      <c r="P14" s="218">
        <f t="shared" si="0"/>
        <v>102</v>
      </c>
      <c r="Q14" s="217" t="s">
        <v>210</v>
      </c>
      <c r="R14" s="218">
        <f t="shared" si="1"/>
        <v>100</v>
      </c>
      <c r="S14" s="217" t="s">
        <v>210</v>
      </c>
      <c r="T14" s="218">
        <f t="shared" si="2"/>
        <v>102</v>
      </c>
      <c r="U14" s="1485"/>
      <c r="V14" s="1496"/>
      <c r="W14" s="226" t="str">
        <f t="shared" si="7"/>
        <v>公共服务设施状况</v>
      </c>
      <c r="X14" s="224">
        <f t="shared" si="3"/>
        <v>0.98039215686274506</v>
      </c>
      <c r="Y14" s="224">
        <f t="shared" si="4"/>
        <v>1</v>
      </c>
      <c r="Z14" s="224">
        <f t="shared" si="5"/>
        <v>0.98039215686274506</v>
      </c>
    </row>
    <row r="15" spans="1:26" ht="14.25">
      <c r="A15" s="1496"/>
      <c r="B15" s="198" t="s">
        <v>668</v>
      </c>
      <c r="C15" s="196">
        <v>2</v>
      </c>
      <c r="D15" s="197"/>
      <c r="E15" s="195">
        <v>100</v>
      </c>
      <c r="F15" s="197"/>
      <c r="G15" s="872">
        <v>100</v>
      </c>
      <c r="H15" s="197"/>
      <c r="I15" s="872">
        <v>100</v>
      </c>
      <c r="J15" s="197"/>
      <c r="K15" s="872">
        <v>100</v>
      </c>
      <c r="L15" s="1485"/>
      <c r="M15" s="1496"/>
      <c r="N15" s="219" t="str">
        <f t="shared" si="6"/>
        <v>楼层</v>
      </c>
      <c r="O15" s="217" t="s">
        <v>210</v>
      </c>
      <c r="P15" s="218">
        <f t="shared" si="0"/>
        <v>100</v>
      </c>
      <c r="Q15" s="217" t="s">
        <v>210</v>
      </c>
      <c r="R15" s="218">
        <f t="shared" si="1"/>
        <v>100</v>
      </c>
      <c r="S15" s="217" t="s">
        <v>210</v>
      </c>
      <c r="T15" s="218">
        <f t="shared" si="2"/>
        <v>100</v>
      </c>
      <c r="U15" s="1485"/>
      <c r="V15" s="1496"/>
      <c r="W15" s="226" t="str">
        <f t="shared" si="7"/>
        <v>楼层</v>
      </c>
      <c r="X15" s="224">
        <f t="shared" si="3"/>
        <v>1</v>
      </c>
      <c r="Y15" s="224">
        <f t="shared" si="4"/>
        <v>1</v>
      </c>
      <c r="Z15" s="224">
        <f t="shared" si="5"/>
        <v>1</v>
      </c>
    </row>
    <row r="16" spans="1:26" ht="14.25">
      <c r="A16" s="1496"/>
      <c r="B16" s="198" t="s">
        <v>736</v>
      </c>
      <c r="C16" s="196"/>
      <c r="D16" s="197" t="s">
        <v>239</v>
      </c>
      <c r="E16" s="195">
        <v>100</v>
      </c>
      <c r="F16" s="197"/>
      <c r="G16" s="872">
        <v>100</v>
      </c>
      <c r="H16" s="197"/>
      <c r="I16" s="872">
        <v>100</v>
      </c>
      <c r="J16" s="197"/>
      <c r="K16" s="872">
        <v>100</v>
      </c>
      <c r="L16" s="1485"/>
      <c r="M16" s="1496"/>
      <c r="N16" s="219" t="str">
        <f t="shared" si="6"/>
        <v>所在楼层位置</v>
      </c>
      <c r="O16" s="217" t="s">
        <v>210</v>
      </c>
      <c r="P16" s="218">
        <f t="shared" si="0"/>
        <v>100</v>
      </c>
      <c r="Q16" s="217" t="s">
        <v>210</v>
      </c>
      <c r="R16" s="218">
        <f t="shared" si="1"/>
        <v>100</v>
      </c>
      <c r="S16" s="217" t="s">
        <v>210</v>
      </c>
      <c r="T16" s="218">
        <f t="shared" si="2"/>
        <v>100</v>
      </c>
      <c r="U16" s="1485"/>
      <c r="V16" s="1496"/>
      <c r="W16" s="226" t="str">
        <f t="shared" si="7"/>
        <v>所在楼层位置</v>
      </c>
      <c r="X16" s="224">
        <f t="shared" si="3"/>
        <v>1</v>
      </c>
      <c r="Y16" s="224">
        <f t="shared" si="4"/>
        <v>1</v>
      </c>
      <c r="Z16" s="224">
        <f t="shared" si="5"/>
        <v>1</v>
      </c>
    </row>
    <row r="17" spans="1:26" ht="28.5">
      <c r="A17" s="1497"/>
      <c r="B17" s="198" t="s">
        <v>737</v>
      </c>
      <c r="C17" s="196"/>
      <c r="D17" s="873" t="s">
        <v>875</v>
      </c>
      <c r="E17" s="874">
        <v>100</v>
      </c>
      <c r="F17" s="873" t="s">
        <v>875</v>
      </c>
      <c r="G17" s="874">
        <v>100</v>
      </c>
      <c r="H17" s="873" t="s">
        <v>875</v>
      </c>
      <c r="I17" s="874">
        <v>100</v>
      </c>
      <c r="J17" s="873" t="s">
        <v>875</v>
      </c>
      <c r="K17" s="874">
        <v>100</v>
      </c>
      <c r="L17" s="1485"/>
      <c r="M17" s="1497"/>
      <c r="N17" s="219" t="str">
        <f t="shared" si="6"/>
        <v>周边有无公共停车场</v>
      </c>
      <c r="O17" s="217" t="s">
        <v>210</v>
      </c>
      <c r="P17" s="218">
        <f t="shared" si="0"/>
        <v>100</v>
      </c>
      <c r="Q17" s="217" t="s">
        <v>210</v>
      </c>
      <c r="R17" s="218">
        <f t="shared" si="1"/>
        <v>100</v>
      </c>
      <c r="S17" s="217" t="s">
        <v>210</v>
      </c>
      <c r="T17" s="218">
        <f t="shared" si="2"/>
        <v>100</v>
      </c>
      <c r="U17" s="1485"/>
      <c r="V17" s="1497"/>
      <c r="W17" s="226" t="str">
        <f t="shared" si="7"/>
        <v>周边有无公共停车场</v>
      </c>
      <c r="X17" s="224">
        <f t="shared" si="3"/>
        <v>1</v>
      </c>
      <c r="Y17" s="224">
        <f t="shared" si="4"/>
        <v>1</v>
      </c>
      <c r="Z17" s="224">
        <f t="shared" si="5"/>
        <v>1</v>
      </c>
    </row>
    <row r="18" spans="1:26" ht="28.5">
      <c r="A18" s="1498" t="s">
        <v>230</v>
      </c>
      <c r="B18" s="198" t="s">
        <v>738</v>
      </c>
      <c r="C18" s="196">
        <v>3</v>
      </c>
      <c r="D18" s="846" t="s">
        <v>844</v>
      </c>
      <c r="E18" s="195">
        <v>100</v>
      </c>
      <c r="F18" s="846" t="s">
        <v>867</v>
      </c>
      <c r="G18" s="872">
        <v>95</v>
      </c>
      <c r="H18" s="846" t="s">
        <v>867</v>
      </c>
      <c r="I18" s="872">
        <f>G18</f>
        <v>95</v>
      </c>
      <c r="J18" s="846" t="s">
        <v>867</v>
      </c>
      <c r="K18" s="872">
        <f>G18</f>
        <v>95</v>
      </c>
      <c r="L18" s="1485"/>
      <c r="M18" s="1498" t="s">
        <v>230</v>
      </c>
      <c r="N18" s="219" t="str">
        <f t="shared" si="6"/>
        <v>配套类型（地上主用途）</v>
      </c>
      <c r="O18" s="217" t="s">
        <v>210</v>
      </c>
      <c r="P18" s="218">
        <f t="shared" si="0"/>
        <v>95</v>
      </c>
      <c r="Q18" s="217" t="s">
        <v>210</v>
      </c>
      <c r="R18" s="218">
        <f t="shared" si="1"/>
        <v>95</v>
      </c>
      <c r="S18" s="217" t="s">
        <v>210</v>
      </c>
      <c r="T18" s="218">
        <f t="shared" si="2"/>
        <v>95</v>
      </c>
      <c r="U18" s="1485"/>
      <c r="V18" s="1498" t="s">
        <v>230</v>
      </c>
      <c r="W18" s="226" t="str">
        <f t="shared" si="7"/>
        <v>配套类型（地上主用途）</v>
      </c>
      <c r="X18" s="224">
        <f t="shared" si="3"/>
        <v>1.0526315789473684</v>
      </c>
      <c r="Y18" s="224">
        <f t="shared" si="4"/>
        <v>1.0526315789473684</v>
      </c>
      <c r="Z18" s="224">
        <f t="shared" si="5"/>
        <v>1.0526315789473684</v>
      </c>
    </row>
    <row r="19" spans="1:26" ht="42.75">
      <c r="A19" s="1498"/>
      <c r="B19" s="965" t="s">
        <v>739</v>
      </c>
      <c r="C19" s="966">
        <v>2</v>
      </c>
      <c r="D19" s="967" t="s">
        <v>1053</v>
      </c>
      <c r="E19" s="968">
        <v>100</v>
      </c>
      <c r="F19" s="969">
        <f>E34</f>
        <v>34.710940000000001</v>
      </c>
      <c r="G19" s="968">
        <v>100</v>
      </c>
      <c r="H19" s="969">
        <f>G34/5</f>
        <v>29.95</v>
      </c>
      <c r="I19" s="968">
        <v>100</v>
      </c>
      <c r="J19" s="969">
        <f>I34/I35</f>
        <v>33.37012</v>
      </c>
      <c r="K19" s="968">
        <v>100</v>
      </c>
      <c r="L19" s="1485"/>
      <c r="M19" s="1498"/>
      <c r="N19" s="219" t="str">
        <f t="shared" si="6"/>
        <v>停车位面积（以单车位价格比较时暂不修正）</v>
      </c>
      <c r="O19" s="217" t="s">
        <v>210</v>
      </c>
      <c r="P19" s="218">
        <f t="shared" si="0"/>
        <v>100</v>
      </c>
      <c r="Q19" s="217" t="s">
        <v>210</v>
      </c>
      <c r="R19" s="218">
        <f t="shared" si="1"/>
        <v>100</v>
      </c>
      <c r="S19" s="217" t="s">
        <v>210</v>
      </c>
      <c r="T19" s="218">
        <f t="shared" si="2"/>
        <v>100</v>
      </c>
      <c r="U19" s="1485"/>
      <c r="V19" s="1498"/>
      <c r="W19" s="226" t="str">
        <f t="shared" si="7"/>
        <v>停车位面积（以单车位价格比较时暂不修正）</v>
      </c>
      <c r="X19" s="224">
        <f t="shared" si="3"/>
        <v>1</v>
      </c>
      <c r="Y19" s="224">
        <f t="shared" si="4"/>
        <v>1</v>
      </c>
      <c r="Z19" s="224">
        <f t="shared" si="5"/>
        <v>1</v>
      </c>
    </row>
    <row r="20" spans="1:26" ht="28.5">
      <c r="A20" s="1498"/>
      <c r="B20" s="198" t="s">
        <v>740</v>
      </c>
      <c r="C20" s="196">
        <v>2</v>
      </c>
      <c r="D20" s="200" t="s">
        <v>741</v>
      </c>
      <c r="E20" s="195">
        <v>100</v>
      </c>
      <c r="F20" s="200" t="s">
        <v>741</v>
      </c>
      <c r="G20" s="872">
        <v>100</v>
      </c>
      <c r="H20" s="200" t="s">
        <v>741</v>
      </c>
      <c r="I20" s="872">
        <v>100</v>
      </c>
      <c r="J20" s="200" t="s">
        <v>741</v>
      </c>
      <c r="K20" s="872">
        <v>100</v>
      </c>
      <c r="L20" s="1485"/>
      <c r="M20" s="1498"/>
      <c r="N20" s="219" t="str">
        <f t="shared" si="6"/>
        <v>车位类型（平面、立体）</v>
      </c>
      <c r="O20" s="217" t="s">
        <v>210</v>
      </c>
      <c r="P20" s="218">
        <f t="shared" si="0"/>
        <v>100</v>
      </c>
      <c r="Q20" s="217" t="s">
        <v>210</v>
      </c>
      <c r="R20" s="218">
        <f t="shared" si="1"/>
        <v>100</v>
      </c>
      <c r="S20" s="217" t="s">
        <v>210</v>
      </c>
      <c r="T20" s="218">
        <f t="shared" si="2"/>
        <v>100</v>
      </c>
      <c r="U20" s="1485"/>
      <c r="V20" s="1498"/>
      <c r="W20" s="226" t="str">
        <f t="shared" si="7"/>
        <v>车位类型（平面、立体）</v>
      </c>
      <c r="X20" s="224">
        <f t="shared" si="3"/>
        <v>1</v>
      </c>
      <c r="Y20" s="224">
        <f t="shared" si="4"/>
        <v>1</v>
      </c>
      <c r="Z20" s="224">
        <f t="shared" si="5"/>
        <v>1</v>
      </c>
    </row>
    <row r="21" spans="1:26" ht="14.25">
      <c r="A21" s="1498"/>
      <c r="B21" s="198" t="s">
        <v>742</v>
      </c>
      <c r="C21" s="196">
        <v>2</v>
      </c>
      <c r="D21" s="844" t="s">
        <v>850</v>
      </c>
      <c r="E21" s="195">
        <v>100</v>
      </c>
      <c r="F21" s="197" t="s">
        <v>909</v>
      </c>
      <c r="G21" s="872">
        <v>99</v>
      </c>
      <c r="H21" s="197" t="s">
        <v>909</v>
      </c>
      <c r="I21" s="872">
        <f>G21</f>
        <v>99</v>
      </c>
      <c r="J21" s="197" t="s">
        <v>921</v>
      </c>
      <c r="K21" s="872">
        <v>100</v>
      </c>
      <c r="L21" s="1485"/>
      <c r="M21" s="1498"/>
      <c r="N21" s="219" t="str">
        <f t="shared" si="6"/>
        <v>项目停车位配比</v>
      </c>
      <c r="O21" s="220" t="s">
        <v>210</v>
      </c>
      <c r="P21" s="221">
        <f t="shared" si="0"/>
        <v>99</v>
      </c>
      <c r="Q21" s="220" t="s">
        <v>210</v>
      </c>
      <c r="R21" s="221">
        <f t="shared" si="1"/>
        <v>99</v>
      </c>
      <c r="S21" s="220" t="s">
        <v>210</v>
      </c>
      <c r="T21" s="221">
        <f t="shared" si="2"/>
        <v>100</v>
      </c>
      <c r="U21" s="1485"/>
      <c r="V21" s="1498"/>
      <c r="W21" s="227" t="str">
        <f t="shared" si="7"/>
        <v>项目停车位配比</v>
      </c>
      <c r="X21" s="228">
        <f t="shared" si="3"/>
        <v>1.0101010101010102</v>
      </c>
      <c r="Y21" s="228">
        <f t="shared" si="4"/>
        <v>1.0101010101010102</v>
      </c>
      <c r="Z21" s="228">
        <f t="shared" si="5"/>
        <v>1</v>
      </c>
    </row>
    <row r="22" spans="1:26" ht="28.5">
      <c r="A22" s="1498"/>
      <c r="B22" s="198" t="s">
        <v>743</v>
      </c>
      <c r="C22" s="196">
        <v>2</v>
      </c>
      <c r="D22" s="854" t="s">
        <v>851</v>
      </c>
      <c r="E22" s="195">
        <v>100</v>
      </c>
      <c r="F22" s="844" t="s">
        <v>851</v>
      </c>
      <c r="G22" s="872">
        <v>100</v>
      </c>
      <c r="H22" s="844" t="s">
        <v>851</v>
      </c>
      <c r="I22" s="872">
        <v>100</v>
      </c>
      <c r="J22" s="844" t="s">
        <v>851</v>
      </c>
      <c r="K22" s="872">
        <v>100</v>
      </c>
      <c r="L22" s="1485"/>
      <c r="M22" s="1498"/>
      <c r="N22" s="219" t="str">
        <f t="shared" si="6"/>
        <v>停车安全设施设备</v>
      </c>
      <c r="O22" s="217" t="s">
        <v>210</v>
      </c>
      <c r="P22" s="218">
        <f t="shared" si="0"/>
        <v>100</v>
      </c>
      <c r="Q22" s="217" t="s">
        <v>210</v>
      </c>
      <c r="R22" s="218">
        <f t="shared" si="1"/>
        <v>100</v>
      </c>
      <c r="S22" s="217" t="s">
        <v>210</v>
      </c>
      <c r="T22" s="218">
        <f t="shared" si="2"/>
        <v>100</v>
      </c>
      <c r="U22" s="1485"/>
      <c r="V22" s="1498"/>
      <c r="W22" s="226" t="str">
        <f t="shared" si="7"/>
        <v>停车安全设施设备</v>
      </c>
      <c r="X22" s="224">
        <f t="shared" si="3"/>
        <v>1</v>
      </c>
      <c r="Y22" s="224">
        <f t="shared" si="4"/>
        <v>1</v>
      </c>
      <c r="Z22" s="224">
        <f t="shared" si="5"/>
        <v>1</v>
      </c>
    </row>
    <row r="23" spans="1:26" ht="14.25">
      <c r="A23" s="1498"/>
      <c r="C23" s="196">
        <v>2</v>
      </c>
      <c r="D23" s="201"/>
      <c r="E23" s="195">
        <v>100</v>
      </c>
      <c r="F23" s="197"/>
      <c r="G23" s="872">
        <v>100</v>
      </c>
      <c r="H23" s="197"/>
      <c r="I23" s="872">
        <v>100</v>
      </c>
      <c r="J23" s="197"/>
      <c r="K23" s="872">
        <v>100</v>
      </c>
      <c r="L23" s="1485"/>
      <c r="M23" s="1498"/>
      <c r="N23" s="219">
        <f t="shared" si="6"/>
        <v>0</v>
      </c>
      <c r="O23" s="217" t="s">
        <v>210</v>
      </c>
      <c r="P23" s="218">
        <f t="shared" si="0"/>
        <v>100</v>
      </c>
      <c r="Q23" s="217" t="s">
        <v>210</v>
      </c>
      <c r="R23" s="218">
        <f t="shared" si="1"/>
        <v>100</v>
      </c>
      <c r="S23" s="217" t="s">
        <v>210</v>
      </c>
      <c r="T23" s="218">
        <f t="shared" si="2"/>
        <v>100</v>
      </c>
      <c r="U23" s="1485"/>
      <c r="V23" s="1498"/>
      <c r="W23" s="226">
        <f t="shared" si="7"/>
        <v>0</v>
      </c>
      <c r="X23" s="224">
        <f t="shared" si="3"/>
        <v>1</v>
      </c>
      <c r="Y23" s="224">
        <f t="shared" si="4"/>
        <v>1</v>
      </c>
      <c r="Z23" s="224">
        <f t="shared" si="5"/>
        <v>1</v>
      </c>
    </row>
    <row r="24" spans="1:26" ht="14.25">
      <c r="A24" s="1498"/>
      <c r="B24" s="202"/>
      <c r="C24" s="196">
        <v>2</v>
      </c>
      <c r="D24" s="197"/>
      <c r="E24" s="195">
        <v>100</v>
      </c>
      <c r="F24" s="197"/>
      <c r="G24" s="872">
        <v>100</v>
      </c>
      <c r="H24" s="197"/>
      <c r="I24" s="872">
        <v>100</v>
      </c>
      <c r="J24" s="197"/>
      <c r="K24" s="872">
        <v>100</v>
      </c>
      <c r="L24" s="1485"/>
      <c r="M24" s="1498"/>
      <c r="N24" s="219">
        <f t="shared" si="6"/>
        <v>0</v>
      </c>
      <c r="O24" s="217" t="s">
        <v>210</v>
      </c>
      <c r="P24" s="218">
        <f t="shared" si="0"/>
        <v>100</v>
      </c>
      <c r="Q24" s="217" t="s">
        <v>210</v>
      </c>
      <c r="R24" s="218">
        <f t="shared" si="1"/>
        <v>100</v>
      </c>
      <c r="S24" s="217" t="s">
        <v>210</v>
      </c>
      <c r="T24" s="218">
        <f t="shared" si="2"/>
        <v>100</v>
      </c>
      <c r="U24" s="1485"/>
      <c r="V24" s="1498"/>
      <c r="W24" s="226">
        <f t="shared" si="7"/>
        <v>0</v>
      </c>
      <c r="X24" s="224">
        <f t="shared" si="3"/>
        <v>1</v>
      </c>
      <c r="Y24" s="224">
        <f t="shared" si="4"/>
        <v>1</v>
      </c>
      <c r="Z24" s="224">
        <f t="shared" si="5"/>
        <v>1</v>
      </c>
    </row>
    <row r="25" spans="1:26" ht="14.25">
      <c r="A25" s="1498"/>
      <c r="B25" s="203"/>
      <c r="C25" s="196"/>
      <c r="D25" s="197"/>
      <c r="E25" s="195">
        <v>100</v>
      </c>
      <c r="F25" s="197"/>
      <c r="G25" s="872">
        <v>100</v>
      </c>
      <c r="H25" s="197"/>
      <c r="I25" s="872">
        <v>100</v>
      </c>
      <c r="J25" s="197"/>
      <c r="K25" s="872">
        <v>100</v>
      </c>
      <c r="L25" s="1485"/>
      <c r="M25" s="1498"/>
      <c r="N25" s="219">
        <f t="shared" si="6"/>
        <v>0</v>
      </c>
      <c r="O25" s="217" t="s">
        <v>210</v>
      </c>
      <c r="P25" s="218">
        <f t="shared" si="0"/>
        <v>100</v>
      </c>
      <c r="Q25" s="217" t="s">
        <v>210</v>
      </c>
      <c r="R25" s="218">
        <f t="shared" si="1"/>
        <v>100</v>
      </c>
      <c r="S25" s="217" t="s">
        <v>210</v>
      </c>
      <c r="T25" s="218">
        <f t="shared" si="2"/>
        <v>100</v>
      </c>
      <c r="U25" s="1485"/>
      <c r="V25" s="1498"/>
      <c r="W25" s="226">
        <f t="shared" si="7"/>
        <v>0</v>
      </c>
      <c r="X25" s="224">
        <f t="shared" si="3"/>
        <v>1</v>
      </c>
      <c r="Y25" s="224">
        <f t="shared" si="4"/>
        <v>1</v>
      </c>
      <c r="Z25" s="224">
        <f t="shared" si="5"/>
        <v>1</v>
      </c>
    </row>
    <row r="26" spans="1:26" ht="14.25">
      <c r="A26" s="204"/>
      <c r="B26" s="204"/>
      <c r="C26" s="205"/>
      <c r="D26" s="204"/>
      <c r="E26" s="204"/>
      <c r="F26" s="868">
        <v>1</v>
      </c>
      <c r="G26" s="204"/>
      <c r="H26" s="204">
        <v>2</v>
      </c>
      <c r="I26" s="204"/>
      <c r="J26" s="222">
        <v>1</v>
      </c>
      <c r="K26" s="222"/>
      <c r="L26" s="223"/>
      <c r="M26" s="1500" t="s">
        <v>744</v>
      </c>
      <c r="N26" s="1501"/>
      <c r="O26" s="1493">
        <v>5433</v>
      </c>
      <c r="P26" s="1494"/>
      <c r="Q26" s="1493">
        <v>6010</v>
      </c>
      <c r="R26" s="1494"/>
      <c r="S26" s="1493">
        <v>6762</v>
      </c>
      <c r="T26" s="1494"/>
      <c r="U26" s="223"/>
      <c r="V26" s="204"/>
      <c r="W26" s="204"/>
      <c r="X26" s="204"/>
      <c r="Y26" s="204"/>
      <c r="Z26" s="204"/>
    </row>
    <row r="27" spans="1:26" ht="14.25">
      <c r="A27" s="204"/>
      <c r="B27" s="205" t="s">
        <v>669</v>
      </c>
      <c r="C27" s="205"/>
      <c r="D27" s="205"/>
      <c r="E27" s="205"/>
      <c r="F27" s="205" t="s">
        <v>906</v>
      </c>
      <c r="G27" s="205"/>
      <c r="H27" s="205" t="s">
        <v>911</v>
      </c>
      <c r="I27" s="205"/>
      <c r="J27" s="222" t="s">
        <v>916</v>
      </c>
      <c r="K27" s="222"/>
      <c r="L27" s="223"/>
      <c r="M27" s="1500" t="s">
        <v>670</v>
      </c>
      <c r="N27" s="1501"/>
      <c r="O27" s="1502">
        <f>ROUND(O26*X5*X6*X7*X8*X9*X10*X11*X12*X13*X14*X15*X16*X17*X18*X19*X20*X21*X22*X23*X24*X25,0)</f>
        <v>5930</v>
      </c>
      <c r="P27" s="1502"/>
      <c r="Q27" s="1502">
        <f>ROUND(Q26*Y5*Y6*Y7*Y8*Y9*Y10*Y11*Y12*Y13*Y14*Y15*Y16*Y17*Y18*Y19*Y20*Y21*Y22*Y23*Y24*Y25,0)</f>
        <v>6588</v>
      </c>
      <c r="R27" s="1502"/>
      <c r="S27" s="1502">
        <f>ROUND(S26*Z5*Z6*Z7*Z8*Z9*Z10*Z11*Z12*Z13*Z14*Z15*Z16*Z17*Z18*Z19*Z20*Z21*Z22*Z23*Z24*Z25,0)</f>
        <v>6808</v>
      </c>
      <c r="T27" s="1502"/>
      <c r="U27" s="223"/>
      <c r="V27" s="204"/>
      <c r="W27" s="204"/>
      <c r="X27" s="204"/>
      <c r="Y27" s="204"/>
      <c r="Z27" s="204"/>
    </row>
    <row r="28" spans="1:26" ht="14.25">
      <c r="A28" s="204"/>
      <c r="B28" s="206" t="s">
        <v>208</v>
      </c>
      <c r="C28" s="206"/>
      <c r="D28" s="206" t="s">
        <v>70</v>
      </c>
      <c r="E28" s="206"/>
      <c r="F28" s="206" t="s">
        <v>216</v>
      </c>
      <c r="G28" s="206"/>
      <c r="H28" s="1509" t="s">
        <v>74</v>
      </c>
      <c r="I28" s="1509"/>
      <c r="J28" s="1510"/>
      <c r="K28" s="1510"/>
      <c r="L28" s="223"/>
      <c r="M28" s="1503" t="s">
        <v>671</v>
      </c>
      <c r="N28" s="1503"/>
      <c r="O28" s="1504">
        <f>ROUND(AVERAGE(O27:S27),0)</f>
        <v>6442</v>
      </c>
      <c r="P28" s="1504"/>
      <c r="Q28" s="1504"/>
      <c r="R28" s="1504"/>
      <c r="S28" s="1504"/>
      <c r="T28" s="1504"/>
      <c r="U28" s="223"/>
      <c r="V28" s="204"/>
      <c r="W28" s="204"/>
      <c r="X28" s="204"/>
      <c r="Y28" s="204"/>
      <c r="Z28" s="204"/>
    </row>
    <row r="29" spans="1:26" ht="14.25">
      <c r="A29" s="204"/>
      <c r="B29" s="205"/>
      <c r="C29" s="205"/>
      <c r="D29" s="205"/>
      <c r="E29" s="205"/>
      <c r="F29" s="207" t="s">
        <v>672</v>
      </c>
      <c r="G29" s="205"/>
      <c r="H29" s="208" t="s">
        <v>745</v>
      </c>
      <c r="I29" s="207">
        <v>102</v>
      </c>
      <c r="J29" s="222"/>
      <c r="K29" s="222"/>
      <c r="L29" s="223"/>
      <c r="M29" s="1480" t="s">
        <v>1049</v>
      </c>
      <c r="N29" s="1480"/>
      <c r="O29" s="1522" t="e">
        <f>#REF!</f>
        <v>#REF!</v>
      </c>
      <c r="P29" s="1522"/>
      <c r="Q29" s="1522"/>
      <c r="R29" s="1522"/>
      <c r="S29" s="1522"/>
      <c r="T29" s="1522"/>
      <c r="U29" s="223"/>
      <c r="V29" s="204"/>
      <c r="W29" s="204"/>
      <c r="X29" s="204"/>
      <c r="Y29" s="204"/>
      <c r="Z29" s="204"/>
    </row>
    <row r="30" spans="1:26" ht="14.25">
      <c r="A30" s="204"/>
      <c r="B30" s="205"/>
      <c r="C30" s="205"/>
      <c r="D30" s="205"/>
      <c r="E30" s="205"/>
      <c r="F30" s="207" t="s">
        <v>673</v>
      </c>
      <c r="G30" s="205"/>
      <c r="H30" s="207" t="s">
        <v>746</v>
      </c>
      <c r="I30" s="207">
        <v>100</v>
      </c>
      <c r="J30" s="222"/>
      <c r="K30" s="222"/>
      <c r="L30" s="223"/>
      <c r="M30" s="1480" t="s">
        <v>674</v>
      </c>
      <c r="N30" s="1480"/>
      <c r="O30" s="1480" t="e">
        <f>ROUND(O28*O29/10000,0)</f>
        <v>#REF!</v>
      </c>
      <c r="P30" s="1480"/>
      <c r="Q30" s="1480"/>
      <c r="R30" s="1480"/>
      <c r="S30" s="1480"/>
      <c r="T30" s="1480"/>
      <c r="U30" s="223"/>
      <c r="V30" s="204"/>
      <c r="W30" s="204"/>
      <c r="X30" s="204"/>
      <c r="Y30" s="204"/>
      <c r="Z30" s="204"/>
    </row>
    <row r="31" spans="1:26" ht="14.25">
      <c r="A31" s="204"/>
      <c r="B31" s="205"/>
      <c r="C31" s="205"/>
      <c r="D31" s="205"/>
      <c r="E31" s="205"/>
      <c r="F31" s="207" t="s">
        <v>675</v>
      </c>
      <c r="G31" s="205"/>
      <c r="H31" s="207" t="s">
        <v>747</v>
      </c>
      <c r="I31" s="207">
        <v>98</v>
      </c>
      <c r="J31" s="222"/>
      <c r="K31" s="222"/>
      <c r="L31" s="223"/>
      <c r="M31" s="1481" t="s">
        <v>662</v>
      </c>
      <c r="N31" s="1481"/>
      <c r="O31" s="1499">
        <f>O27/O26-1</f>
        <v>9.1478004785569667E-2</v>
      </c>
      <c r="P31" s="1499"/>
      <c r="Q31" s="1499">
        <f>Q27/Q26-1</f>
        <v>9.6173044925124795E-2</v>
      </c>
      <c r="R31" s="1499"/>
      <c r="S31" s="1499">
        <f>S27/S26-1</f>
        <v>6.8027210884353817E-3</v>
      </c>
      <c r="T31" s="1499"/>
      <c r="U31" s="223"/>
      <c r="V31" s="204"/>
      <c r="W31" s="204"/>
      <c r="X31" s="204"/>
      <c r="Y31" s="204"/>
      <c r="Z31" s="204"/>
    </row>
    <row r="32" spans="1:26" ht="14.25">
      <c r="A32" s="209"/>
      <c r="B32" s="209"/>
      <c r="C32" s="209"/>
      <c r="D32" s="209"/>
      <c r="E32" s="209"/>
      <c r="F32" s="209"/>
      <c r="G32" s="209"/>
      <c r="H32" s="209"/>
      <c r="I32" s="209"/>
      <c r="J32" s="209"/>
      <c r="K32" s="209"/>
      <c r="L32" s="209"/>
      <c r="M32" s="209"/>
      <c r="N32" s="209"/>
      <c r="O32" s="1499">
        <f>O26/O27-1</f>
        <v>-8.381112984822936E-2</v>
      </c>
      <c r="P32" s="1499"/>
      <c r="Q32" s="1499">
        <f>Q26/Q27-1</f>
        <v>-8.7735276259866435E-2</v>
      </c>
      <c r="R32" s="1499"/>
      <c r="S32" s="1499">
        <f>S26/S27-1</f>
        <v>-6.7567567567567988E-3</v>
      </c>
      <c r="T32" s="1499"/>
      <c r="U32" s="209"/>
      <c r="V32" s="209"/>
      <c r="W32" s="209"/>
      <c r="X32" s="209"/>
      <c r="Y32" s="209"/>
      <c r="Z32" s="209"/>
    </row>
    <row r="33" spans="1:30" ht="14.25">
      <c r="A33" s="1505" t="s">
        <v>748</v>
      </c>
      <c r="B33" s="867" t="s">
        <v>870</v>
      </c>
      <c r="C33" s="210"/>
      <c r="D33" s="210" t="s">
        <v>749</v>
      </c>
      <c r="E33" s="211">
        <f>O41</f>
        <v>5432.7079999999996</v>
      </c>
      <c r="F33" s="212"/>
      <c r="G33" s="211">
        <f>R46</f>
        <v>6010</v>
      </c>
      <c r="H33" s="211"/>
      <c r="I33" s="211">
        <f>L47</f>
        <v>6762.3980000000001</v>
      </c>
      <c r="J33" s="209"/>
      <c r="K33" s="209"/>
      <c r="L33" s="209"/>
      <c r="M33" s="209"/>
      <c r="N33" s="209"/>
      <c r="O33" s="1499">
        <f>1-Q26/O26</f>
        <v>-0.10620283452972568</v>
      </c>
      <c r="P33" s="1499"/>
      <c r="Q33" s="1499">
        <f>1-O26/Q26</f>
        <v>9.6006655574043309E-2</v>
      </c>
      <c r="R33" s="1499"/>
      <c r="S33" s="1499">
        <f>1-O26/S26</f>
        <v>0.19653948535936117</v>
      </c>
      <c r="T33" s="1499"/>
      <c r="U33" s="209"/>
      <c r="V33" s="209"/>
      <c r="W33" s="209"/>
      <c r="X33" s="209"/>
      <c r="Y33" s="209"/>
      <c r="Z33" s="209"/>
    </row>
    <row r="34" spans="1:30" ht="24">
      <c r="A34" s="1505"/>
      <c r="B34" s="869">
        <v>5.0000000000000001E-3</v>
      </c>
      <c r="C34" s="210"/>
      <c r="D34" s="210" t="s">
        <v>750</v>
      </c>
      <c r="E34" s="211">
        <f>N41</f>
        <v>34.710940000000001</v>
      </c>
      <c r="F34" s="213"/>
      <c r="G34" s="211">
        <f>Q46</f>
        <v>149.75</v>
      </c>
      <c r="H34" s="211"/>
      <c r="I34" s="211">
        <f>K47</f>
        <v>166.85059999999999</v>
      </c>
      <c r="J34" s="209"/>
      <c r="K34" s="209"/>
      <c r="L34" s="963" t="s">
        <v>1050</v>
      </c>
      <c r="M34" s="963" t="e">
        <f>#REF!</f>
        <v>#REF!</v>
      </c>
      <c r="N34" s="209"/>
      <c r="O34" s="1499">
        <f>1-S26/O26</f>
        <v>-0.24461623412479283</v>
      </c>
      <c r="P34" s="1499"/>
      <c r="Q34" s="1499">
        <f>1-S26/Q26</f>
        <v>-0.12512479201331117</v>
      </c>
      <c r="R34" s="1499"/>
      <c r="S34" s="1499">
        <f>1-Q26/S26</f>
        <v>0.11120970127181307</v>
      </c>
      <c r="T34" s="1499"/>
      <c r="U34" s="209"/>
      <c r="V34" s="209"/>
      <c r="W34" s="209"/>
      <c r="X34" s="209"/>
      <c r="Y34" s="209"/>
      <c r="Z34" s="209"/>
    </row>
    <row r="35" spans="1:30" ht="24">
      <c r="A35" s="1505"/>
      <c r="B35" s="214"/>
      <c r="C35" s="215"/>
      <c r="D35" s="210" t="s">
        <v>751</v>
      </c>
      <c r="E35" s="211">
        <f>M41</f>
        <v>1</v>
      </c>
      <c r="F35" s="213"/>
      <c r="G35" s="211">
        <f>P46</f>
        <v>5</v>
      </c>
      <c r="H35" s="211"/>
      <c r="I35" s="211">
        <f>J47</f>
        <v>5</v>
      </c>
      <c r="J35" s="209"/>
      <c r="K35" s="209"/>
      <c r="L35" s="963" t="s">
        <v>1051</v>
      </c>
      <c r="M35" s="963">
        <v>35</v>
      </c>
      <c r="N35" s="209"/>
      <c r="O35" s="209"/>
      <c r="P35" s="209"/>
      <c r="Q35" s="209"/>
      <c r="R35" s="209"/>
      <c r="S35" s="209"/>
      <c r="T35" s="209"/>
      <c r="U35" s="209"/>
      <c r="V35" s="209"/>
      <c r="W35" s="209"/>
      <c r="X35" s="209"/>
      <c r="Y35" s="209"/>
      <c r="Z35" s="209"/>
    </row>
    <row r="36" spans="1:30" ht="24">
      <c r="A36" s="1505"/>
      <c r="B36" s="215"/>
      <c r="C36" s="210"/>
      <c r="D36" s="210" t="s">
        <v>752</v>
      </c>
      <c r="E36" s="216">
        <f>E33*E34/E35</f>
        <v>188574.40142551999</v>
      </c>
      <c r="F36" s="216"/>
      <c r="G36" s="216">
        <f>G33*G34/G35</f>
        <v>179999.5</v>
      </c>
      <c r="H36" s="216"/>
      <c r="I36" s="216">
        <f>I33*I34/I35</f>
        <v>225662.03274776001</v>
      </c>
      <c r="J36" s="209"/>
      <c r="K36" s="209"/>
      <c r="L36" s="963" t="s">
        <v>1052</v>
      </c>
      <c r="M36" s="963" t="e">
        <f>M34/M35</f>
        <v>#REF!</v>
      </c>
      <c r="N36" s="209"/>
      <c r="O36" s="209"/>
      <c r="P36" s="209"/>
      <c r="Q36" s="209"/>
      <c r="R36" s="209"/>
      <c r="S36" s="209"/>
      <c r="T36" s="209"/>
      <c r="U36" s="209"/>
      <c r="V36" s="209"/>
      <c r="W36" s="209"/>
      <c r="X36" s="209"/>
      <c r="Y36" s="209"/>
      <c r="Z36" s="209"/>
    </row>
    <row r="38" spans="1:30" ht="14.25" thickBot="1"/>
    <row r="39" spans="1:30" ht="54.75" customHeight="1" thickBot="1">
      <c r="A39" s="858" t="s">
        <v>876</v>
      </c>
      <c r="B39" s="859" t="s">
        <v>687</v>
      </c>
      <c r="C39" s="859" t="s">
        <v>753</v>
      </c>
      <c r="D39" s="859" t="s">
        <v>214</v>
      </c>
      <c r="E39" s="859" t="s">
        <v>754</v>
      </c>
      <c r="F39" s="859" t="s">
        <v>755</v>
      </c>
      <c r="G39" s="859" t="s">
        <v>756</v>
      </c>
      <c r="H39" s="859" t="s">
        <v>757</v>
      </c>
      <c r="I39" s="859" t="s">
        <v>758</v>
      </c>
      <c r="J39" s="859" t="s">
        <v>855</v>
      </c>
      <c r="K39" s="859" t="s">
        <v>856</v>
      </c>
      <c r="L39" s="859" t="s">
        <v>857</v>
      </c>
      <c r="M39" s="859" t="s">
        <v>858</v>
      </c>
      <c r="N39" s="859" t="s">
        <v>859</v>
      </c>
      <c r="O39" s="859" t="s">
        <v>860</v>
      </c>
      <c r="P39" s="859" t="s">
        <v>861</v>
      </c>
      <c r="Q39" s="859" t="s">
        <v>862</v>
      </c>
      <c r="R39" s="859" t="s">
        <v>863</v>
      </c>
      <c r="S39" s="859" t="s">
        <v>864</v>
      </c>
      <c r="T39" s="859" t="s">
        <v>865</v>
      </c>
      <c r="U39" s="860" t="s">
        <v>866</v>
      </c>
    </row>
    <row r="40" spans="1:30" s="866" customFormat="1" ht="68.25" thickBot="1">
      <c r="A40" s="855">
        <v>744</v>
      </c>
      <c r="B40" s="856" t="s">
        <v>877</v>
      </c>
      <c r="C40" s="856" t="s">
        <v>878</v>
      </c>
      <c r="D40" s="856" t="s">
        <v>72</v>
      </c>
      <c r="E40" s="856">
        <v>50</v>
      </c>
      <c r="F40" s="856" t="s">
        <v>879</v>
      </c>
      <c r="G40" s="856" t="s">
        <v>880</v>
      </c>
      <c r="H40" s="856" t="s">
        <v>881</v>
      </c>
      <c r="I40" s="856" t="s">
        <v>759</v>
      </c>
      <c r="J40" s="856">
        <v>-1</v>
      </c>
      <c r="K40" s="856">
        <v>-38.660159999999998</v>
      </c>
      <c r="L40" s="856">
        <v>2809.2359999999999</v>
      </c>
      <c r="M40" s="856">
        <v>55</v>
      </c>
      <c r="N40" s="856">
        <v>2054.64</v>
      </c>
      <c r="O40" s="856">
        <v>2899.819</v>
      </c>
      <c r="P40" s="856">
        <v>47</v>
      </c>
      <c r="Q40" s="856">
        <v>1799.21</v>
      </c>
      <c r="R40" s="856">
        <v>2856.1010000000001</v>
      </c>
      <c r="S40" s="856">
        <v>0</v>
      </c>
      <c r="T40" s="856">
        <v>0</v>
      </c>
      <c r="U40" s="857">
        <v>0</v>
      </c>
      <c r="V40"/>
      <c r="W40"/>
      <c r="X40"/>
      <c r="Y40"/>
      <c r="Z40"/>
      <c r="AA40"/>
      <c r="AB40"/>
      <c r="AC40"/>
      <c r="AD40"/>
    </row>
    <row r="41" spans="1:30" s="866" customFormat="1" ht="51" customHeight="1" thickBot="1">
      <c r="A41" s="863">
        <v>772</v>
      </c>
      <c r="B41" s="864" t="s">
        <v>877</v>
      </c>
      <c r="C41" s="864" t="s">
        <v>878</v>
      </c>
      <c r="D41" s="864" t="s">
        <v>78</v>
      </c>
      <c r="E41" s="864">
        <v>50</v>
      </c>
      <c r="F41" s="864" t="s">
        <v>882</v>
      </c>
      <c r="G41" s="864" t="s">
        <v>880</v>
      </c>
      <c r="H41" s="864" t="s">
        <v>883</v>
      </c>
      <c r="I41" s="864" t="s">
        <v>759</v>
      </c>
      <c r="J41" s="864">
        <v>-3</v>
      </c>
      <c r="K41" s="864">
        <v>-98.050780000000003</v>
      </c>
      <c r="L41" s="864">
        <v>2954.0079999999998</v>
      </c>
      <c r="M41" s="864">
        <v>1</v>
      </c>
      <c r="N41" s="864">
        <v>34.710940000000001</v>
      </c>
      <c r="O41" s="864">
        <v>5432.7079999999996</v>
      </c>
      <c r="P41" s="864">
        <v>18</v>
      </c>
      <c r="Q41" s="864">
        <v>585.10159999999996</v>
      </c>
      <c r="R41" s="864">
        <v>3133.8620000000001</v>
      </c>
      <c r="S41" s="864">
        <v>0</v>
      </c>
      <c r="T41" s="864">
        <v>0</v>
      </c>
      <c r="U41" s="865">
        <v>0</v>
      </c>
    </row>
    <row r="42" spans="1:30" s="866" customFormat="1" ht="41.25" thickBot="1">
      <c r="A42" s="855">
        <v>6163</v>
      </c>
      <c r="B42" s="856" t="s">
        <v>884</v>
      </c>
      <c r="C42" s="856" t="s">
        <v>878</v>
      </c>
      <c r="D42" s="856" t="s">
        <v>760</v>
      </c>
      <c r="E42" s="856">
        <v>50</v>
      </c>
      <c r="F42" s="856" t="s">
        <v>885</v>
      </c>
      <c r="G42" s="856" t="s">
        <v>886</v>
      </c>
      <c r="H42" s="856" t="s">
        <v>887</v>
      </c>
      <c r="I42" s="856" t="s">
        <v>759</v>
      </c>
      <c r="J42" s="856">
        <v>43</v>
      </c>
      <c r="K42" s="856">
        <v>2381.66</v>
      </c>
      <c r="L42" s="856">
        <v>1083</v>
      </c>
      <c r="M42" s="856">
        <v>0</v>
      </c>
      <c r="N42" s="856">
        <v>0</v>
      </c>
      <c r="O42" s="856">
        <v>0</v>
      </c>
      <c r="P42" s="856">
        <v>0</v>
      </c>
      <c r="Q42" s="856">
        <v>0</v>
      </c>
      <c r="R42" s="856">
        <v>0</v>
      </c>
      <c r="S42" s="856">
        <v>0</v>
      </c>
      <c r="T42" s="856">
        <v>0</v>
      </c>
      <c r="U42" s="857">
        <v>0</v>
      </c>
      <c r="V42"/>
      <c r="W42"/>
      <c r="X42"/>
      <c r="Y42"/>
      <c r="Z42"/>
      <c r="AA42"/>
      <c r="AB42"/>
      <c r="AC42"/>
      <c r="AD42"/>
    </row>
    <row r="43" spans="1:30" ht="41.25" thickBot="1">
      <c r="A43" s="855">
        <v>509</v>
      </c>
      <c r="B43" s="856" t="s">
        <v>888</v>
      </c>
      <c r="C43" s="856" t="s">
        <v>878</v>
      </c>
      <c r="D43" s="856" t="s">
        <v>889</v>
      </c>
      <c r="E43" s="856">
        <v>50</v>
      </c>
      <c r="F43" s="856" t="s">
        <v>890</v>
      </c>
      <c r="G43" s="856" t="s">
        <v>886</v>
      </c>
      <c r="H43" s="856" t="s">
        <v>891</v>
      </c>
      <c r="I43" s="856" t="s">
        <v>759</v>
      </c>
      <c r="J43" s="856">
        <v>0</v>
      </c>
      <c r="K43" s="856">
        <v>0</v>
      </c>
      <c r="L43" s="856">
        <v>0</v>
      </c>
      <c r="M43" s="856">
        <v>0</v>
      </c>
      <c r="N43" s="856">
        <v>0</v>
      </c>
      <c r="O43" s="856">
        <v>0</v>
      </c>
      <c r="P43" s="856">
        <v>1</v>
      </c>
      <c r="Q43" s="856">
        <v>21.180009999999999</v>
      </c>
      <c r="R43" s="856">
        <v>4250.4470000000001</v>
      </c>
      <c r="S43" s="856">
        <v>0</v>
      </c>
      <c r="T43" s="856">
        <v>0</v>
      </c>
      <c r="U43" s="857">
        <v>0</v>
      </c>
    </row>
    <row r="44" spans="1:30" ht="14.25" thickBot="1">
      <c r="A44" s="875"/>
      <c r="B44" s="875"/>
      <c r="C44" s="875"/>
      <c r="D44" s="875"/>
      <c r="E44" s="875"/>
      <c r="F44" s="875"/>
      <c r="G44" s="875"/>
      <c r="H44" s="875"/>
      <c r="I44" s="875"/>
      <c r="J44" s="875"/>
      <c r="K44" s="875"/>
      <c r="L44" s="875"/>
      <c r="M44" s="875"/>
      <c r="N44" s="875"/>
      <c r="O44" s="875"/>
      <c r="P44" s="875"/>
      <c r="Q44" s="875"/>
      <c r="R44" s="875"/>
      <c r="S44" s="875"/>
      <c r="T44" s="875"/>
      <c r="U44" s="875"/>
    </row>
    <row r="45" spans="1:30" ht="41.25" thickBot="1">
      <c r="A45" s="858" t="s">
        <v>876</v>
      </c>
      <c r="B45" s="859" t="s">
        <v>687</v>
      </c>
      <c r="C45" s="859" t="s">
        <v>753</v>
      </c>
      <c r="D45" s="859" t="s">
        <v>214</v>
      </c>
      <c r="E45" s="859" t="s">
        <v>754</v>
      </c>
      <c r="F45" s="859" t="s">
        <v>755</v>
      </c>
      <c r="G45" s="859" t="s">
        <v>756</v>
      </c>
      <c r="H45" s="859" t="s">
        <v>892</v>
      </c>
      <c r="I45" s="859" t="s">
        <v>758</v>
      </c>
      <c r="J45" s="859" t="s">
        <v>855</v>
      </c>
      <c r="K45" s="859" t="s">
        <v>856</v>
      </c>
      <c r="L45" s="859" t="s">
        <v>857</v>
      </c>
      <c r="M45" s="859" t="s">
        <v>858</v>
      </c>
      <c r="N45" s="859" t="s">
        <v>859</v>
      </c>
      <c r="O45" s="859" t="s">
        <v>860</v>
      </c>
      <c r="P45" s="859" t="s">
        <v>861</v>
      </c>
      <c r="Q45" s="859" t="s">
        <v>862</v>
      </c>
      <c r="R45" s="859" t="s">
        <v>863</v>
      </c>
      <c r="S45" s="859" t="s">
        <v>864</v>
      </c>
      <c r="T45" s="859" t="s">
        <v>865</v>
      </c>
      <c r="U45" s="860" t="s">
        <v>866</v>
      </c>
    </row>
    <row r="46" spans="1:30" s="866" customFormat="1" ht="68.25" thickBot="1">
      <c r="A46" s="863">
        <v>3789</v>
      </c>
      <c r="B46" s="864" t="s">
        <v>893</v>
      </c>
      <c r="C46" s="864" t="s">
        <v>878</v>
      </c>
      <c r="D46" s="864" t="s">
        <v>760</v>
      </c>
      <c r="E46" s="864">
        <v>50</v>
      </c>
      <c r="F46" s="864" t="s">
        <v>894</v>
      </c>
      <c r="G46" s="864" t="s">
        <v>886</v>
      </c>
      <c r="H46" s="864" t="s">
        <v>895</v>
      </c>
      <c r="I46" s="864" t="s">
        <v>896</v>
      </c>
      <c r="J46" s="864">
        <v>0</v>
      </c>
      <c r="K46" s="864">
        <v>0</v>
      </c>
      <c r="L46" s="864">
        <v>0</v>
      </c>
      <c r="M46" s="864">
        <v>0</v>
      </c>
      <c r="N46" s="864">
        <v>0</v>
      </c>
      <c r="O46" s="864">
        <v>0</v>
      </c>
      <c r="P46" s="864">
        <v>5</v>
      </c>
      <c r="Q46" s="864">
        <v>149.75</v>
      </c>
      <c r="R46" s="864">
        <v>6010</v>
      </c>
      <c r="S46" s="864">
        <v>0</v>
      </c>
      <c r="T46" s="864">
        <v>0</v>
      </c>
      <c r="U46" s="865">
        <v>0</v>
      </c>
    </row>
    <row r="47" spans="1:30" s="866" customFormat="1" ht="54">
      <c r="A47" s="879">
        <v>2909</v>
      </c>
      <c r="B47" s="880" t="s">
        <v>897</v>
      </c>
      <c r="C47" s="880" t="s">
        <v>898</v>
      </c>
      <c r="D47" s="880" t="s">
        <v>760</v>
      </c>
      <c r="E47" s="880">
        <v>50</v>
      </c>
      <c r="F47" s="880" t="s">
        <v>899</v>
      </c>
      <c r="G47" s="880" t="s">
        <v>898</v>
      </c>
      <c r="H47" s="880" t="s">
        <v>900</v>
      </c>
      <c r="I47" s="880" t="s">
        <v>896</v>
      </c>
      <c r="J47" s="880">
        <v>5</v>
      </c>
      <c r="K47" s="880">
        <v>166.85059999999999</v>
      </c>
      <c r="L47" s="880">
        <v>6762.3980000000001</v>
      </c>
      <c r="M47" s="880">
        <v>11</v>
      </c>
      <c r="N47" s="880">
        <v>367.0693</v>
      </c>
      <c r="O47" s="880">
        <v>6665.183</v>
      </c>
      <c r="P47" s="880">
        <v>16</v>
      </c>
      <c r="Q47" s="880">
        <v>533.91989999999998</v>
      </c>
      <c r="R47" s="880">
        <v>6631.625</v>
      </c>
      <c r="S47" s="880">
        <v>0</v>
      </c>
      <c r="T47" s="880">
        <v>0</v>
      </c>
      <c r="U47" s="881">
        <v>0</v>
      </c>
    </row>
    <row r="48" spans="1:30" ht="54.75" thickBot="1">
      <c r="A48" s="876">
        <v>2920</v>
      </c>
      <c r="B48" s="877" t="s">
        <v>901</v>
      </c>
      <c r="C48" s="877" t="s">
        <v>898</v>
      </c>
      <c r="D48" s="877" t="s">
        <v>72</v>
      </c>
      <c r="E48" s="877">
        <v>50</v>
      </c>
      <c r="F48" s="877" t="s">
        <v>902</v>
      </c>
      <c r="G48" s="877" t="s">
        <v>898</v>
      </c>
      <c r="H48" s="877" t="s">
        <v>903</v>
      </c>
      <c r="I48" s="877" t="s">
        <v>896</v>
      </c>
      <c r="J48" s="877">
        <v>38</v>
      </c>
      <c r="K48" s="877">
        <v>1122.78</v>
      </c>
      <c r="L48" s="877">
        <v>4414.1670000000004</v>
      </c>
      <c r="M48" s="877">
        <v>0</v>
      </c>
      <c r="N48" s="877">
        <v>0</v>
      </c>
      <c r="O48" s="877">
        <v>0</v>
      </c>
      <c r="P48" s="877">
        <v>0</v>
      </c>
      <c r="Q48" s="877">
        <v>0</v>
      </c>
      <c r="R48" s="877">
        <v>0</v>
      </c>
      <c r="S48" s="877">
        <v>0</v>
      </c>
      <c r="T48" s="877">
        <v>0</v>
      </c>
      <c r="U48" s="878">
        <v>0</v>
      </c>
    </row>
    <row r="49" spans="1:21" ht="54.75" thickBot="1">
      <c r="A49" s="855">
        <v>3267</v>
      </c>
      <c r="B49" s="856" t="s">
        <v>897</v>
      </c>
      <c r="C49" s="856" t="s">
        <v>898</v>
      </c>
      <c r="D49" s="856" t="s">
        <v>72</v>
      </c>
      <c r="E49" s="856">
        <v>50</v>
      </c>
      <c r="F49" s="856" t="s">
        <v>899</v>
      </c>
      <c r="G49" s="856" t="s">
        <v>898</v>
      </c>
      <c r="H49" s="856" t="s">
        <v>904</v>
      </c>
      <c r="I49" s="856" t="s">
        <v>896</v>
      </c>
      <c r="J49" s="856">
        <v>1</v>
      </c>
      <c r="K49" s="856">
        <v>33.37012</v>
      </c>
      <c r="L49" s="856">
        <v>6704.9989999999998</v>
      </c>
      <c r="M49" s="856">
        <v>7</v>
      </c>
      <c r="N49" s="856">
        <v>233.59010000000001</v>
      </c>
      <c r="O49" s="856">
        <v>6659.7139999999999</v>
      </c>
      <c r="P49" s="856">
        <v>0</v>
      </c>
      <c r="Q49" s="856">
        <v>0</v>
      </c>
      <c r="R49" s="856">
        <v>0</v>
      </c>
      <c r="S49" s="856">
        <v>4</v>
      </c>
      <c r="T49" s="856">
        <v>133.47999999999999</v>
      </c>
      <c r="U49" s="857">
        <v>6607.75</v>
      </c>
    </row>
    <row r="50" spans="1:21">
      <c r="A50" s="875"/>
      <c r="B50" s="875"/>
      <c r="C50" s="875"/>
      <c r="D50" s="875"/>
      <c r="E50" s="875"/>
      <c r="F50" s="875"/>
      <c r="G50" s="875"/>
      <c r="H50" s="875"/>
      <c r="I50" s="875"/>
      <c r="J50" s="875"/>
      <c r="K50" s="875"/>
      <c r="L50" s="875"/>
      <c r="M50" s="875"/>
      <c r="N50" s="875"/>
      <c r="O50" s="875"/>
      <c r="P50" s="875"/>
      <c r="Q50" s="875"/>
      <c r="R50" s="875"/>
      <c r="S50" s="875"/>
      <c r="T50" s="875"/>
      <c r="U50" s="875"/>
    </row>
    <row r="51" spans="1:21">
      <c r="A51" s="875"/>
      <c r="B51" s="875"/>
      <c r="C51" s="875"/>
      <c r="D51" s="875"/>
      <c r="E51" s="875"/>
      <c r="F51" s="875"/>
      <c r="G51" s="875"/>
      <c r="H51" s="875"/>
      <c r="I51" s="875"/>
      <c r="J51" s="875"/>
      <c r="K51" s="875"/>
      <c r="L51" s="875"/>
      <c r="M51" s="875"/>
      <c r="N51" s="875"/>
      <c r="O51" s="875"/>
      <c r="P51" s="875"/>
      <c r="Q51" s="875"/>
      <c r="R51" s="875"/>
      <c r="S51" s="875"/>
      <c r="T51" s="875"/>
      <c r="U51" s="875"/>
    </row>
    <row r="53" spans="1:21">
      <c r="A53" s="882"/>
      <c r="B53" s="1476" t="s">
        <v>922</v>
      </c>
      <c r="C53" s="1476"/>
    </row>
    <row r="54" spans="1:21" ht="24">
      <c r="A54" s="883" t="s">
        <v>868</v>
      </c>
      <c r="B54" s="883" t="s">
        <v>923</v>
      </c>
      <c r="C54" s="883" t="s">
        <v>869</v>
      </c>
    </row>
    <row r="55" spans="1:21">
      <c r="A55" s="884">
        <v>41821</v>
      </c>
      <c r="B55" s="885">
        <v>3926</v>
      </c>
      <c r="C55" s="885">
        <v>-0.78</v>
      </c>
    </row>
    <row r="56" spans="1:21">
      <c r="A56" s="886">
        <v>41791</v>
      </c>
      <c r="B56" s="887">
        <v>3957</v>
      </c>
      <c r="C56" s="887">
        <v>-7.33</v>
      </c>
    </row>
    <row r="57" spans="1:21">
      <c r="A57" s="886">
        <v>41760</v>
      </c>
      <c r="B57" s="887">
        <v>4270</v>
      </c>
      <c r="C57" s="887">
        <v>0.59</v>
      </c>
    </row>
    <row r="58" spans="1:21">
      <c r="A58" s="886">
        <v>41730</v>
      </c>
      <c r="B58" s="887">
        <v>4245</v>
      </c>
      <c r="C58" s="887">
        <v>0.38</v>
      </c>
    </row>
    <row r="59" spans="1:21">
      <c r="A59" s="886">
        <v>41699</v>
      </c>
      <c r="B59" s="887">
        <v>4229</v>
      </c>
      <c r="C59" s="887">
        <v>0.93</v>
      </c>
    </row>
    <row r="60" spans="1:21">
      <c r="A60" s="886">
        <v>41671</v>
      </c>
      <c r="B60" s="887">
        <v>4190</v>
      </c>
      <c r="C60" s="887">
        <v>1.63</v>
      </c>
    </row>
    <row r="61" spans="1:21">
      <c r="A61" s="886">
        <v>41640</v>
      </c>
      <c r="B61" s="887">
        <v>4123</v>
      </c>
      <c r="C61" s="887">
        <v>2.0499999999999998</v>
      </c>
    </row>
    <row r="62" spans="1:21">
      <c r="A62" s="886">
        <v>41609</v>
      </c>
      <c r="B62" s="887">
        <v>4040</v>
      </c>
      <c r="C62" s="887">
        <v>0.3</v>
      </c>
    </row>
    <row r="63" spans="1:21">
      <c r="A63" s="886">
        <v>41579</v>
      </c>
      <c r="B63" s="887">
        <v>4028</v>
      </c>
      <c r="C63" s="887">
        <v>0.32</v>
      </c>
    </row>
    <row r="64" spans="1:21">
      <c r="A64" s="886">
        <v>41548</v>
      </c>
      <c r="B64" s="887">
        <v>4015</v>
      </c>
      <c r="C64" s="887">
        <v>2.37</v>
      </c>
    </row>
    <row r="65" spans="1:3">
      <c r="A65" s="886">
        <v>41518</v>
      </c>
      <c r="B65" s="887">
        <v>3922</v>
      </c>
      <c r="C65" s="887">
        <v>3.08</v>
      </c>
    </row>
    <row r="66" spans="1:3">
      <c r="A66" s="886">
        <v>41487</v>
      </c>
      <c r="B66" s="887">
        <v>3805</v>
      </c>
      <c r="C66" s="887">
        <v>2.81</v>
      </c>
    </row>
    <row r="67" spans="1:3">
      <c r="A67" s="886">
        <v>41456</v>
      </c>
      <c r="B67" s="887">
        <v>3701</v>
      </c>
      <c r="C67" s="887">
        <v>2.0699999999999998</v>
      </c>
    </row>
    <row r="68" spans="1:3">
      <c r="A68" s="888">
        <v>41426</v>
      </c>
      <c r="B68" s="889">
        <v>3626</v>
      </c>
      <c r="C68" s="889">
        <v>1.2</v>
      </c>
    </row>
    <row r="69" spans="1:3">
      <c r="A69" s="886">
        <v>41395</v>
      </c>
      <c r="B69" s="883">
        <v>3583</v>
      </c>
      <c r="C69" s="883">
        <v>1.76</v>
      </c>
    </row>
    <row r="70" spans="1:3">
      <c r="A70" s="886">
        <v>41365</v>
      </c>
      <c r="B70" s="883">
        <v>3521</v>
      </c>
      <c r="C70" s="883">
        <v>2.74</v>
      </c>
    </row>
    <row r="71" spans="1:3">
      <c r="A71" s="886">
        <v>41334</v>
      </c>
      <c r="B71" s="883">
        <v>3427</v>
      </c>
      <c r="C71" s="883">
        <v>2.36</v>
      </c>
    </row>
    <row r="72" spans="1:3">
      <c r="A72" s="886">
        <v>41306</v>
      </c>
      <c r="B72" s="883">
        <v>3348</v>
      </c>
      <c r="C72" s="883">
        <v>0.9</v>
      </c>
    </row>
    <row r="73" spans="1:3">
      <c r="A73" s="886">
        <v>41275</v>
      </c>
      <c r="B73" s="883">
        <v>3318</v>
      </c>
      <c r="C73" s="883">
        <v>1.94</v>
      </c>
    </row>
  </sheetData>
  <mergeCells count="70">
    <mergeCell ref="O34:P34"/>
    <mergeCell ref="Q34:R34"/>
    <mergeCell ref="S34:T34"/>
    <mergeCell ref="V3:W4"/>
    <mergeCell ref="O32:P32"/>
    <mergeCell ref="Q32:R32"/>
    <mergeCell ref="S32:T32"/>
    <mergeCell ref="O33:P33"/>
    <mergeCell ref="Q33:R33"/>
    <mergeCell ref="S33:T33"/>
    <mergeCell ref="V10:V17"/>
    <mergeCell ref="V18:V25"/>
    <mergeCell ref="O29:T29"/>
    <mergeCell ref="O30:T30"/>
    <mergeCell ref="O31:P31"/>
    <mergeCell ref="Q31:R31"/>
    <mergeCell ref="X3:X4"/>
    <mergeCell ref="Y3:Y4"/>
    <mergeCell ref="Z3:Z4"/>
    <mergeCell ref="A3:B4"/>
    <mergeCell ref="M3:N4"/>
    <mergeCell ref="O3:P4"/>
    <mergeCell ref="Q3:R4"/>
    <mergeCell ref="S3:T4"/>
    <mergeCell ref="A33:A36"/>
    <mergeCell ref="C3:C4"/>
    <mergeCell ref="L2:L25"/>
    <mergeCell ref="M7:M9"/>
    <mergeCell ref="M10:M17"/>
    <mergeCell ref="M18:M25"/>
    <mergeCell ref="M29:N29"/>
    <mergeCell ref="M30:N30"/>
    <mergeCell ref="M31:N31"/>
    <mergeCell ref="H28:I28"/>
    <mergeCell ref="J28:K28"/>
    <mergeCell ref="D4:E4"/>
    <mergeCell ref="F4:G4"/>
    <mergeCell ref="H4:I4"/>
    <mergeCell ref="J4:K4"/>
    <mergeCell ref="M26:N26"/>
    <mergeCell ref="S31:T31"/>
    <mergeCell ref="M27:N27"/>
    <mergeCell ref="O27:P27"/>
    <mergeCell ref="Q27:R27"/>
    <mergeCell ref="S27:T27"/>
    <mergeCell ref="M28:N28"/>
    <mergeCell ref="O28:T28"/>
    <mergeCell ref="M5:N5"/>
    <mergeCell ref="O26:P26"/>
    <mergeCell ref="Q26:R26"/>
    <mergeCell ref="S26:T26"/>
    <mergeCell ref="A7:A9"/>
    <mergeCell ref="A10:A17"/>
    <mergeCell ref="A18:A25"/>
    <mergeCell ref="B53:C53"/>
    <mergeCell ref="A1:Z1"/>
    <mergeCell ref="A2:K2"/>
    <mergeCell ref="M2:T2"/>
    <mergeCell ref="V2:Z2"/>
    <mergeCell ref="D3:E3"/>
    <mergeCell ref="F3:G3"/>
    <mergeCell ref="H3:I3"/>
    <mergeCell ref="J3:K3"/>
    <mergeCell ref="U2:U25"/>
    <mergeCell ref="V7:V9"/>
    <mergeCell ref="V5:W5"/>
    <mergeCell ref="A6:B6"/>
    <mergeCell ref="M6:N6"/>
    <mergeCell ref="V6:W6"/>
    <mergeCell ref="A5:B5"/>
  </mergeCells>
  <phoneticPr fontId="93" type="noConversion"/>
  <pageMargins left="0.75" right="0.75" top="1" bottom="1" header="0.51111111111111107" footer="0.51111111111111107"/>
  <pageSetup paperSize="9" scale="44" orientation="portrait" r:id="rId1"/>
  <headerFooter alignWithMargins="0"/>
  <colBreaks count="1" manualBreakCount="1">
    <brk id="21"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499984740745262"/>
  </sheetPr>
  <dimension ref="A1:O64"/>
  <sheetViews>
    <sheetView view="pageBreakPreview" topLeftCell="A13" workbookViewId="0">
      <selection activeCell="I40" sqref="I40"/>
    </sheetView>
  </sheetViews>
  <sheetFormatPr defaultRowHeight="13.5"/>
  <cols>
    <col min="1" max="1" width="2.625" style="45" customWidth="1"/>
    <col min="2" max="2" width="6.125" style="46" customWidth="1"/>
    <col min="3" max="3" width="17.875" style="45" customWidth="1"/>
    <col min="4" max="4" width="15.375" style="45" customWidth="1"/>
    <col min="5" max="5" width="13.25" style="45" customWidth="1"/>
    <col min="6" max="6" width="11.75" style="45" customWidth="1"/>
    <col min="7" max="7" width="11.875" style="45" customWidth="1"/>
    <col min="8" max="8" width="25" style="45" bestFit="1" customWidth="1"/>
    <col min="9" max="9" width="9" style="45"/>
    <col min="10" max="10" width="10.625" style="45" bestFit="1" customWidth="1"/>
    <col min="11" max="11" width="9.125" style="45" bestFit="1" customWidth="1"/>
    <col min="12" max="16384" width="9" style="45"/>
  </cols>
  <sheetData>
    <row r="1" spans="2:9">
      <c r="B1" s="1275" t="s">
        <v>761</v>
      </c>
      <c r="C1" s="1276"/>
      <c r="D1" s="1276"/>
      <c r="E1" s="1276"/>
      <c r="F1" s="1276"/>
      <c r="G1" s="1276"/>
      <c r="H1" s="1277"/>
    </row>
    <row r="2" spans="2:9">
      <c r="B2" s="1344" t="s">
        <v>686</v>
      </c>
      <c r="C2" s="1345"/>
      <c r="D2" s="1345"/>
      <c r="E2" s="1345"/>
      <c r="F2" s="1345"/>
      <c r="G2" s="1345"/>
      <c r="H2" s="1346"/>
    </row>
    <row r="3" spans="2:9">
      <c r="B3" s="47" t="s">
        <v>69</v>
      </c>
      <c r="C3" s="48" t="s">
        <v>687</v>
      </c>
      <c r="D3" s="49" t="s">
        <v>75</v>
      </c>
      <c r="E3" s="50" t="s">
        <v>72</v>
      </c>
      <c r="F3" s="50"/>
      <c r="G3" s="50"/>
      <c r="H3" s="50" t="s">
        <v>762</v>
      </c>
    </row>
    <row r="4" spans="2:9">
      <c r="B4" s="47">
        <v>1</v>
      </c>
      <c r="C4" s="48" t="s">
        <v>108</v>
      </c>
      <c r="D4" s="49"/>
      <c r="E4" s="51">
        <v>0.9</v>
      </c>
      <c r="F4" s="52"/>
      <c r="G4" s="47"/>
      <c r="H4" s="47" t="e">
        <f>#REF!</f>
        <v>#REF!</v>
      </c>
      <c r="I4" s="45" t="e">
        <f>#REF!/(E5+F5+G5)</f>
        <v>#REF!</v>
      </c>
    </row>
    <row r="5" spans="2:9">
      <c r="B5" s="47">
        <v>2</v>
      </c>
      <c r="C5" s="48" t="s">
        <v>306</v>
      </c>
      <c r="D5" s="49"/>
      <c r="E5" s="148" t="e">
        <f>'市（车）'!O29</f>
        <v>#REF!</v>
      </c>
      <c r="F5" s="47"/>
      <c r="G5" s="47"/>
      <c r="H5" s="47"/>
    </row>
    <row r="6" spans="2:9">
      <c r="B6" s="47">
        <v>3</v>
      </c>
      <c r="C6" s="48" t="s">
        <v>688</v>
      </c>
      <c r="D6" s="48"/>
      <c r="E6" s="51">
        <v>365</v>
      </c>
      <c r="F6" s="51"/>
      <c r="G6" s="51"/>
      <c r="H6" s="51"/>
    </row>
    <row r="7" spans="2:9">
      <c r="B7" s="47">
        <v>4</v>
      </c>
      <c r="C7" s="48" t="s">
        <v>309</v>
      </c>
      <c r="D7" s="49"/>
      <c r="E7" s="54">
        <v>0.1</v>
      </c>
      <c r="F7" s="55"/>
      <c r="G7" s="55"/>
      <c r="H7" s="55" t="s">
        <v>763</v>
      </c>
    </row>
    <row r="8" spans="2:9">
      <c r="B8" s="47">
        <v>5</v>
      </c>
      <c r="C8" s="48" t="s">
        <v>690</v>
      </c>
      <c r="D8" s="56" t="e">
        <f>E8</f>
        <v>#REF!</v>
      </c>
      <c r="E8" s="972" t="e">
        <f>ROUND(E4*E5*E6*(1-E7)/10000,0)</f>
        <v>#REF!</v>
      </c>
      <c r="F8" s="51">
        <f>ROUND(F4*F5*F6*(1-F7)*(1-G7)/10000,0)</f>
        <v>0</v>
      </c>
      <c r="G8" s="51"/>
      <c r="H8" s="47">
        <v>160</v>
      </c>
    </row>
    <row r="9" spans="2:9">
      <c r="B9" s="1278" t="s">
        <v>358</v>
      </c>
      <c r="C9" s="1278"/>
      <c r="D9" s="1278"/>
      <c r="E9" s="1278"/>
      <c r="F9" s="1278"/>
      <c r="G9" s="1278"/>
      <c r="H9" s="1278"/>
    </row>
    <row r="10" spans="2:9" customFormat="1">
      <c r="B10" s="58" t="s">
        <v>69</v>
      </c>
      <c r="C10" s="59" t="s">
        <v>87</v>
      </c>
      <c r="D10" s="60" t="s">
        <v>75</v>
      </c>
      <c r="E10" s="61" t="s">
        <v>41</v>
      </c>
      <c r="F10" s="61" t="s">
        <v>359</v>
      </c>
      <c r="G10" s="61" t="s">
        <v>360</v>
      </c>
      <c r="H10" s="62"/>
    </row>
    <row r="11" spans="2:9" customFormat="1">
      <c r="B11" s="58">
        <v>1.1000000000000001</v>
      </c>
      <c r="C11" s="63" t="s">
        <v>361</v>
      </c>
      <c r="D11" s="60" t="e">
        <f>ROUND(E11*F11/10000,0)</f>
        <v>#REF!</v>
      </c>
      <c r="E11" s="64" t="e">
        <f>#REF!</f>
        <v>#REF!</v>
      </c>
      <c r="F11" s="61" t="e">
        <f>#REF!</f>
        <v>#REF!</v>
      </c>
      <c r="G11" s="65"/>
      <c r="H11" s="66"/>
    </row>
    <row r="12" spans="2:9" customFormat="1">
      <c r="B12" s="58">
        <v>1.2</v>
      </c>
      <c r="C12" s="63" t="s">
        <v>362</v>
      </c>
      <c r="D12" s="60" t="e">
        <f>ROUND(D11*G12,0)</f>
        <v>#REF!</v>
      </c>
      <c r="E12" s="67"/>
      <c r="F12" s="67"/>
      <c r="G12" s="65">
        <f>'收益法 '!G12</f>
        <v>0.05</v>
      </c>
      <c r="H12" s="66" t="s">
        <v>363</v>
      </c>
    </row>
    <row r="13" spans="2:9" customFormat="1">
      <c r="B13" s="58">
        <v>1.3</v>
      </c>
      <c r="C13" s="63" t="s">
        <v>364</v>
      </c>
      <c r="D13" s="60" t="e">
        <f>ROUND(D11*G13,0)</f>
        <v>#REF!</v>
      </c>
      <c r="E13" s="67"/>
      <c r="F13" s="67"/>
      <c r="G13" s="65">
        <v>0</v>
      </c>
      <c r="H13" s="66" t="s">
        <v>365</v>
      </c>
    </row>
    <row r="14" spans="2:9" customFormat="1">
      <c r="B14" s="58">
        <v>1.4</v>
      </c>
      <c r="C14" s="63" t="s">
        <v>366</v>
      </c>
      <c r="D14" s="60" t="e">
        <f>ROUND(F14*E14/10000,0)</f>
        <v>#REF!</v>
      </c>
      <c r="E14" s="64" t="e">
        <f>E11</f>
        <v>#REF!</v>
      </c>
      <c r="F14" s="61">
        <v>200</v>
      </c>
      <c r="G14" s="63"/>
      <c r="H14" s="66" t="s">
        <v>367</v>
      </c>
    </row>
    <row r="15" spans="2:9" customFormat="1">
      <c r="B15" s="58">
        <v>1.5</v>
      </c>
      <c r="C15" s="63" t="s">
        <v>368</v>
      </c>
      <c r="D15" s="60" t="e">
        <f>ROUND(D11*G15,0)</f>
        <v>#REF!</v>
      </c>
      <c r="E15" s="67"/>
      <c r="F15" s="67"/>
      <c r="G15" s="68">
        <f>'建筑（住）'!G11</f>
        <v>1.4999999999999999E-2</v>
      </c>
      <c r="H15" s="66" t="s">
        <v>369</v>
      </c>
    </row>
    <row r="16" spans="2:9" customFormat="1">
      <c r="B16" s="58">
        <v>1</v>
      </c>
      <c r="C16" s="63" t="s">
        <v>370</v>
      </c>
      <c r="D16" s="60" t="e">
        <f>SUM(D11:D15)</f>
        <v>#REF!</v>
      </c>
      <c r="E16" s="63"/>
      <c r="F16" s="67"/>
      <c r="G16" s="67"/>
      <c r="H16" s="69" t="s">
        <v>371</v>
      </c>
    </row>
    <row r="17" spans="2:15" customFormat="1">
      <c r="B17" s="58">
        <v>2</v>
      </c>
      <c r="C17" s="63" t="s">
        <v>331</v>
      </c>
      <c r="D17" s="60" t="e">
        <f>ROUND(D16*G17,0)</f>
        <v>#REF!</v>
      </c>
      <c r="E17" s="70"/>
      <c r="F17" s="70"/>
      <c r="G17" s="71">
        <f>'收益法 '!G17</f>
        <v>0.03</v>
      </c>
      <c r="H17" s="66" t="s">
        <v>372</v>
      </c>
    </row>
    <row r="18" spans="2:15" customFormat="1">
      <c r="B18" s="58">
        <v>3</v>
      </c>
      <c r="C18" s="63" t="s">
        <v>373</v>
      </c>
      <c r="D18" s="60" t="s">
        <v>239</v>
      </c>
      <c r="E18" s="67"/>
      <c r="F18" s="67"/>
      <c r="G18" s="71">
        <f>'收益法 '!G18</f>
        <v>0.03</v>
      </c>
      <c r="H18" s="66" t="s">
        <v>374</v>
      </c>
    </row>
    <row r="19" spans="2:15" customFormat="1">
      <c r="B19" s="58">
        <v>4</v>
      </c>
      <c r="C19" s="72" t="s">
        <v>375</v>
      </c>
      <c r="D19" s="1279"/>
      <c r="E19" s="1280"/>
      <c r="F19" s="1280"/>
      <c r="G19" s="1280"/>
      <c r="H19" s="1281"/>
    </row>
    <row r="20" spans="2:15" customFormat="1">
      <c r="B20" s="58">
        <v>4.0999999999999996</v>
      </c>
      <c r="C20" s="63" t="s">
        <v>378</v>
      </c>
      <c r="D20" s="60" t="e">
        <f>ROUND((D16+D17)*G20*G21/2,0)</f>
        <v>#REF!</v>
      </c>
      <c r="E20" s="63"/>
      <c r="F20" s="67"/>
      <c r="G20" s="149">
        <f>'收益法 '!G20</f>
        <v>4.7500000000000001E-2</v>
      </c>
      <c r="H20" s="67" t="s">
        <v>379</v>
      </c>
    </row>
    <row r="21" spans="2:15" customFormat="1">
      <c r="B21" s="58">
        <v>4.2</v>
      </c>
      <c r="C21" s="63" t="s">
        <v>381</v>
      </c>
      <c r="D21" s="74">
        <f>ROUND(G18*G21*G20/2,4)</f>
        <v>1.4E-3</v>
      </c>
      <c r="E21" s="63"/>
      <c r="F21" s="67"/>
      <c r="G21" s="150">
        <f>'收益法 '!G21</f>
        <v>2</v>
      </c>
      <c r="H21" s="67" t="s">
        <v>382</v>
      </c>
    </row>
    <row r="22" spans="2:15" customFormat="1">
      <c r="B22" s="58">
        <v>5</v>
      </c>
      <c r="C22" s="72" t="s">
        <v>384</v>
      </c>
      <c r="D22" s="1279"/>
      <c r="E22" s="1280"/>
      <c r="F22" s="1280"/>
      <c r="G22" s="1280"/>
      <c r="H22" s="1281"/>
    </row>
    <row r="23" spans="2:15" customFormat="1">
      <c r="B23" s="58">
        <v>5.0999999999999996</v>
      </c>
      <c r="C23" s="63" t="s">
        <v>386</v>
      </c>
      <c r="D23" s="60" t="e">
        <f>ROUND((D16+D17)*G23,0)</f>
        <v>#REF!</v>
      </c>
      <c r="E23" s="63"/>
      <c r="F23" s="67"/>
      <c r="G23" s="1270">
        <v>0.15</v>
      </c>
      <c r="H23" s="67" t="s">
        <v>387</v>
      </c>
    </row>
    <row r="24" spans="2:15" customFormat="1">
      <c r="B24" s="58">
        <v>5.2</v>
      </c>
      <c r="C24" s="63" t="s">
        <v>388</v>
      </c>
      <c r="D24" s="74">
        <f>ROUND(G18*G23,4)</f>
        <v>4.4999999999999997E-3</v>
      </c>
      <c r="E24" s="63"/>
      <c r="F24" s="67"/>
      <c r="G24" s="1271"/>
      <c r="H24" s="67" t="s">
        <v>389</v>
      </c>
    </row>
    <row r="25" spans="2:15" customFormat="1">
      <c r="B25" s="58">
        <v>6</v>
      </c>
      <c r="C25" s="72" t="s">
        <v>390</v>
      </c>
      <c r="D25" s="60" t="s">
        <v>239</v>
      </c>
      <c r="E25" s="59"/>
      <c r="F25" s="59"/>
      <c r="G25" s="71">
        <f>'收益法 '!G25</f>
        <v>5.6000000000000001E-2</v>
      </c>
      <c r="H25" s="66" t="s">
        <v>391</v>
      </c>
      <c r="J25" s="45"/>
      <c r="K25" s="45"/>
      <c r="L25" s="181" t="s">
        <v>349</v>
      </c>
      <c r="M25" s="182" t="e">
        <f>ROUND(D28*M26,0)</f>
        <v>#REF!</v>
      </c>
      <c r="N25" s="183"/>
      <c r="O25" s="183"/>
    </row>
    <row r="26" spans="2:15" customFormat="1" ht="24">
      <c r="B26" s="58">
        <v>7</v>
      </c>
      <c r="C26" s="72" t="s">
        <v>392</v>
      </c>
      <c r="D26" s="60" t="e">
        <f>ROUND((D16+D17+D20+D23)/(1-G18-D21-D24-G25),0)</f>
        <v>#REF!</v>
      </c>
      <c r="E26" s="72"/>
      <c r="F26" s="72"/>
      <c r="G26" s="76"/>
      <c r="H26" s="66" t="s">
        <v>393</v>
      </c>
      <c r="J26" s="45"/>
      <c r="K26" s="45"/>
      <c r="L26" s="184" t="s">
        <v>350</v>
      </c>
      <c r="M26" s="185">
        <v>0.08</v>
      </c>
      <c r="N26" s="184" t="s">
        <v>351</v>
      </c>
      <c r="O26" s="185"/>
    </row>
    <row r="27" spans="2:15" customFormat="1" ht="13.5" customHeight="1">
      <c r="B27" s="58">
        <v>8</v>
      </c>
      <c r="C27" s="72" t="s">
        <v>394</v>
      </c>
      <c r="D27" s="60" t="s">
        <v>239</v>
      </c>
      <c r="E27" s="59"/>
      <c r="F27" s="59"/>
      <c r="G27" s="77">
        <f>'收益法 '!G27</f>
        <v>0.8</v>
      </c>
      <c r="H27" s="66"/>
      <c r="J27" s="45"/>
      <c r="K27" s="45"/>
      <c r="L27" s="186" t="s">
        <v>352</v>
      </c>
      <c r="M27" s="187"/>
      <c r="N27" s="187"/>
      <c r="O27" s="188"/>
    </row>
    <row r="28" spans="2:15" customFormat="1">
      <c r="B28" s="58">
        <v>9</v>
      </c>
      <c r="C28" s="72" t="s">
        <v>80</v>
      </c>
      <c r="D28" s="60" t="e">
        <f>ROUND(D26*G27,0)</f>
        <v>#REF!</v>
      </c>
      <c r="E28" s="59"/>
      <c r="F28" s="59"/>
      <c r="G28" s="71"/>
      <c r="H28" s="66" t="s">
        <v>395</v>
      </c>
      <c r="J28" s="45"/>
      <c r="K28" s="45"/>
      <c r="L28" s="189" t="s">
        <v>353</v>
      </c>
      <c r="M28" s="189"/>
      <c r="N28" s="190" t="s">
        <v>354</v>
      </c>
      <c r="O28" s="191"/>
    </row>
    <row r="29" spans="2:15">
      <c r="B29" s="1344" t="s">
        <v>691</v>
      </c>
      <c r="C29" s="1345"/>
      <c r="D29" s="1345"/>
      <c r="E29" s="1345"/>
      <c r="F29" s="1345"/>
      <c r="G29" s="1345"/>
      <c r="H29" s="1346"/>
      <c r="L29" s="181" t="s">
        <v>355</v>
      </c>
      <c r="M29" s="192" t="e">
        <f>M25/D40</f>
        <v>#REF!</v>
      </c>
      <c r="N29" s="193" t="s">
        <v>717</v>
      </c>
      <c r="O29" s="192" t="e">
        <f>D55/D43</f>
        <v>#REF!</v>
      </c>
    </row>
    <row r="30" spans="2:15">
      <c r="B30" s="57" t="s">
        <v>69</v>
      </c>
      <c r="C30" s="57" t="s">
        <v>687</v>
      </c>
      <c r="D30" s="78" t="s">
        <v>75</v>
      </c>
      <c r="E30" s="57" t="s">
        <v>692</v>
      </c>
      <c r="F30" s="57" t="s">
        <v>359</v>
      </c>
      <c r="G30" s="57" t="s">
        <v>360</v>
      </c>
      <c r="H30" s="57" t="s">
        <v>693</v>
      </c>
      <c r="L30" s="181" t="s">
        <v>356</v>
      </c>
      <c r="M30" s="192" t="e">
        <f>1-M29</f>
        <v>#REF!</v>
      </c>
      <c r="N30" s="193" t="s">
        <v>718</v>
      </c>
      <c r="O30" s="194" t="e">
        <f>1-O29</f>
        <v>#REF!</v>
      </c>
    </row>
    <row r="31" spans="2:15">
      <c r="B31" s="47">
        <v>1</v>
      </c>
      <c r="C31" s="48" t="s">
        <v>694</v>
      </c>
      <c r="D31" s="970" t="e">
        <f>SUM(D32:D34)</f>
        <v>#REF!</v>
      </c>
      <c r="E31" s="48"/>
      <c r="F31" s="48"/>
      <c r="G31" s="79"/>
      <c r="H31" s="80" t="s">
        <v>695</v>
      </c>
      <c r="J31" s="45">
        <v>1999</v>
      </c>
    </row>
    <row r="32" spans="2:15">
      <c r="B32" s="47">
        <v>1.1000000000000001</v>
      </c>
      <c r="C32" s="48" t="s">
        <v>696</v>
      </c>
      <c r="D32" s="970" t="e">
        <f>ROUND(D8*G32,0)</f>
        <v>#REF!</v>
      </c>
      <c r="E32" s="48"/>
      <c r="F32" s="48"/>
      <c r="G32" s="81">
        <f>G25</f>
        <v>5.6000000000000001E-2</v>
      </c>
      <c r="H32" s="48" t="s">
        <v>697</v>
      </c>
    </row>
    <row r="33" spans="2:10">
      <c r="B33" s="47">
        <v>1.2</v>
      </c>
      <c r="C33" s="48" t="s">
        <v>316</v>
      </c>
      <c r="D33" s="970" t="e">
        <f>ROUND(E33*F33*G33,0)</f>
        <v>#REF!</v>
      </c>
      <c r="E33" s="48" t="e">
        <f>ROUND(D26*(1-D24)-D23,2)</f>
        <v>#REF!</v>
      </c>
      <c r="F33" s="83">
        <v>0.7</v>
      </c>
      <c r="G33" s="81">
        <v>1.2E-2</v>
      </c>
      <c r="H33" s="48" t="s">
        <v>698</v>
      </c>
    </row>
    <row r="34" spans="2:10">
      <c r="B34" s="47">
        <v>1.3</v>
      </c>
      <c r="C34" s="48" t="s">
        <v>319</v>
      </c>
      <c r="D34" s="970" t="e">
        <f>ROUND(E34*F34/10000,0)</f>
        <v>#REF!</v>
      </c>
      <c r="E34" s="48" t="e">
        <f>#REF!</f>
        <v>#REF!</v>
      </c>
      <c r="F34" s="84">
        <f>'收益法 '!F34</f>
        <v>20</v>
      </c>
      <c r="G34" s="81"/>
      <c r="H34" s="48" t="s">
        <v>699</v>
      </c>
    </row>
    <row r="35" spans="2:10">
      <c r="B35" s="47">
        <v>2</v>
      </c>
      <c r="C35" s="48" t="s">
        <v>325</v>
      </c>
      <c r="D35" s="970" t="e">
        <f>ROUND(D26*G35,0)</f>
        <v>#REF!</v>
      </c>
      <c r="E35" s="48"/>
      <c r="F35" s="48"/>
      <c r="G35" s="81">
        <v>1E-3</v>
      </c>
      <c r="H35" s="48" t="s">
        <v>700</v>
      </c>
    </row>
    <row r="36" spans="2:10">
      <c r="B36" s="47">
        <v>3</v>
      </c>
      <c r="C36" s="48" t="s">
        <v>328</v>
      </c>
      <c r="D36" s="970" t="e">
        <f>ROUND(D28*G36,0)</f>
        <v>#REF!</v>
      </c>
      <c r="E36" s="48"/>
      <c r="F36" s="48"/>
      <c r="G36" s="85">
        <v>2.5000000000000001E-4</v>
      </c>
      <c r="H36" s="48" t="s">
        <v>701</v>
      </c>
      <c r="I36" s="110"/>
      <c r="J36" s="111"/>
    </row>
    <row r="37" spans="2:10">
      <c r="B37" s="47">
        <v>4</v>
      </c>
      <c r="C37" s="48" t="s">
        <v>331</v>
      </c>
      <c r="D37" s="970" t="e">
        <f>ROUND(D8*G37,0)</f>
        <v>#REF!</v>
      </c>
      <c r="E37" s="48"/>
      <c r="F37" s="48"/>
      <c r="G37" s="81">
        <v>0.01</v>
      </c>
      <c r="H37" s="48" t="s">
        <v>314</v>
      </c>
      <c r="I37" s="110"/>
      <c r="J37" s="111"/>
    </row>
    <row r="38" spans="2:10">
      <c r="B38" s="47">
        <v>5</v>
      </c>
      <c r="C38" s="48" t="s">
        <v>702</v>
      </c>
      <c r="D38" s="971" t="e">
        <f>ROUND(D31+D35+D36+D37,0)</f>
        <v>#REF!</v>
      </c>
      <c r="E38" s="48"/>
      <c r="F38" s="48"/>
      <c r="G38" s="48"/>
      <c r="H38" s="48"/>
      <c r="I38" s="110"/>
      <c r="J38" s="111"/>
    </row>
    <row r="39" spans="2:10">
      <c r="B39" s="1344" t="s">
        <v>703</v>
      </c>
      <c r="C39" s="1345"/>
      <c r="D39" s="1345"/>
      <c r="E39" s="1345"/>
      <c r="F39" s="1345"/>
      <c r="G39" s="1345"/>
      <c r="H39" s="1346"/>
      <c r="I39" s="110"/>
      <c r="J39" s="112"/>
    </row>
    <row r="40" spans="2:10">
      <c r="B40" s="47">
        <v>1</v>
      </c>
      <c r="C40" s="48" t="s">
        <v>704</v>
      </c>
      <c r="D40" s="86" t="e">
        <f>ROUND(D8-D38,0)</f>
        <v>#REF!</v>
      </c>
      <c r="E40" s="48"/>
      <c r="F40" s="47" t="s">
        <v>705</v>
      </c>
      <c r="G40" s="87">
        <v>3.5000000000000003E-2</v>
      </c>
      <c r="H40" s="48"/>
      <c r="I40" s="110"/>
      <c r="J40" s="112"/>
    </row>
    <row r="41" spans="2:10">
      <c r="B41" s="47">
        <v>2</v>
      </c>
      <c r="C41" s="48" t="s">
        <v>706</v>
      </c>
      <c r="D41" s="88">
        <v>0.06</v>
      </c>
      <c r="E41" s="48"/>
      <c r="F41" s="48"/>
      <c r="G41" s="48"/>
      <c r="H41" s="48"/>
    </row>
    <row r="42" spans="2:10">
      <c r="B42" s="47">
        <v>3</v>
      </c>
      <c r="C42" s="48" t="s">
        <v>285</v>
      </c>
      <c r="D42" s="89">
        <f>'收益法 '!D42+10</f>
        <v>43.27</v>
      </c>
      <c r="E42" s="48"/>
      <c r="F42" s="48"/>
      <c r="G42" s="48"/>
      <c r="H42" s="871" t="s">
        <v>872</v>
      </c>
      <c r="I42" s="113"/>
      <c r="J42" s="113"/>
    </row>
    <row r="43" spans="2:10">
      <c r="B43" s="47">
        <v>4</v>
      </c>
      <c r="C43" s="90" t="s">
        <v>81</v>
      </c>
      <c r="D43" s="86" t="e">
        <f>ROUND(D40/(D41-G40)*(1-POWER(((1+G40)/(1+D41)),D42)),0)</f>
        <v>#REF!</v>
      </c>
      <c r="E43" s="48"/>
      <c r="F43" s="91"/>
      <c r="G43" s="48"/>
      <c r="H43" s="871" t="s">
        <v>873</v>
      </c>
      <c r="I43" s="113"/>
      <c r="J43" s="113"/>
    </row>
    <row r="44" spans="2:10">
      <c r="B44" s="47"/>
      <c r="C44" s="870" t="s">
        <v>871</v>
      </c>
      <c r="D44" s="93" t="e">
        <f>ROUND(D43*10000/E5,0)</f>
        <v>#REF!</v>
      </c>
      <c r="E44" s="153"/>
      <c r="F44" s="94"/>
      <c r="G44" s="94"/>
      <c r="H44" s="94"/>
    </row>
    <row r="45" spans="2:10">
      <c r="B45" s="154"/>
      <c r="C45" s="973" t="s">
        <v>1054</v>
      </c>
      <c r="D45" s="155" t="e">
        <f>D44*35</f>
        <v>#REF!</v>
      </c>
    </row>
    <row r="46" spans="2:10">
      <c r="C46" s="156" t="s">
        <v>349</v>
      </c>
      <c r="D46" s="157" t="e">
        <f>ROUND(D28*D47,0)</f>
        <v>#REF!</v>
      </c>
      <c r="E46" s="97"/>
      <c r="F46" s="97"/>
    </row>
    <row r="47" spans="2:10">
      <c r="C47" s="98" t="s">
        <v>350</v>
      </c>
      <c r="D47" s="99">
        <v>0.06</v>
      </c>
      <c r="E47" s="98" t="s">
        <v>351</v>
      </c>
      <c r="F47" s="99"/>
    </row>
    <row r="48" spans="2:10">
      <c r="C48" s="1261" t="s">
        <v>352</v>
      </c>
      <c r="D48" s="1262"/>
      <c r="E48" s="1262"/>
      <c r="F48" s="1263"/>
    </row>
    <row r="49" spans="1:9">
      <c r="C49" s="1264" t="s">
        <v>353</v>
      </c>
      <c r="D49" s="1264"/>
      <c r="E49" s="1265" t="s">
        <v>354</v>
      </c>
      <c r="F49" s="1266"/>
    </row>
    <row r="50" spans="1:9">
      <c r="C50" s="95" t="s">
        <v>355</v>
      </c>
      <c r="D50" s="100" t="e">
        <f>D46/D40</f>
        <v>#REF!</v>
      </c>
      <c r="E50" s="101"/>
      <c r="F50" s="100"/>
    </row>
    <row r="51" spans="1:9">
      <c r="C51" s="95" t="s">
        <v>356</v>
      </c>
      <c r="D51" s="100" t="e">
        <f>1-D50</f>
        <v>#REF!</v>
      </c>
      <c r="E51" s="101"/>
      <c r="F51" s="102"/>
    </row>
    <row r="54" spans="1:9" s="142" customFormat="1">
      <c r="A54" s="1523" t="s">
        <v>722</v>
      </c>
      <c r="B54" s="1523"/>
      <c r="C54" s="1523"/>
      <c r="D54" s="1523"/>
      <c r="E54" s="1523"/>
      <c r="F54" s="1523"/>
      <c r="G54" s="1523"/>
      <c r="H54" s="1523"/>
      <c r="I54" s="1523"/>
    </row>
    <row r="55" spans="1:9" s="143" customFormat="1" ht="12">
      <c r="B55" s="158"/>
      <c r="C55" s="159" t="s">
        <v>80</v>
      </c>
      <c r="D55" s="160" t="e">
        <f>D28</f>
        <v>#REF!</v>
      </c>
      <c r="E55" s="161" t="s">
        <v>723</v>
      </c>
      <c r="F55" s="162" t="e">
        <f>D43-D55</f>
        <v>#REF!</v>
      </c>
      <c r="G55" s="143" t="s">
        <v>724</v>
      </c>
    </row>
    <row r="56" spans="1:9" s="143" customFormat="1" ht="12">
      <c r="B56" s="158"/>
      <c r="C56" s="159" t="s">
        <v>725</v>
      </c>
      <c r="D56" s="160" t="e">
        <f>M25</f>
        <v>#REF!</v>
      </c>
      <c r="E56" s="161" t="s">
        <v>726</v>
      </c>
      <c r="F56" s="162" t="e">
        <f>D40-D56</f>
        <v>#REF!</v>
      </c>
      <c r="G56" s="143" t="s">
        <v>727</v>
      </c>
    </row>
    <row r="57" spans="1:9" s="143" customFormat="1" ht="12">
      <c r="B57" s="158"/>
      <c r="C57" s="159" t="s">
        <v>717</v>
      </c>
      <c r="D57" s="163" t="e">
        <f>D55/D43</f>
        <v>#REF!</v>
      </c>
      <c r="E57" s="159" t="s">
        <v>718</v>
      </c>
      <c r="F57" s="163" t="e">
        <f>F55/D43</f>
        <v>#REF!</v>
      </c>
    </row>
    <row r="58" spans="1:9" s="143" customFormat="1" ht="12">
      <c r="B58" s="158"/>
      <c r="C58" s="164" t="s">
        <v>350</v>
      </c>
      <c r="D58" s="165" t="str">
        <f>N26</f>
        <v>范围8%-10%</v>
      </c>
      <c r="E58" s="161" t="s">
        <v>728</v>
      </c>
      <c r="F58" s="166" t="e">
        <f>F56/F55</f>
        <v>#REF!</v>
      </c>
      <c r="G58" s="143" t="s">
        <v>729</v>
      </c>
    </row>
    <row r="59" spans="1:9" s="142" customFormat="1">
      <c r="B59" s="167"/>
    </row>
    <row r="60" spans="1:9" s="144" customFormat="1" ht="12">
      <c r="B60" s="168"/>
      <c r="C60" s="169" t="s">
        <v>730</v>
      </c>
      <c r="D60" s="170" t="e">
        <f>ROUND(D57*M26+F57*F58,4)</f>
        <v>#REF!</v>
      </c>
      <c r="E60" s="171" t="s">
        <v>731</v>
      </c>
    </row>
    <row r="61" spans="1:9" s="145" customFormat="1">
      <c r="B61" s="172"/>
      <c r="C61" s="173"/>
      <c r="D61" s="174"/>
    </row>
    <row r="62" spans="1:9" s="146" customFormat="1" ht="12">
      <c r="B62" s="175"/>
      <c r="C62" s="176" t="s">
        <v>732</v>
      </c>
    </row>
    <row r="63" spans="1:9" s="147" customFormat="1" ht="12">
      <c r="B63" s="177"/>
      <c r="C63" s="178" t="s">
        <v>81</v>
      </c>
      <c r="D63" s="179" t="e">
        <f>D43</f>
        <v>#REF!</v>
      </c>
    </row>
    <row r="64" spans="1:9" s="147" customFormat="1" ht="12">
      <c r="B64" s="177"/>
      <c r="C64" s="178" t="s">
        <v>733</v>
      </c>
      <c r="D64" s="180" t="e">
        <f>D40/D63</f>
        <v>#REF!</v>
      </c>
      <c r="E64" s="147" t="s">
        <v>734</v>
      </c>
    </row>
  </sheetData>
  <mergeCells count="12">
    <mergeCell ref="B39:H39"/>
    <mergeCell ref="C48:F48"/>
    <mergeCell ref="C49:D49"/>
    <mergeCell ref="E49:F49"/>
    <mergeCell ref="A54:I54"/>
    <mergeCell ref="B29:H29"/>
    <mergeCell ref="G23:G24"/>
    <mergeCell ref="B1:H1"/>
    <mergeCell ref="B2:H2"/>
    <mergeCell ref="B9:H9"/>
    <mergeCell ref="D19:H19"/>
    <mergeCell ref="D22:H22"/>
  </mergeCells>
  <phoneticPr fontId="93" type="noConversion"/>
  <pageMargins left="0.69861111111111107" right="0.69861111111111107" top="0.75" bottom="0.75" header="0.3" footer="0.3"/>
  <pageSetup paperSize="9" scale="65"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6:F66"/>
  <sheetViews>
    <sheetView view="pageBreakPreview" topLeftCell="A52" zoomScaleSheetLayoutView="100" workbookViewId="0">
      <selection activeCell="B59" sqref="B59"/>
    </sheetView>
  </sheetViews>
  <sheetFormatPr defaultRowHeight="13.5"/>
  <cols>
    <col min="2" max="2" width="13.625" customWidth="1"/>
  </cols>
  <sheetData>
    <row r="56" spans="1:6" ht="14.25" thickBot="1"/>
    <row r="57" spans="1:6" ht="14.25" thickBot="1">
      <c r="A57" s="1117" t="s">
        <v>1425</v>
      </c>
      <c r="B57" s="1118">
        <v>42741</v>
      </c>
      <c r="C57" s="1119"/>
      <c r="D57" s="1119"/>
      <c r="E57" s="1119"/>
      <c r="F57" s="1119"/>
    </row>
    <row r="58" spans="1:6" ht="40.5">
      <c r="A58" s="1120" t="s">
        <v>1426</v>
      </c>
      <c r="B58" s="1121" t="s">
        <v>1427</v>
      </c>
      <c r="C58" s="1122" t="s">
        <v>1428</v>
      </c>
      <c r="D58" s="1121" t="s">
        <v>1429</v>
      </c>
      <c r="E58" s="1123" t="s">
        <v>1430</v>
      </c>
      <c r="F58" s="1119"/>
    </row>
    <row r="59" spans="1:6" ht="14.25" thickBot="1">
      <c r="A59" s="1124">
        <v>40</v>
      </c>
      <c r="B59" s="1125">
        <v>54886</v>
      </c>
      <c r="C59" s="1126">
        <f>ROUNDDOWN(MIN((B59-B57)/365,A59),2)</f>
        <v>33.270000000000003</v>
      </c>
      <c r="D59" s="1127">
        <f>IF(ISERROR(ROUND(POWER(1+E59,A59-C59)*(POWER(1+E59,C59)-1)/(POWER(1+E59,A59)-1),3)),0,ROUND(POWER(1+E59,A59-C59)*(POWER(1+E59,C59)-1)/(POWER(1+E59,A59)-1),3))</f>
        <v>0.92100000000000004</v>
      </c>
      <c r="E59" s="1128">
        <v>0.04</v>
      </c>
      <c r="F59" s="1119"/>
    </row>
    <row r="60" spans="1:6" ht="14.25" thickBot="1">
      <c r="A60" s="1119"/>
      <c r="B60" s="1119"/>
      <c r="C60" s="1119"/>
      <c r="D60" s="1119"/>
      <c r="E60" s="1119"/>
      <c r="F60" s="1119"/>
    </row>
    <row r="61" spans="1:6" ht="14.25" thickBot="1">
      <c r="A61" s="1129" t="s">
        <v>1431</v>
      </c>
      <c r="B61" s="1130"/>
      <c r="C61" s="1119"/>
      <c r="D61" s="1119"/>
      <c r="E61" s="1119"/>
      <c r="F61" s="1119"/>
    </row>
    <row r="62" spans="1:6" ht="14.25" thickBot="1">
      <c r="A62" s="1524" t="s">
        <v>1432</v>
      </c>
      <c r="B62" s="1525"/>
      <c r="C62" s="1524" t="s">
        <v>1430</v>
      </c>
      <c r="D62" s="1525"/>
      <c r="E62" s="1524" t="s">
        <v>1429</v>
      </c>
      <c r="F62" s="1525"/>
    </row>
    <row r="63" spans="1:6">
      <c r="A63" s="1131" t="s">
        <v>1433</v>
      </c>
      <c r="B63" s="1132">
        <v>50</v>
      </c>
      <c r="C63" s="1133" t="s">
        <v>1434</v>
      </c>
      <c r="D63" s="1134">
        <v>0.06</v>
      </c>
      <c r="E63" s="1133" t="s">
        <v>1435</v>
      </c>
      <c r="F63" s="1135">
        <f>1-(1/(POWER(1+D63,B63)))</f>
        <v>0.94571163818330928</v>
      </c>
    </row>
    <row r="64" spans="1:6" ht="14.25" thickBot="1">
      <c r="A64" s="1136" t="s">
        <v>1436</v>
      </c>
      <c r="B64" s="1137">
        <v>44.84</v>
      </c>
      <c r="C64" s="1138" t="s">
        <v>1437</v>
      </c>
      <c r="D64" s="1139">
        <v>0.06</v>
      </c>
      <c r="E64" s="1138" t="s">
        <v>1438</v>
      </c>
      <c r="F64" s="1140">
        <f>1-(1/(POWER(1+D64,B64)))</f>
        <v>0.9266694400061779</v>
      </c>
    </row>
    <row r="65" spans="1:6">
      <c r="A65" s="1131" t="s">
        <v>1439</v>
      </c>
      <c r="B65" s="1141">
        <v>5000</v>
      </c>
      <c r="C65" s="1133" t="s">
        <v>1440</v>
      </c>
      <c r="D65" s="1142">
        <v>5000</v>
      </c>
      <c r="E65" s="1119"/>
      <c r="F65" s="1119"/>
    </row>
    <row r="66" spans="1:6" ht="14.25" thickBot="1">
      <c r="A66" s="1136" t="s">
        <v>1440</v>
      </c>
      <c r="B66" s="1143">
        <f>ROUND(B65*F64/F63,2)</f>
        <v>4899.32</v>
      </c>
      <c r="C66" s="1138" t="s">
        <v>1439</v>
      </c>
      <c r="D66" s="1144">
        <f>ROUND(D65*F63/F64,2)</f>
        <v>5102.75</v>
      </c>
      <c r="E66" s="1119"/>
      <c r="F66" s="1119"/>
    </row>
  </sheetData>
  <mergeCells count="3">
    <mergeCell ref="A62:B62"/>
    <mergeCell ref="C62:D62"/>
    <mergeCell ref="E62:F62"/>
  </mergeCells>
  <phoneticPr fontId="89" type="noConversion"/>
  <dataValidations count="1">
    <dataValidation type="list" allowBlank="1" showInputMessage="1" showErrorMessage="1" sqref="A59">
      <formula1>"40,50,70"</formula1>
    </dataValidation>
  </dataValidations>
  <pageMargins left="0.70866141732283472" right="0.70866141732283472" top="0.74803149606299213" bottom="0.74803149606299213" header="0.31496062992125984" footer="0.31496062992125984"/>
  <pageSetup paperSize="9" scale="57" orientation="portrait" r:id="rId1"/>
  <colBreaks count="1" manualBreakCount="1">
    <brk id="13" max="1048575"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Q93"/>
  <sheetViews>
    <sheetView view="pageBreakPreview" zoomScale="91" zoomScaleSheetLayoutView="91" workbookViewId="0">
      <selection activeCell="F10" sqref="F10"/>
    </sheetView>
  </sheetViews>
  <sheetFormatPr defaultRowHeight="13.5"/>
  <cols>
    <col min="12" max="12" width="13.375" customWidth="1"/>
  </cols>
  <sheetData>
    <row r="1" spans="1:199" s="1005" customFormat="1" ht="20.25">
      <c r="A1" s="1527" t="s">
        <v>1089</v>
      </c>
      <c r="B1" s="1527"/>
      <c r="C1" s="1527"/>
      <c r="D1" s="1527"/>
      <c r="E1" s="1527"/>
      <c r="F1" s="1527"/>
      <c r="G1" s="1527"/>
      <c r="H1" s="1527"/>
      <c r="I1" s="1527"/>
      <c r="J1" s="1527"/>
      <c r="K1" s="1527"/>
      <c r="L1" s="1527"/>
      <c r="M1" s="1527"/>
      <c r="N1" s="1004"/>
      <c r="O1" s="1004"/>
      <c r="P1" s="1004"/>
      <c r="Q1" s="1004"/>
      <c r="R1" s="1004"/>
      <c r="S1" s="1004"/>
      <c r="T1" s="1004"/>
      <c r="U1" s="1004"/>
      <c r="V1" s="1004"/>
      <c r="W1" s="1004"/>
      <c r="X1" s="1004"/>
      <c r="Y1" s="1004"/>
      <c r="Z1" s="1004"/>
      <c r="AA1" s="1004"/>
      <c r="AB1" s="1004"/>
      <c r="AC1" s="1004"/>
      <c r="AD1" s="1004"/>
      <c r="AE1" s="1004"/>
      <c r="AF1" s="1004"/>
      <c r="AG1" s="1004"/>
      <c r="AH1" s="1004"/>
      <c r="AI1" s="1004"/>
      <c r="AJ1" s="1004"/>
      <c r="AK1" s="1004"/>
      <c r="AL1" s="1004"/>
      <c r="AM1" s="1004"/>
      <c r="AN1" s="1004"/>
      <c r="AO1" s="1004"/>
      <c r="AP1" s="1004"/>
      <c r="AQ1" s="1004"/>
      <c r="AR1" s="1004"/>
      <c r="AS1" s="1004"/>
      <c r="AT1" s="1004"/>
      <c r="AU1" s="1004"/>
      <c r="AV1" s="1004"/>
      <c r="AW1" s="1004"/>
      <c r="AX1" s="1004"/>
      <c r="AY1" s="1004"/>
      <c r="AZ1" s="1004"/>
      <c r="BA1" s="1004"/>
      <c r="BB1" s="1004"/>
      <c r="BC1" s="1004"/>
      <c r="BD1" s="1004"/>
      <c r="BE1" s="1004"/>
      <c r="BF1" s="1004"/>
      <c r="BG1" s="1004"/>
      <c r="BH1" s="1004"/>
      <c r="BI1" s="1004"/>
      <c r="BJ1" s="1004"/>
      <c r="BK1" s="1004"/>
      <c r="BL1" s="1004"/>
      <c r="BM1" s="1004"/>
      <c r="BN1" s="1004"/>
      <c r="BO1" s="1004"/>
      <c r="BP1" s="1004"/>
      <c r="BQ1" s="1004"/>
      <c r="BR1" s="1004"/>
      <c r="BS1" s="1004"/>
      <c r="BT1" s="1004"/>
      <c r="BU1" s="1004"/>
      <c r="BV1" s="1004"/>
      <c r="BW1" s="1004"/>
      <c r="BX1" s="1004"/>
      <c r="BY1" s="1004"/>
      <c r="BZ1" s="1004"/>
      <c r="CA1" s="1004"/>
      <c r="CB1" s="1004"/>
      <c r="CC1" s="1004"/>
      <c r="CD1" s="1004"/>
      <c r="CE1" s="1004"/>
      <c r="CF1" s="1004"/>
      <c r="CG1" s="1004"/>
      <c r="CH1" s="1004"/>
      <c r="CI1" s="1004"/>
      <c r="CJ1" s="1004"/>
      <c r="CK1" s="1004"/>
      <c r="CL1" s="1004"/>
      <c r="CM1" s="1004"/>
      <c r="CN1" s="1004"/>
      <c r="CO1" s="1004"/>
      <c r="CP1" s="1004"/>
      <c r="CQ1" s="1004"/>
      <c r="CR1" s="1004"/>
      <c r="CS1" s="1004"/>
      <c r="CT1" s="1004"/>
      <c r="CU1" s="1004"/>
      <c r="CV1" s="1004"/>
      <c r="CW1" s="1004"/>
      <c r="CX1" s="1004"/>
      <c r="CY1" s="1004"/>
      <c r="CZ1" s="1004"/>
      <c r="DA1" s="1004"/>
      <c r="DB1" s="1004"/>
      <c r="DC1" s="1004"/>
      <c r="DD1" s="1004"/>
      <c r="DE1" s="1004"/>
      <c r="DF1" s="1004"/>
      <c r="DG1" s="1004"/>
      <c r="DH1" s="1004"/>
      <c r="DI1" s="1004"/>
      <c r="DJ1" s="1004"/>
      <c r="DK1" s="1004"/>
      <c r="DL1" s="1004"/>
      <c r="DM1" s="1004"/>
      <c r="DN1" s="1004"/>
      <c r="DO1" s="1004"/>
      <c r="DP1" s="1004"/>
      <c r="DQ1" s="1004"/>
      <c r="DR1" s="1004"/>
      <c r="DS1" s="1004"/>
      <c r="DT1" s="1004"/>
      <c r="DU1" s="1004"/>
      <c r="DV1" s="1004"/>
      <c r="DW1" s="1004"/>
      <c r="DX1" s="1004"/>
      <c r="DY1" s="1004"/>
      <c r="DZ1" s="1004"/>
      <c r="EA1" s="1004"/>
      <c r="EB1" s="1004"/>
      <c r="EC1" s="1004"/>
      <c r="ED1" s="1004"/>
      <c r="EE1" s="1004"/>
      <c r="EF1" s="1004"/>
      <c r="EG1" s="1004"/>
      <c r="EH1" s="1004"/>
      <c r="EI1" s="1004"/>
      <c r="EJ1" s="1004"/>
      <c r="EK1" s="1004"/>
      <c r="EL1" s="1004"/>
      <c r="EM1" s="1004"/>
      <c r="EN1" s="1004"/>
      <c r="EO1" s="1004"/>
      <c r="EP1" s="1004"/>
      <c r="EQ1" s="1004"/>
      <c r="ER1" s="1004"/>
      <c r="ES1" s="1004"/>
      <c r="ET1" s="1004"/>
      <c r="EU1" s="1004"/>
      <c r="EV1" s="1004"/>
      <c r="EW1" s="1004"/>
      <c r="EX1" s="1004"/>
      <c r="EY1" s="1004"/>
      <c r="EZ1" s="1004"/>
      <c r="FA1" s="1004"/>
      <c r="FB1" s="1004"/>
      <c r="FC1" s="1004"/>
      <c r="FD1" s="1004"/>
      <c r="FE1" s="1004"/>
      <c r="FF1" s="1004"/>
      <c r="FG1" s="1004"/>
      <c r="FH1" s="1004"/>
      <c r="FI1" s="1004"/>
      <c r="FJ1" s="1004"/>
      <c r="FK1" s="1004"/>
      <c r="FL1" s="1004"/>
      <c r="FM1" s="1004"/>
      <c r="FN1" s="1004"/>
      <c r="FO1" s="1004"/>
      <c r="FP1" s="1004"/>
      <c r="FQ1" s="1004"/>
      <c r="FR1" s="1004"/>
      <c r="FS1" s="1004"/>
      <c r="FT1" s="1004"/>
      <c r="FU1" s="1004"/>
      <c r="FV1" s="1004"/>
      <c r="FW1" s="1004"/>
      <c r="FX1" s="1004"/>
      <c r="FY1" s="1004"/>
      <c r="FZ1" s="1004"/>
      <c r="GA1" s="1004"/>
      <c r="GB1" s="1004"/>
      <c r="GC1" s="1004"/>
      <c r="GD1" s="1004"/>
      <c r="GE1" s="1004"/>
      <c r="GF1" s="1004"/>
      <c r="GG1" s="1004"/>
      <c r="GH1" s="1004"/>
      <c r="GI1" s="1004"/>
      <c r="GJ1" s="1004"/>
      <c r="GK1" s="1004"/>
      <c r="GL1" s="1004"/>
      <c r="GM1" s="1004"/>
      <c r="GN1" s="1004"/>
      <c r="GO1" s="1004"/>
      <c r="GP1" s="1004"/>
      <c r="GQ1" s="1004"/>
    </row>
    <row r="2" spans="1:199" s="1006" customFormat="1" ht="12">
      <c r="A2" s="1528" t="s">
        <v>69</v>
      </c>
      <c r="B2" s="1528" t="s">
        <v>668</v>
      </c>
      <c r="C2" s="1528" t="s">
        <v>1090</v>
      </c>
      <c r="D2" s="1528" t="s">
        <v>1091</v>
      </c>
      <c r="E2" s="1529" t="s">
        <v>1092</v>
      </c>
      <c r="F2" s="1529"/>
      <c r="G2" s="1529"/>
      <c r="H2" s="1529"/>
      <c r="I2" s="1529"/>
      <c r="J2" s="1530" t="s">
        <v>1093</v>
      </c>
      <c r="K2" s="1531" t="s">
        <v>1094</v>
      </c>
      <c r="L2" s="1531"/>
      <c r="M2" s="1531"/>
      <c r="N2" s="1528" t="s">
        <v>1095</v>
      </c>
      <c r="O2" s="1528"/>
    </row>
    <row r="3" spans="1:199" s="1006" customFormat="1" ht="24">
      <c r="A3" s="1528"/>
      <c r="B3" s="1528"/>
      <c r="C3" s="1528"/>
      <c r="D3" s="1528"/>
      <c r="E3" s="1007" t="s">
        <v>1096</v>
      </c>
      <c r="F3" s="1008" t="s">
        <v>1097</v>
      </c>
      <c r="G3" s="1009" t="s">
        <v>1098</v>
      </c>
      <c r="H3" s="1007" t="s">
        <v>1099</v>
      </c>
      <c r="I3" s="1010" t="s">
        <v>1100</v>
      </c>
      <c r="J3" s="1530"/>
      <c r="K3" s="1007" t="s">
        <v>1101</v>
      </c>
      <c r="L3" s="1007" t="s">
        <v>1102</v>
      </c>
      <c r="M3" s="1007" t="s">
        <v>1103</v>
      </c>
      <c r="N3" s="1007" t="s">
        <v>1104</v>
      </c>
      <c r="O3" s="1007" t="s">
        <v>1105</v>
      </c>
    </row>
    <row r="4" spans="1:199" s="1018" customFormat="1" ht="36">
      <c r="A4" s="1011">
        <v>1</v>
      </c>
      <c r="B4" s="1532" t="s">
        <v>1106</v>
      </c>
      <c r="C4" s="964" t="s">
        <v>1107</v>
      </c>
      <c r="D4" s="964" t="s">
        <v>1108</v>
      </c>
      <c r="E4" s="1012" t="s">
        <v>1109</v>
      </c>
      <c r="F4" s="964" t="s">
        <v>1110</v>
      </c>
      <c r="G4" s="1013">
        <v>301</v>
      </c>
      <c r="H4" s="964" t="s">
        <v>1111</v>
      </c>
      <c r="I4" s="1012"/>
      <c r="J4" s="1014"/>
      <c r="K4" s="1015">
        <v>35</v>
      </c>
      <c r="L4" s="1016">
        <f>G4*K4*30</f>
        <v>316050</v>
      </c>
      <c r="M4" s="1017"/>
      <c r="N4" s="964">
        <v>18311</v>
      </c>
      <c r="O4" s="964">
        <v>2000</v>
      </c>
    </row>
    <row r="5" spans="1:199" s="1018" customFormat="1" ht="36">
      <c r="A5" s="1011">
        <v>2</v>
      </c>
      <c r="B5" s="1533"/>
      <c r="C5" s="964" t="s">
        <v>1112</v>
      </c>
      <c r="D5" s="964" t="s">
        <v>1113</v>
      </c>
      <c r="E5" s="1012" t="s">
        <v>1109</v>
      </c>
      <c r="F5" s="964" t="s">
        <v>1114</v>
      </c>
      <c r="G5" s="1013">
        <v>84</v>
      </c>
      <c r="H5" s="964" t="s">
        <v>1111</v>
      </c>
      <c r="I5" s="1012"/>
      <c r="J5" s="1014"/>
      <c r="K5" s="1015">
        <v>50</v>
      </c>
      <c r="L5" s="1016">
        <f t="shared" ref="L5:L80" si="0">G5*K5*30</f>
        <v>126000</v>
      </c>
      <c r="M5" s="1017"/>
      <c r="N5" s="964">
        <v>5100</v>
      </c>
      <c r="O5" s="964">
        <v>1500</v>
      </c>
    </row>
    <row r="6" spans="1:199" s="1004" customFormat="1" ht="36">
      <c r="A6" s="1011">
        <v>3</v>
      </c>
      <c r="B6" s="1533"/>
      <c r="C6" s="1019" t="s">
        <v>1115</v>
      </c>
      <c r="D6" s="1019" t="s">
        <v>1116</v>
      </c>
      <c r="E6" s="1012" t="s">
        <v>1109</v>
      </c>
      <c r="F6" s="1019" t="s">
        <v>1117</v>
      </c>
      <c r="G6" s="1020">
        <v>200</v>
      </c>
      <c r="H6" s="1019" t="s">
        <v>1118</v>
      </c>
      <c r="I6" s="1007"/>
      <c r="J6" s="1021"/>
      <c r="K6" s="1022">
        <v>35</v>
      </c>
      <c r="L6" s="1016">
        <f t="shared" si="0"/>
        <v>210000</v>
      </c>
      <c r="M6" s="1023"/>
      <c r="N6" s="1019">
        <v>12167</v>
      </c>
      <c r="O6" s="1019">
        <v>2000</v>
      </c>
    </row>
    <row r="7" spans="1:199" s="1004" customFormat="1" ht="20.25" customHeight="1">
      <c r="A7" s="1011">
        <v>4</v>
      </c>
      <c r="B7" s="1533"/>
      <c r="C7" s="964" t="s">
        <v>1119</v>
      </c>
      <c r="D7" s="964" t="s">
        <v>1120</v>
      </c>
      <c r="E7" s="1012" t="s">
        <v>1121</v>
      </c>
      <c r="F7" s="964" t="s">
        <v>1122</v>
      </c>
      <c r="G7" s="1013">
        <v>289</v>
      </c>
      <c r="H7" s="964" t="s">
        <v>1123</v>
      </c>
      <c r="I7" s="1012"/>
      <c r="J7" s="1014"/>
      <c r="K7" s="1015">
        <v>40</v>
      </c>
      <c r="L7" s="1016">
        <f t="shared" si="0"/>
        <v>346800</v>
      </c>
      <c r="M7" s="1017"/>
      <c r="N7" s="964">
        <v>17581</v>
      </c>
      <c r="O7" s="964">
        <v>2000</v>
      </c>
    </row>
    <row r="8" spans="1:199" s="1004" customFormat="1" ht="26.25" customHeight="1">
      <c r="A8" s="1011">
        <v>5</v>
      </c>
      <c r="B8" s="1533"/>
      <c r="C8" s="964" t="s">
        <v>1124</v>
      </c>
      <c r="D8" s="964" t="s">
        <v>1125</v>
      </c>
      <c r="E8" s="1012" t="s">
        <v>1121</v>
      </c>
      <c r="F8" s="964" t="s">
        <v>1126</v>
      </c>
      <c r="G8" s="1013">
        <v>116</v>
      </c>
      <c r="H8" s="964" t="s">
        <v>1123</v>
      </c>
      <c r="I8" s="1012"/>
      <c r="J8" s="1014"/>
      <c r="K8" s="1015">
        <v>45</v>
      </c>
      <c r="L8" s="1016">
        <f t="shared" si="0"/>
        <v>156600</v>
      </c>
      <c r="M8" s="1017"/>
      <c r="N8" s="964">
        <v>7057</v>
      </c>
      <c r="O8" s="964">
        <v>1500</v>
      </c>
    </row>
    <row r="9" spans="1:199" s="1032" customFormat="1" ht="26.25" customHeight="1">
      <c r="A9" s="1024">
        <v>6</v>
      </c>
      <c r="B9" s="1533"/>
      <c r="C9" s="1025"/>
      <c r="D9" s="1025" t="s">
        <v>1127</v>
      </c>
      <c r="E9" s="1026" t="s">
        <v>1121</v>
      </c>
      <c r="F9" s="1025" t="s">
        <v>1128</v>
      </c>
      <c r="G9" s="1027">
        <v>245</v>
      </c>
      <c r="H9" s="1025"/>
      <c r="I9" s="1026"/>
      <c r="J9" s="1028"/>
      <c r="K9" s="1029"/>
      <c r="L9" s="1030"/>
      <c r="M9" s="1031"/>
      <c r="N9" s="1025"/>
      <c r="O9" s="1025"/>
    </row>
    <row r="10" spans="1:199" s="1032" customFormat="1" ht="26.25" customHeight="1">
      <c r="A10" s="1024">
        <v>7</v>
      </c>
      <c r="B10" s="1533"/>
      <c r="C10" s="1025"/>
      <c r="D10" s="1025" t="s">
        <v>1129</v>
      </c>
      <c r="E10" s="1026"/>
      <c r="F10" s="1025" t="s">
        <v>1130</v>
      </c>
      <c r="G10" s="1027">
        <v>278</v>
      </c>
      <c r="H10" s="1025"/>
      <c r="I10" s="1026"/>
      <c r="J10" s="1028"/>
      <c r="K10" s="1029"/>
      <c r="L10" s="1030"/>
      <c r="M10" s="1031"/>
      <c r="N10" s="1025"/>
      <c r="O10" s="1025"/>
    </row>
    <row r="11" spans="1:199" s="1032" customFormat="1" ht="26.25" customHeight="1">
      <c r="A11" s="1024">
        <v>8</v>
      </c>
      <c r="B11" s="1533"/>
      <c r="C11" s="1025"/>
      <c r="D11" s="1025" t="s">
        <v>1131</v>
      </c>
      <c r="E11" s="1026"/>
      <c r="F11" s="1025" t="s">
        <v>1132</v>
      </c>
      <c r="G11" s="1027">
        <v>225</v>
      </c>
      <c r="H11" s="1025"/>
      <c r="I11" s="1026"/>
      <c r="J11" s="1028"/>
      <c r="K11" s="1029"/>
      <c r="L11" s="1030"/>
      <c r="M11" s="1031"/>
      <c r="N11" s="1025"/>
      <c r="O11" s="1025"/>
    </row>
    <row r="12" spans="1:199" s="1032" customFormat="1" ht="26.25" customHeight="1">
      <c r="A12" s="1024">
        <v>9</v>
      </c>
      <c r="B12" s="1533"/>
      <c r="C12" s="1025"/>
      <c r="D12" s="1025" t="s">
        <v>1133</v>
      </c>
      <c r="E12" s="1026"/>
      <c r="F12" s="1025" t="s">
        <v>1134</v>
      </c>
      <c r="G12" s="1027">
        <v>364</v>
      </c>
      <c r="H12" s="1025"/>
      <c r="I12" s="1026"/>
      <c r="J12" s="1028"/>
      <c r="K12" s="1029"/>
      <c r="L12" s="1030"/>
      <c r="M12" s="1031"/>
      <c r="N12" s="1025"/>
      <c r="O12" s="1025"/>
    </row>
    <row r="13" spans="1:199" s="1032" customFormat="1" ht="26.25" customHeight="1">
      <c r="A13" s="1024">
        <v>10</v>
      </c>
      <c r="B13" s="1534"/>
      <c r="C13" s="1025"/>
      <c r="D13" s="1025" t="s">
        <v>1135</v>
      </c>
      <c r="E13" s="1026"/>
      <c r="F13" s="1025" t="s">
        <v>1136</v>
      </c>
      <c r="G13" s="1027">
        <v>195</v>
      </c>
      <c r="H13" s="1025"/>
      <c r="I13" s="1026"/>
      <c r="J13" s="1028"/>
      <c r="K13" s="1029"/>
      <c r="L13" s="1030"/>
      <c r="M13" s="1031"/>
      <c r="N13" s="1025"/>
      <c r="O13" s="1025"/>
    </row>
    <row r="14" spans="1:199" s="1018" customFormat="1" ht="36">
      <c r="A14" s="1011">
        <v>11</v>
      </c>
      <c r="B14" s="1535" t="s">
        <v>1137</v>
      </c>
      <c r="C14" s="964" t="s">
        <v>1138</v>
      </c>
      <c r="D14" s="964" t="s">
        <v>1139</v>
      </c>
      <c r="E14" s="1007" t="s">
        <v>1109</v>
      </c>
      <c r="F14" s="964" t="s">
        <v>1140</v>
      </c>
      <c r="G14" s="1013">
        <v>547</v>
      </c>
      <c r="H14" s="964" t="s">
        <v>1123</v>
      </c>
      <c r="I14" s="1007"/>
      <c r="J14" s="1014"/>
      <c r="K14" s="1015">
        <v>25</v>
      </c>
      <c r="L14" s="1016">
        <f t="shared" si="0"/>
        <v>410250</v>
      </c>
      <c r="M14" s="1017"/>
      <c r="N14" s="964">
        <v>16638</v>
      </c>
      <c r="O14" s="964">
        <v>3000</v>
      </c>
    </row>
    <row r="15" spans="1:199" s="1004" customFormat="1" ht="36">
      <c r="A15" s="1011">
        <v>12</v>
      </c>
      <c r="B15" s="1535"/>
      <c r="C15" s="964" t="s">
        <v>1141</v>
      </c>
      <c r="D15" s="964" t="s">
        <v>1142</v>
      </c>
      <c r="E15" s="1007" t="s">
        <v>1109</v>
      </c>
      <c r="F15" s="964" t="s">
        <v>1143</v>
      </c>
      <c r="G15" s="1013">
        <v>285</v>
      </c>
      <c r="H15" s="964" t="s">
        <v>1144</v>
      </c>
      <c r="I15" s="1012"/>
      <c r="J15" s="1014"/>
      <c r="K15" s="1015">
        <v>15</v>
      </c>
      <c r="L15" s="1016">
        <f t="shared" si="0"/>
        <v>128250</v>
      </c>
      <c r="M15" s="1017"/>
      <c r="N15" s="964">
        <v>0</v>
      </c>
      <c r="O15" s="964">
        <v>2000</v>
      </c>
      <c r="P15" s="1018"/>
      <c r="Q15" s="1018"/>
      <c r="R15" s="1018"/>
      <c r="S15" s="1018"/>
      <c r="T15" s="1018"/>
      <c r="U15" s="1018"/>
      <c r="V15" s="1018"/>
      <c r="W15" s="1018"/>
      <c r="X15" s="1018"/>
      <c r="Y15" s="1018"/>
      <c r="Z15" s="1018"/>
      <c r="AA15" s="1018"/>
      <c r="AB15" s="1018"/>
      <c r="AC15" s="1018"/>
      <c r="AD15" s="1018"/>
      <c r="AE15" s="1018"/>
      <c r="AF15" s="1018"/>
      <c r="AG15" s="1018"/>
      <c r="AH15" s="1018"/>
      <c r="AI15" s="1018"/>
      <c r="AJ15" s="1018"/>
      <c r="AK15" s="1018"/>
      <c r="AL15" s="1018"/>
      <c r="AM15" s="1018"/>
      <c r="AN15" s="1018"/>
      <c r="AO15" s="1018"/>
      <c r="AP15" s="1018"/>
      <c r="AQ15" s="1018"/>
      <c r="AR15" s="1018"/>
      <c r="AS15" s="1018"/>
      <c r="AT15" s="1018"/>
      <c r="AU15" s="1018"/>
      <c r="AV15" s="1018"/>
      <c r="AW15" s="1018"/>
      <c r="AX15" s="1018"/>
      <c r="AY15" s="1018"/>
      <c r="AZ15" s="1018"/>
      <c r="BA15" s="1018"/>
      <c r="BB15" s="1018"/>
      <c r="BC15" s="1018"/>
      <c r="BD15" s="1018"/>
      <c r="BE15" s="1018"/>
      <c r="BF15" s="1018"/>
      <c r="BG15" s="1018"/>
      <c r="BH15" s="1018"/>
      <c r="BI15" s="1018"/>
      <c r="BJ15" s="1018"/>
      <c r="BK15" s="1018"/>
      <c r="BL15" s="1018"/>
      <c r="BM15" s="1018"/>
      <c r="BN15" s="1018"/>
      <c r="BO15" s="1018"/>
      <c r="BP15" s="1018"/>
      <c r="BQ15" s="1018"/>
      <c r="BR15" s="1018"/>
      <c r="BS15" s="1018"/>
      <c r="BT15" s="1018"/>
      <c r="BU15" s="1018"/>
      <c r="BV15" s="1018"/>
      <c r="BW15" s="1018"/>
      <c r="BX15" s="1018"/>
      <c r="BY15" s="1018"/>
      <c r="BZ15" s="1018"/>
      <c r="CA15" s="1018"/>
      <c r="CB15" s="1018"/>
      <c r="CC15" s="1018"/>
      <c r="CD15" s="1018"/>
      <c r="CE15" s="1018"/>
      <c r="CF15" s="1018"/>
      <c r="CG15" s="1018"/>
      <c r="CH15" s="1018"/>
      <c r="CI15" s="1018"/>
      <c r="CJ15" s="1018"/>
      <c r="CK15" s="1018"/>
      <c r="CL15" s="1018"/>
      <c r="CM15" s="1018"/>
      <c r="CN15" s="1018"/>
      <c r="CO15" s="1018"/>
      <c r="CP15" s="1018"/>
      <c r="CQ15" s="1018"/>
      <c r="CR15" s="1018"/>
      <c r="CS15" s="1018"/>
      <c r="CT15" s="1018"/>
      <c r="CU15" s="1018"/>
      <c r="CV15" s="1018"/>
      <c r="CW15" s="1018"/>
      <c r="CX15" s="1018"/>
      <c r="CY15" s="1018"/>
      <c r="CZ15" s="1018"/>
      <c r="DA15" s="1018"/>
      <c r="DB15" s="1018"/>
      <c r="DC15" s="1018"/>
      <c r="DD15" s="1018"/>
      <c r="DE15" s="1018"/>
      <c r="DF15" s="1018"/>
      <c r="DG15" s="1018"/>
      <c r="DH15" s="1018"/>
      <c r="DI15" s="1018"/>
      <c r="DJ15" s="1018"/>
      <c r="DK15" s="1018"/>
      <c r="DL15" s="1018"/>
      <c r="DM15" s="1018"/>
      <c r="DN15" s="1018"/>
      <c r="DO15" s="1018"/>
      <c r="DP15" s="1018"/>
      <c r="DQ15" s="1018"/>
      <c r="DR15" s="1018"/>
      <c r="DS15" s="1018"/>
      <c r="DT15" s="1018"/>
      <c r="DU15" s="1018"/>
      <c r="DV15" s="1018"/>
      <c r="DW15" s="1018"/>
      <c r="DX15" s="1018"/>
      <c r="DY15" s="1018"/>
      <c r="DZ15" s="1018"/>
      <c r="EA15" s="1018"/>
      <c r="EB15" s="1018"/>
      <c r="EC15" s="1018"/>
      <c r="ED15" s="1018"/>
      <c r="EE15" s="1018"/>
      <c r="EF15" s="1018"/>
      <c r="EG15" s="1018"/>
      <c r="EH15" s="1018"/>
      <c r="EI15" s="1018"/>
      <c r="EJ15" s="1018"/>
      <c r="EK15" s="1018"/>
      <c r="EL15" s="1018"/>
      <c r="EM15" s="1018"/>
      <c r="EN15" s="1018"/>
      <c r="EO15" s="1018"/>
      <c r="EP15" s="1018"/>
      <c r="EQ15" s="1018"/>
      <c r="ER15" s="1018"/>
      <c r="ES15" s="1018"/>
      <c r="ET15" s="1018"/>
      <c r="EU15" s="1018"/>
      <c r="EV15" s="1018"/>
      <c r="EW15" s="1018"/>
      <c r="EX15" s="1018"/>
      <c r="EY15" s="1018"/>
      <c r="EZ15" s="1018"/>
      <c r="FA15" s="1018"/>
      <c r="FB15" s="1018"/>
      <c r="FC15" s="1018"/>
      <c r="FD15" s="1018"/>
      <c r="FE15" s="1018"/>
      <c r="FF15" s="1018"/>
      <c r="FG15" s="1018"/>
      <c r="FH15" s="1018"/>
      <c r="FI15" s="1018"/>
      <c r="FJ15" s="1018"/>
      <c r="FK15" s="1018"/>
      <c r="FL15" s="1018"/>
      <c r="FM15" s="1018"/>
      <c r="FN15" s="1018"/>
      <c r="FO15" s="1018"/>
      <c r="FP15" s="1018"/>
      <c r="FQ15" s="1018"/>
      <c r="FR15" s="1018"/>
      <c r="FS15" s="1018"/>
      <c r="FT15" s="1018"/>
      <c r="FU15" s="1018"/>
      <c r="FV15" s="1018"/>
      <c r="FW15" s="1018"/>
      <c r="FX15" s="1018"/>
      <c r="FY15" s="1018"/>
      <c r="FZ15" s="1018"/>
      <c r="GA15" s="1018"/>
      <c r="GB15" s="1018"/>
      <c r="GC15" s="1018"/>
      <c r="GD15" s="1018"/>
      <c r="GE15" s="1018"/>
      <c r="GF15" s="1018"/>
      <c r="GG15" s="1018"/>
      <c r="GH15" s="1018"/>
      <c r="GI15" s="1018"/>
    </row>
    <row r="16" spans="1:199" s="1004" customFormat="1" ht="36">
      <c r="A16" s="1011">
        <v>13</v>
      </c>
      <c r="B16" s="1535"/>
      <c r="C16" s="964" t="s">
        <v>1145</v>
      </c>
      <c r="D16" s="964" t="s">
        <v>1146</v>
      </c>
      <c r="E16" s="1012" t="s">
        <v>1109</v>
      </c>
      <c r="F16" s="964" t="s">
        <v>1147</v>
      </c>
      <c r="G16" s="1013">
        <v>150</v>
      </c>
      <c r="H16" s="964" t="s">
        <v>1111</v>
      </c>
      <c r="I16" s="1012"/>
      <c r="J16" s="1014"/>
      <c r="K16" s="1015">
        <v>25</v>
      </c>
      <c r="L16" s="1016">
        <f t="shared" si="0"/>
        <v>112500</v>
      </c>
      <c r="M16" s="1017"/>
      <c r="N16" s="964">
        <v>9125</v>
      </c>
      <c r="O16" s="964">
        <v>1500</v>
      </c>
    </row>
    <row r="17" spans="1:15" s="1004" customFormat="1" ht="36">
      <c r="A17" s="1011">
        <v>14</v>
      </c>
      <c r="B17" s="1535"/>
      <c r="C17" s="964" t="s">
        <v>1148</v>
      </c>
      <c r="D17" s="964" t="s">
        <v>1149</v>
      </c>
      <c r="E17" s="1012" t="s">
        <v>1109</v>
      </c>
      <c r="F17" s="964" t="s">
        <v>1150</v>
      </c>
      <c r="G17" s="1013">
        <v>140</v>
      </c>
      <c r="H17" s="964" t="s">
        <v>1123</v>
      </c>
      <c r="I17" s="1007"/>
      <c r="J17" s="1021"/>
      <c r="K17" s="1015">
        <v>25</v>
      </c>
      <c r="L17" s="1016">
        <f t="shared" si="0"/>
        <v>105000</v>
      </c>
      <c r="M17" s="1017"/>
      <c r="N17" s="964">
        <v>8517</v>
      </c>
      <c r="O17" s="964">
        <v>1500</v>
      </c>
    </row>
    <row r="18" spans="1:15" s="1033" customFormat="1">
      <c r="A18" s="1011">
        <v>15</v>
      </c>
      <c r="B18" s="1535"/>
      <c r="C18" s="964" t="s">
        <v>1151</v>
      </c>
      <c r="D18" s="964" t="s">
        <v>1152</v>
      </c>
      <c r="E18" s="1012" t="s">
        <v>1121</v>
      </c>
      <c r="F18" s="964" t="s">
        <v>1153</v>
      </c>
      <c r="G18" s="1013">
        <v>167</v>
      </c>
      <c r="H18" s="964" t="s">
        <v>1154</v>
      </c>
      <c r="I18" s="1012"/>
      <c r="J18" s="1014"/>
      <c r="K18" s="1015">
        <v>25</v>
      </c>
      <c r="L18" s="1016">
        <f t="shared" si="0"/>
        <v>125250</v>
      </c>
      <c r="M18" s="1017"/>
      <c r="N18" s="964">
        <v>10519</v>
      </c>
      <c r="O18" s="964">
        <v>2000</v>
      </c>
    </row>
    <row r="19" spans="1:15" s="1004" customFormat="1">
      <c r="A19" s="1011">
        <v>16</v>
      </c>
      <c r="B19" s="1535"/>
      <c r="C19" s="964" t="s">
        <v>1155</v>
      </c>
      <c r="D19" s="964" t="s">
        <v>1156</v>
      </c>
      <c r="E19" s="1012" t="s">
        <v>1121</v>
      </c>
      <c r="F19" s="964" t="s">
        <v>1157</v>
      </c>
      <c r="G19" s="1013">
        <v>179</v>
      </c>
      <c r="H19" s="964" t="s">
        <v>1154</v>
      </c>
      <c r="I19" s="1012"/>
      <c r="J19" s="1014"/>
      <c r="K19" s="1015">
        <v>25</v>
      </c>
      <c r="L19" s="1016">
        <f t="shared" si="0"/>
        <v>134250</v>
      </c>
      <c r="M19" s="1023"/>
      <c r="N19" s="964">
        <v>10889</v>
      </c>
      <c r="O19" s="964">
        <v>2000</v>
      </c>
    </row>
    <row r="20" spans="1:15" s="1004" customFormat="1" ht="36">
      <c r="A20" s="1011">
        <v>17</v>
      </c>
      <c r="B20" s="1535"/>
      <c r="C20" s="964" t="s">
        <v>1158</v>
      </c>
      <c r="D20" s="964" t="s">
        <v>1159</v>
      </c>
      <c r="E20" s="1012" t="s">
        <v>1109</v>
      </c>
      <c r="F20" s="964" t="s">
        <v>1160</v>
      </c>
      <c r="G20" s="1013">
        <v>90</v>
      </c>
      <c r="H20" s="964" t="s">
        <v>1123</v>
      </c>
      <c r="I20" s="1012"/>
      <c r="J20" s="1014"/>
      <c r="K20" s="1015">
        <v>30</v>
      </c>
      <c r="L20" s="1016">
        <f t="shared" si="0"/>
        <v>81000</v>
      </c>
      <c r="M20" s="1017"/>
      <c r="N20" s="964">
        <v>5475</v>
      </c>
      <c r="O20" s="964">
        <v>1500</v>
      </c>
    </row>
    <row r="21" spans="1:15" s="1004" customFormat="1" ht="24" customHeight="1">
      <c r="A21" s="1011">
        <v>18</v>
      </c>
      <c r="B21" s="1535"/>
      <c r="C21" s="964" t="s">
        <v>1161</v>
      </c>
      <c r="D21" s="964" t="s">
        <v>1162</v>
      </c>
      <c r="E21" s="1012" t="s">
        <v>1121</v>
      </c>
      <c r="F21" s="964" t="s">
        <v>1163</v>
      </c>
      <c r="G21" s="1013">
        <v>123</v>
      </c>
      <c r="H21" s="964" t="s">
        <v>1123</v>
      </c>
      <c r="I21" s="1012"/>
      <c r="J21" s="1014"/>
      <c r="K21" s="1015">
        <v>25</v>
      </c>
      <c r="L21" s="1016">
        <f t="shared" si="0"/>
        <v>92250</v>
      </c>
      <c r="M21" s="1017"/>
      <c r="N21" s="964">
        <v>3741</v>
      </c>
      <c r="O21" s="964">
        <v>1500</v>
      </c>
    </row>
    <row r="22" spans="1:15" s="1004" customFormat="1" ht="36">
      <c r="A22" s="1011">
        <v>19</v>
      </c>
      <c r="B22" s="1535"/>
      <c r="C22" s="964" t="s">
        <v>1164</v>
      </c>
      <c r="D22" s="964" t="s">
        <v>1165</v>
      </c>
      <c r="E22" s="1007" t="s">
        <v>1109</v>
      </c>
      <c r="F22" s="964" t="s">
        <v>1166</v>
      </c>
      <c r="G22" s="1013">
        <v>109</v>
      </c>
      <c r="H22" s="964" t="s">
        <v>1123</v>
      </c>
      <c r="I22" s="1034"/>
      <c r="J22" s="1035"/>
      <c r="K22" s="1015">
        <v>25</v>
      </c>
      <c r="L22" s="1016">
        <f t="shared" si="0"/>
        <v>81750</v>
      </c>
      <c r="M22" s="1017"/>
      <c r="N22" s="964">
        <v>6631</v>
      </c>
      <c r="O22" s="964">
        <v>1500</v>
      </c>
    </row>
    <row r="23" spans="1:15" s="1004" customFormat="1" ht="36">
      <c r="A23" s="1011">
        <v>20</v>
      </c>
      <c r="B23" s="1535"/>
      <c r="C23" s="964" t="s">
        <v>1167</v>
      </c>
      <c r="D23" s="964" t="s">
        <v>1168</v>
      </c>
      <c r="E23" s="1007" t="s">
        <v>1109</v>
      </c>
      <c r="F23" s="964" t="s">
        <v>1169</v>
      </c>
      <c r="G23" s="1013">
        <v>77</v>
      </c>
      <c r="H23" s="964" t="s">
        <v>1123</v>
      </c>
      <c r="I23" s="1007"/>
      <c r="J23" s="1021"/>
      <c r="K23" s="1015">
        <v>28</v>
      </c>
      <c r="L23" s="1016">
        <f t="shared" si="0"/>
        <v>64680</v>
      </c>
      <c r="M23" s="1017"/>
      <c r="N23" s="964">
        <v>4684</v>
      </c>
      <c r="O23" s="964">
        <v>1500</v>
      </c>
    </row>
    <row r="24" spans="1:15" s="1004" customFormat="1" ht="36">
      <c r="A24" s="1011">
        <v>21</v>
      </c>
      <c r="B24" s="1535"/>
      <c r="C24" s="964" t="s">
        <v>1170</v>
      </c>
      <c r="D24" s="964" t="s">
        <v>1171</v>
      </c>
      <c r="E24" s="1007" t="s">
        <v>1109</v>
      </c>
      <c r="F24" s="964" t="s">
        <v>1172</v>
      </c>
      <c r="G24" s="1013">
        <v>325</v>
      </c>
      <c r="H24" s="964" t="s">
        <v>1123</v>
      </c>
      <c r="I24" s="1007"/>
      <c r="J24" s="1021"/>
      <c r="K24" s="1015">
        <v>25</v>
      </c>
      <c r="L24" s="1016">
        <f t="shared" si="0"/>
        <v>243750</v>
      </c>
      <c r="M24" s="1017"/>
      <c r="N24" s="964">
        <v>19771</v>
      </c>
      <c r="O24" s="964">
        <v>2000</v>
      </c>
    </row>
    <row r="25" spans="1:15" s="1004" customFormat="1" ht="36">
      <c r="A25" s="1011">
        <v>22</v>
      </c>
      <c r="B25" s="1535"/>
      <c r="C25" s="964" t="s">
        <v>1173</v>
      </c>
      <c r="D25" s="964" t="s">
        <v>1174</v>
      </c>
      <c r="E25" s="1007" t="s">
        <v>1109</v>
      </c>
      <c r="F25" s="964" t="s">
        <v>1175</v>
      </c>
      <c r="G25" s="1013">
        <v>155</v>
      </c>
      <c r="H25" s="964" t="s">
        <v>1123</v>
      </c>
      <c r="I25" s="1007"/>
      <c r="J25" s="1021"/>
      <c r="K25" s="1015">
        <v>25</v>
      </c>
      <c r="L25" s="1016">
        <f t="shared" si="0"/>
        <v>116250</v>
      </c>
      <c r="M25" s="1023"/>
      <c r="N25" s="964">
        <v>4715</v>
      </c>
      <c r="O25" s="964"/>
    </row>
    <row r="26" spans="1:15" s="1004" customFormat="1" ht="36">
      <c r="A26" s="1011">
        <v>23</v>
      </c>
      <c r="B26" s="1535"/>
      <c r="C26" s="964" t="s">
        <v>1176</v>
      </c>
      <c r="D26" s="964" t="s">
        <v>1177</v>
      </c>
      <c r="E26" s="1007" t="s">
        <v>1109</v>
      </c>
      <c r="F26" s="964" t="s">
        <v>1178</v>
      </c>
      <c r="G26" s="1013">
        <v>235</v>
      </c>
      <c r="H26" s="964" t="s">
        <v>1123</v>
      </c>
      <c r="I26" s="1012"/>
      <c r="J26" s="1014"/>
      <c r="K26" s="1015">
        <v>25</v>
      </c>
      <c r="L26" s="1016">
        <f t="shared" si="0"/>
        <v>176250</v>
      </c>
      <c r="M26" s="1023"/>
      <c r="N26" s="964">
        <v>14296</v>
      </c>
      <c r="O26" s="964">
        <v>2000</v>
      </c>
    </row>
    <row r="27" spans="1:15" s="1004" customFormat="1" ht="36">
      <c r="A27" s="1011">
        <v>24</v>
      </c>
      <c r="B27" s="1535"/>
      <c r="C27" s="964" t="s">
        <v>1179</v>
      </c>
      <c r="D27" s="964" t="s">
        <v>1180</v>
      </c>
      <c r="E27" s="1007" t="s">
        <v>1109</v>
      </c>
      <c r="F27" s="964" t="s">
        <v>1181</v>
      </c>
      <c r="G27" s="1013">
        <v>112</v>
      </c>
      <c r="H27" s="964" t="s">
        <v>1123</v>
      </c>
      <c r="I27" s="1012"/>
      <c r="J27" s="1014"/>
      <c r="K27" s="1015">
        <v>25</v>
      </c>
      <c r="L27" s="1016">
        <f t="shared" si="0"/>
        <v>84000</v>
      </c>
      <c r="M27" s="1023"/>
      <c r="N27" s="964">
        <v>6813</v>
      </c>
      <c r="O27" s="964">
        <v>0</v>
      </c>
    </row>
    <row r="28" spans="1:15" s="1033" customFormat="1" ht="36">
      <c r="A28" s="1011">
        <v>25</v>
      </c>
      <c r="B28" s="1535"/>
      <c r="C28" s="964" t="s">
        <v>1182</v>
      </c>
      <c r="D28" s="964" t="s">
        <v>1183</v>
      </c>
      <c r="E28" s="1012" t="s">
        <v>1109</v>
      </c>
      <c r="F28" s="964" t="s">
        <v>1184</v>
      </c>
      <c r="G28" s="1013">
        <v>240</v>
      </c>
      <c r="H28" s="964" t="s">
        <v>1185</v>
      </c>
      <c r="I28" s="1012"/>
      <c r="J28" s="1036"/>
      <c r="K28" s="1015">
        <v>25</v>
      </c>
      <c r="L28" s="1016">
        <f t="shared" si="0"/>
        <v>180000</v>
      </c>
      <c r="M28" s="1017"/>
      <c r="N28" s="964">
        <v>14600</v>
      </c>
      <c r="O28" s="964">
        <v>1500</v>
      </c>
    </row>
    <row r="29" spans="1:15" s="1033" customFormat="1" ht="36">
      <c r="A29" s="1011">
        <v>26</v>
      </c>
      <c r="B29" s="1535"/>
      <c r="C29" s="964" t="s">
        <v>1186</v>
      </c>
      <c r="D29" s="964" t="s">
        <v>1187</v>
      </c>
      <c r="E29" s="1007" t="s">
        <v>1109</v>
      </c>
      <c r="F29" s="964" t="s">
        <v>1188</v>
      </c>
      <c r="G29" s="1013">
        <v>60</v>
      </c>
      <c r="H29" s="964" t="s">
        <v>1111</v>
      </c>
      <c r="I29" s="1007"/>
      <c r="J29" s="1021"/>
      <c r="K29" s="1015">
        <v>30</v>
      </c>
      <c r="L29" s="1016">
        <f t="shared" si="0"/>
        <v>54000</v>
      </c>
      <c r="M29" s="1017"/>
      <c r="N29" s="964">
        <v>3650</v>
      </c>
      <c r="O29" s="964">
        <v>1500</v>
      </c>
    </row>
    <row r="30" spans="1:15" s="1018" customFormat="1" ht="19.5" customHeight="1">
      <c r="A30" s="1011">
        <v>27</v>
      </c>
      <c r="B30" s="1536" t="s">
        <v>1189</v>
      </c>
      <c r="C30" s="964" t="s">
        <v>1190</v>
      </c>
      <c r="D30" s="964" t="s">
        <v>1191</v>
      </c>
      <c r="E30" s="1012" t="s">
        <v>1121</v>
      </c>
      <c r="F30" s="964" t="s">
        <v>1192</v>
      </c>
      <c r="G30" s="1013">
        <v>54</v>
      </c>
      <c r="H30" s="964" t="s">
        <v>1123</v>
      </c>
      <c r="I30" s="1012"/>
      <c r="J30" s="1014"/>
      <c r="K30" s="1015">
        <v>22</v>
      </c>
      <c r="L30" s="1016">
        <f t="shared" si="0"/>
        <v>35640</v>
      </c>
      <c r="M30" s="1017"/>
      <c r="N30" s="964">
        <v>3285</v>
      </c>
      <c r="O30" s="964">
        <v>1500</v>
      </c>
    </row>
    <row r="31" spans="1:15" s="1004" customFormat="1" ht="36">
      <c r="A31" s="1011">
        <v>28</v>
      </c>
      <c r="B31" s="1536"/>
      <c r="C31" s="964" t="s">
        <v>1193</v>
      </c>
      <c r="D31" s="964" t="s">
        <v>1194</v>
      </c>
      <c r="E31" s="1008" t="s">
        <v>1109</v>
      </c>
      <c r="F31" s="964" t="s">
        <v>1195</v>
      </c>
      <c r="G31" s="1013">
        <v>252</v>
      </c>
      <c r="H31" s="964" t="s">
        <v>1123</v>
      </c>
      <c r="I31" s="1007"/>
      <c r="J31" s="1021"/>
      <c r="K31" s="1015">
        <v>20</v>
      </c>
      <c r="L31" s="1016">
        <f t="shared" si="0"/>
        <v>151200</v>
      </c>
      <c r="M31" s="1023"/>
      <c r="N31" s="964">
        <v>15330</v>
      </c>
      <c r="O31" s="964">
        <v>2000</v>
      </c>
    </row>
    <row r="32" spans="1:15" s="1032" customFormat="1" ht="25.5" customHeight="1">
      <c r="A32" s="1024">
        <v>29</v>
      </c>
      <c r="B32" s="1537"/>
      <c r="C32" s="1025"/>
      <c r="D32" s="1025" t="s">
        <v>1196</v>
      </c>
      <c r="E32" s="1037"/>
      <c r="F32" s="1025" t="s">
        <v>1197</v>
      </c>
      <c r="G32" s="1027">
        <v>93</v>
      </c>
      <c r="H32" s="964"/>
      <c r="I32" s="1007"/>
      <c r="J32" s="1021"/>
      <c r="K32" s="1029"/>
      <c r="L32" s="1030"/>
      <c r="M32" s="1038"/>
      <c r="N32" s="1025"/>
      <c r="O32" s="1025"/>
    </row>
    <row r="33" spans="1:189" s="1004" customFormat="1" ht="36">
      <c r="A33" s="1011">
        <v>30</v>
      </c>
      <c r="B33" s="1536"/>
      <c r="C33" s="964" t="s">
        <v>1198</v>
      </c>
      <c r="D33" s="964" t="s">
        <v>1199</v>
      </c>
      <c r="E33" s="1008" t="s">
        <v>1109</v>
      </c>
      <c r="F33" s="964" t="s">
        <v>1200</v>
      </c>
      <c r="G33" s="1013">
        <v>62</v>
      </c>
      <c r="H33" s="964" t="s">
        <v>1123</v>
      </c>
      <c r="I33" s="1007"/>
      <c r="J33" s="1021"/>
      <c r="K33" s="1015">
        <v>30</v>
      </c>
      <c r="L33" s="1016">
        <f t="shared" si="0"/>
        <v>55800</v>
      </c>
      <c r="M33" s="1023"/>
      <c r="N33" s="964">
        <v>3772</v>
      </c>
      <c r="O33" s="964">
        <v>1500</v>
      </c>
    </row>
    <row r="34" spans="1:189" s="1032" customFormat="1" ht="26.25" customHeight="1">
      <c r="A34" s="1024">
        <v>31</v>
      </c>
      <c r="B34" s="1537"/>
      <c r="C34" s="1025"/>
      <c r="D34" s="1025" t="s">
        <v>1201</v>
      </c>
      <c r="E34" s="1037"/>
      <c r="F34" s="1025" t="s">
        <v>1202</v>
      </c>
      <c r="G34" s="1027">
        <v>61</v>
      </c>
      <c r="H34" s="964"/>
      <c r="I34" s="1007"/>
      <c r="J34" s="1021"/>
      <c r="K34" s="1029"/>
      <c r="L34" s="1030"/>
      <c r="M34" s="1038"/>
      <c r="N34" s="1025"/>
      <c r="O34" s="1025"/>
    </row>
    <row r="35" spans="1:189" s="1040" customFormat="1" ht="36">
      <c r="A35" s="1011">
        <v>32</v>
      </c>
      <c r="B35" s="1536"/>
      <c r="C35" s="964" t="s">
        <v>1203</v>
      </c>
      <c r="D35" s="964" t="s">
        <v>1204</v>
      </c>
      <c r="E35" s="1008" t="s">
        <v>1109</v>
      </c>
      <c r="F35" s="964" t="s">
        <v>1205</v>
      </c>
      <c r="G35" s="1013">
        <v>202</v>
      </c>
      <c r="H35" s="964" t="s">
        <v>1185</v>
      </c>
      <c r="I35" s="1012"/>
      <c r="J35" s="1014"/>
      <c r="K35" s="1015">
        <v>20</v>
      </c>
      <c r="L35" s="1016">
        <f t="shared" si="0"/>
        <v>121200</v>
      </c>
      <c r="M35" s="1039"/>
      <c r="N35" s="964">
        <v>12888</v>
      </c>
      <c r="O35" s="964">
        <v>1500</v>
      </c>
    </row>
    <row r="36" spans="1:189" s="1004" customFormat="1" ht="36">
      <c r="A36" s="1011">
        <v>33</v>
      </c>
      <c r="B36" s="1536"/>
      <c r="C36" s="964" t="s">
        <v>1206</v>
      </c>
      <c r="D36" s="964" t="s">
        <v>1207</v>
      </c>
      <c r="E36" s="1008" t="s">
        <v>1109</v>
      </c>
      <c r="F36" s="964" t="s">
        <v>1208</v>
      </c>
      <c r="G36" s="1013">
        <v>109</v>
      </c>
      <c r="H36" s="964" t="s">
        <v>1123</v>
      </c>
      <c r="I36" s="1007"/>
      <c r="J36" s="1021"/>
      <c r="K36" s="1015">
        <v>20</v>
      </c>
      <c r="L36" s="1016">
        <f t="shared" si="0"/>
        <v>65400</v>
      </c>
      <c r="M36" s="1023"/>
      <c r="N36" s="964">
        <v>6631</v>
      </c>
      <c r="O36" s="964">
        <v>1500</v>
      </c>
    </row>
    <row r="37" spans="1:189" s="1004" customFormat="1">
      <c r="A37" s="1011">
        <v>34</v>
      </c>
      <c r="B37" s="1536"/>
      <c r="C37" s="964" t="s">
        <v>1209</v>
      </c>
      <c r="D37" s="964" t="s">
        <v>1210</v>
      </c>
      <c r="E37" s="1008" t="s">
        <v>1121</v>
      </c>
      <c r="F37" s="964" t="s">
        <v>1211</v>
      </c>
      <c r="G37" s="1013">
        <v>145</v>
      </c>
      <c r="H37" s="964" t="s">
        <v>1123</v>
      </c>
      <c r="I37" s="1007"/>
      <c r="J37" s="1021"/>
      <c r="K37" s="1015">
        <v>20</v>
      </c>
      <c r="L37" s="1016">
        <f t="shared" si="0"/>
        <v>87000</v>
      </c>
      <c r="M37" s="1023"/>
      <c r="N37" s="964">
        <v>8821</v>
      </c>
      <c r="O37" s="964">
        <v>1500</v>
      </c>
    </row>
    <row r="38" spans="1:189" s="1006" customFormat="1" ht="36">
      <c r="A38" s="1011">
        <v>35</v>
      </c>
      <c r="B38" s="1536"/>
      <c r="C38" s="964" t="s">
        <v>1212</v>
      </c>
      <c r="D38" s="964" t="s">
        <v>1213</v>
      </c>
      <c r="E38" s="1008" t="s">
        <v>1109</v>
      </c>
      <c r="F38" s="964" t="s">
        <v>1214</v>
      </c>
      <c r="G38" s="1013">
        <v>210</v>
      </c>
      <c r="H38" s="964" t="s">
        <v>1215</v>
      </c>
      <c r="I38" s="1007"/>
      <c r="J38" s="1021"/>
      <c r="K38" s="1015">
        <v>13</v>
      </c>
      <c r="L38" s="1016">
        <f t="shared" si="0"/>
        <v>81900</v>
      </c>
      <c r="M38" s="1023"/>
      <c r="N38" s="964">
        <v>12600</v>
      </c>
      <c r="O38" s="964">
        <v>0</v>
      </c>
    </row>
    <row r="39" spans="1:189" s="1041" customFormat="1">
      <c r="A39" s="1024">
        <v>36</v>
      </c>
      <c r="B39" s="1537"/>
      <c r="C39" s="1025"/>
      <c r="D39" s="1025" t="s">
        <v>1216</v>
      </c>
      <c r="E39" s="1037"/>
      <c r="F39" s="1025" t="s">
        <v>1217</v>
      </c>
      <c r="G39" s="1027">
        <v>50</v>
      </c>
      <c r="H39" s="964"/>
      <c r="I39" s="1007"/>
      <c r="J39" s="1021"/>
      <c r="K39" s="1029"/>
      <c r="L39" s="1030"/>
      <c r="M39" s="1038"/>
      <c r="N39" s="1025"/>
      <c r="O39" s="1025"/>
    </row>
    <row r="40" spans="1:189" s="1041" customFormat="1" ht="14.25">
      <c r="A40" s="1024">
        <v>37</v>
      </c>
      <c r="B40" s="1537"/>
      <c r="C40" s="1025"/>
      <c r="D40" s="1042" t="s">
        <v>1218</v>
      </c>
      <c r="E40" s="1026" t="s">
        <v>1121</v>
      </c>
      <c r="F40" s="1042">
        <v>311</v>
      </c>
      <c r="G40" s="1043">
        <v>897</v>
      </c>
      <c r="H40" s="964"/>
      <c r="I40" s="1007"/>
      <c r="J40" s="1021"/>
      <c r="K40" s="1029"/>
      <c r="L40" s="1030"/>
      <c r="M40" s="1038"/>
      <c r="N40" s="1025"/>
      <c r="O40" s="1025"/>
    </row>
    <row r="41" spans="1:189" s="1041" customFormat="1" ht="14.25">
      <c r="A41" s="1024">
        <v>38</v>
      </c>
      <c r="B41" s="1537"/>
      <c r="C41" s="1025"/>
      <c r="D41" s="1042" t="s">
        <v>1218</v>
      </c>
      <c r="E41" s="1026" t="s">
        <v>1121</v>
      </c>
      <c r="F41" s="1042">
        <v>312</v>
      </c>
      <c r="G41" s="1043">
        <v>127</v>
      </c>
      <c r="H41" s="964"/>
      <c r="I41" s="1007"/>
      <c r="J41" s="1021"/>
      <c r="K41" s="1029"/>
      <c r="L41" s="1030"/>
      <c r="M41" s="1038"/>
      <c r="N41" s="1025"/>
      <c r="O41" s="1025"/>
    </row>
    <row r="42" spans="1:189" s="1041" customFormat="1" ht="14.25">
      <c r="A42" s="1024">
        <v>39</v>
      </c>
      <c r="B42" s="1537"/>
      <c r="C42" s="1025"/>
      <c r="D42" s="1042" t="s">
        <v>1219</v>
      </c>
      <c r="E42" s="1042"/>
      <c r="F42" s="1042" t="s">
        <v>1220</v>
      </c>
      <c r="G42" s="1043">
        <v>121</v>
      </c>
      <c r="H42" s="964"/>
      <c r="I42" s="1007"/>
      <c r="J42" s="1021"/>
      <c r="K42" s="1029"/>
      <c r="L42" s="1030"/>
      <c r="M42" s="1038"/>
      <c r="N42" s="1025"/>
      <c r="O42" s="1025"/>
    </row>
    <row r="43" spans="1:189" s="1045" customFormat="1" ht="36">
      <c r="A43" s="1011">
        <v>40</v>
      </c>
      <c r="B43" s="1536"/>
      <c r="C43" s="964" t="s">
        <v>1221</v>
      </c>
      <c r="D43" s="964" t="s">
        <v>1222</v>
      </c>
      <c r="E43" s="1008" t="s">
        <v>1109</v>
      </c>
      <c r="F43" s="964" t="s">
        <v>1223</v>
      </c>
      <c r="G43" s="1013">
        <v>119</v>
      </c>
      <c r="H43" s="964" t="s">
        <v>1154</v>
      </c>
      <c r="I43" s="1007"/>
      <c r="J43" s="1021"/>
      <c r="K43" s="1015">
        <v>20</v>
      </c>
      <c r="L43" s="1016">
        <f t="shared" si="0"/>
        <v>71400</v>
      </c>
      <c r="M43" s="1044"/>
      <c r="N43" s="964">
        <v>7239</v>
      </c>
      <c r="O43" s="964">
        <v>1500</v>
      </c>
    </row>
    <row r="44" spans="1:189" s="1045" customFormat="1" ht="36">
      <c r="A44" s="1011">
        <v>41</v>
      </c>
      <c r="B44" s="1536"/>
      <c r="C44" s="964" t="s">
        <v>1224</v>
      </c>
      <c r="D44" s="964" t="s">
        <v>1225</v>
      </c>
      <c r="E44" s="1008" t="s">
        <v>1109</v>
      </c>
      <c r="F44" s="964" t="s">
        <v>1226</v>
      </c>
      <c r="G44" s="1013">
        <v>136</v>
      </c>
      <c r="H44" s="964" t="s">
        <v>1123</v>
      </c>
      <c r="I44" s="1046"/>
      <c r="J44" s="1014"/>
      <c r="K44" s="1015">
        <v>25</v>
      </c>
      <c r="L44" s="1016">
        <f t="shared" si="0"/>
        <v>102000</v>
      </c>
      <c r="M44" s="1039"/>
      <c r="N44" s="964">
        <v>8273</v>
      </c>
      <c r="O44" s="964">
        <v>750</v>
      </c>
      <c r="P44" s="1040"/>
      <c r="Q44" s="1040"/>
      <c r="R44" s="1040"/>
      <c r="S44" s="1040"/>
      <c r="T44" s="1040"/>
      <c r="U44" s="1040"/>
      <c r="V44" s="1040"/>
      <c r="W44" s="1040"/>
      <c r="X44" s="1040"/>
      <c r="Y44" s="1040"/>
      <c r="Z44" s="1040"/>
      <c r="AA44" s="1040"/>
      <c r="AB44" s="1040"/>
      <c r="AC44" s="1040"/>
      <c r="AD44" s="1040"/>
      <c r="AE44" s="1040"/>
      <c r="AF44" s="1040"/>
      <c r="AG44" s="1040"/>
      <c r="AH44" s="1040"/>
      <c r="AI44" s="1040"/>
      <c r="AJ44" s="1040"/>
      <c r="AK44" s="1040"/>
      <c r="AL44" s="1040"/>
      <c r="AM44" s="1040"/>
      <c r="AN44" s="1040"/>
      <c r="AO44" s="1040"/>
      <c r="AP44" s="1040"/>
      <c r="AQ44" s="1040"/>
      <c r="AR44" s="1040"/>
      <c r="AS44" s="1040"/>
      <c r="AT44" s="1040"/>
      <c r="AU44" s="1040"/>
      <c r="AV44" s="1040"/>
      <c r="AW44" s="1040"/>
      <c r="AX44" s="1040"/>
      <c r="AY44" s="1040"/>
      <c r="AZ44" s="1040"/>
      <c r="BA44" s="1040"/>
      <c r="BB44" s="1040"/>
      <c r="BC44" s="1040"/>
      <c r="BD44" s="1040"/>
      <c r="BE44" s="1040"/>
      <c r="BF44" s="1040"/>
      <c r="BG44" s="1040"/>
      <c r="BH44" s="1040"/>
      <c r="BI44" s="1040"/>
      <c r="BJ44" s="1040"/>
      <c r="BK44" s="1040"/>
      <c r="BL44" s="1040"/>
      <c r="BM44" s="1040"/>
      <c r="BN44" s="1040"/>
      <c r="BO44" s="1040"/>
      <c r="BP44" s="1040"/>
      <c r="BQ44" s="1040"/>
      <c r="BR44" s="1040"/>
      <c r="BS44" s="1040"/>
      <c r="BT44" s="1040"/>
      <c r="BU44" s="1040"/>
      <c r="BV44" s="1040"/>
      <c r="BW44" s="1040"/>
      <c r="BX44" s="1040"/>
      <c r="BY44" s="1040"/>
      <c r="BZ44" s="1040"/>
      <c r="CA44" s="1040"/>
      <c r="CB44" s="1040"/>
      <c r="CC44" s="1040"/>
      <c r="CD44" s="1040"/>
      <c r="CE44" s="1040"/>
      <c r="CF44" s="1040"/>
      <c r="CG44" s="1040"/>
      <c r="CH44" s="1040"/>
      <c r="CI44" s="1040"/>
      <c r="CJ44" s="1040"/>
      <c r="CK44" s="1040"/>
      <c r="CL44" s="1040"/>
      <c r="CM44" s="1040"/>
      <c r="CN44" s="1040"/>
      <c r="CO44" s="1040"/>
      <c r="CP44" s="1040"/>
      <c r="CQ44" s="1040"/>
      <c r="CR44" s="1040"/>
      <c r="CS44" s="1040"/>
      <c r="CT44" s="1040"/>
      <c r="CU44" s="1040"/>
      <c r="CV44" s="1040"/>
      <c r="CW44" s="1040"/>
      <c r="CX44" s="1040"/>
      <c r="CY44" s="1040"/>
      <c r="CZ44" s="1040"/>
      <c r="DA44" s="1040"/>
      <c r="DB44" s="1040"/>
      <c r="DC44" s="1040"/>
      <c r="DD44" s="1040"/>
      <c r="DE44" s="1040"/>
      <c r="DF44" s="1040"/>
      <c r="DG44" s="1040"/>
      <c r="DH44" s="1040"/>
      <c r="DI44" s="1040"/>
      <c r="DJ44" s="1040"/>
      <c r="DK44" s="1040"/>
      <c r="DL44" s="1040"/>
      <c r="DM44" s="1040"/>
      <c r="DN44" s="1040"/>
      <c r="DO44" s="1040"/>
      <c r="DP44" s="1040"/>
      <c r="DQ44" s="1040"/>
      <c r="DR44" s="1040"/>
      <c r="DS44" s="1040"/>
      <c r="DT44" s="1040"/>
      <c r="DU44" s="1040"/>
      <c r="DV44" s="1040"/>
      <c r="DW44" s="1040"/>
      <c r="DX44" s="1040"/>
      <c r="DY44" s="1040"/>
      <c r="DZ44" s="1040"/>
      <c r="EA44" s="1040"/>
      <c r="EB44" s="1040"/>
      <c r="EC44" s="1040"/>
      <c r="ED44" s="1040"/>
      <c r="EE44" s="1040"/>
      <c r="EF44" s="1040"/>
      <c r="EG44" s="1040"/>
      <c r="EH44" s="1040"/>
      <c r="EI44" s="1040"/>
      <c r="EJ44" s="1040"/>
      <c r="EK44" s="1040"/>
      <c r="EL44" s="1040"/>
      <c r="EM44" s="1040"/>
      <c r="EN44" s="1040"/>
      <c r="EO44" s="1040"/>
      <c r="EP44" s="1040"/>
      <c r="EQ44" s="1040"/>
      <c r="ER44" s="1040"/>
      <c r="ES44" s="1040"/>
      <c r="ET44" s="1040"/>
      <c r="EU44" s="1040"/>
      <c r="EV44" s="1040"/>
      <c r="EW44" s="1040"/>
      <c r="EX44" s="1040"/>
      <c r="EY44" s="1040"/>
      <c r="EZ44" s="1040"/>
      <c r="FA44" s="1040"/>
      <c r="FB44" s="1040"/>
      <c r="FC44" s="1040"/>
      <c r="FD44" s="1040"/>
      <c r="FE44" s="1040"/>
      <c r="FF44" s="1040"/>
      <c r="FG44" s="1040"/>
      <c r="FH44" s="1040"/>
      <c r="FI44" s="1040"/>
      <c r="FJ44" s="1040"/>
      <c r="FK44" s="1040"/>
      <c r="FL44" s="1040"/>
      <c r="FM44" s="1040"/>
      <c r="FN44" s="1040"/>
      <c r="FO44" s="1040"/>
      <c r="FP44" s="1040"/>
      <c r="FQ44" s="1040"/>
      <c r="FR44" s="1040"/>
      <c r="FS44" s="1040"/>
      <c r="FT44" s="1040"/>
      <c r="FU44" s="1040"/>
      <c r="FV44" s="1040"/>
      <c r="FW44" s="1040"/>
      <c r="FX44" s="1040"/>
      <c r="FY44" s="1040"/>
      <c r="FZ44" s="1040"/>
      <c r="GA44" s="1040"/>
      <c r="GB44" s="1040"/>
      <c r="GC44" s="1040"/>
      <c r="GD44" s="1040"/>
      <c r="GE44" s="1040"/>
      <c r="GF44" s="1040"/>
      <c r="GG44" s="1040"/>
    </row>
    <row r="45" spans="1:189" s="1004" customFormat="1" ht="36">
      <c r="A45" s="1011">
        <v>42</v>
      </c>
      <c r="B45" s="1536"/>
      <c r="C45" s="964" t="s">
        <v>1227</v>
      </c>
      <c r="D45" s="964" t="s">
        <v>1228</v>
      </c>
      <c r="E45" s="1007" t="s">
        <v>1109</v>
      </c>
      <c r="F45" s="964" t="s">
        <v>1229</v>
      </c>
      <c r="G45" s="1013">
        <v>140</v>
      </c>
      <c r="H45" s="964" t="s">
        <v>1123</v>
      </c>
      <c r="I45" s="1007"/>
      <c r="J45" s="1021"/>
      <c r="K45" s="1015">
        <v>20</v>
      </c>
      <c r="L45" s="1016">
        <f t="shared" si="0"/>
        <v>84000</v>
      </c>
      <c r="M45" s="1023"/>
      <c r="N45" s="964">
        <v>8517</v>
      </c>
      <c r="O45" s="964">
        <v>1500</v>
      </c>
    </row>
    <row r="46" spans="1:189" s="1032" customFormat="1" ht="14.25">
      <c r="A46" s="1024">
        <v>43</v>
      </c>
      <c r="B46" s="1537"/>
      <c r="C46" s="1025"/>
      <c r="D46" s="1025" t="s">
        <v>1230</v>
      </c>
      <c r="E46" s="1047"/>
      <c r="F46" s="1025" t="s">
        <v>1231</v>
      </c>
      <c r="G46" s="1043">
        <v>583</v>
      </c>
      <c r="H46" s="964"/>
      <c r="I46" s="1007"/>
      <c r="J46" s="1021"/>
      <c r="K46" s="1029"/>
      <c r="L46" s="1030"/>
      <c r="M46" s="1038"/>
      <c r="N46" s="1025"/>
      <c r="O46" s="1025"/>
    </row>
    <row r="47" spans="1:189" s="1033" customFormat="1" ht="36">
      <c r="A47" s="1011">
        <v>44</v>
      </c>
      <c r="B47" s="1536"/>
      <c r="C47" s="964" t="s">
        <v>1232</v>
      </c>
      <c r="D47" s="964" t="s">
        <v>1233</v>
      </c>
      <c r="E47" s="1007" t="s">
        <v>1109</v>
      </c>
      <c r="F47" s="964" t="s">
        <v>1234</v>
      </c>
      <c r="G47" s="1013">
        <v>8</v>
      </c>
      <c r="H47" s="964" t="s">
        <v>1123</v>
      </c>
      <c r="I47" s="1046"/>
      <c r="J47" s="1014"/>
      <c r="K47" s="1015">
        <v>25</v>
      </c>
      <c r="L47" s="1016">
        <f t="shared" si="0"/>
        <v>6000</v>
      </c>
      <c r="M47" s="1017"/>
      <c r="N47" s="964">
        <v>487</v>
      </c>
      <c r="O47" s="964">
        <v>0</v>
      </c>
    </row>
    <row r="48" spans="1:189" s="1004" customFormat="1" ht="36">
      <c r="A48" s="1011">
        <v>45</v>
      </c>
      <c r="B48" s="1526" t="s">
        <v>1235</v>
      </c>
      <c r="C48" s="964" t="s">
        <v>1236</v>
      </c>
      <c r="D48" s="964" t="s">
        <v>1237</v>
      </c>
      <c r="E48" s="1012" t="s">
        <v>1109</v>
      </c>
      <c r="F48" s="964" t="s">
        <v>1238</v>
      </c>
      <c r="G48" s="1013">
        <v>53</v>
      </c>
      <c r="H48" s="964" t="s">
        <v>1123</v>
      </c>
      <c r="I48" s="1012"/>
      <c r="J48" s="1014"/>
      <c r="K48" s="1015">
        <v>15</v>
      </c>
      <c r="L48" s="1016">
        <f t="shared" si="0"/>
        <v>23850</v>
      </c>
      <c r="M48" s="1048"/>
      <c r="N48" s="964">
        <v>3324</v>
      </c>
      <c r="O48" s="964">
        <v>500</v>
      </c>
    </row>
    <row r="49" spans="1:199" s="1004" customFormat="1" ht="36">
      <c r="A49" s="1011">
        <v>46</v>
      </c>
      <c r="B49" s="1526"/>
      <c r="C49" s="964" t="s">
        <v>1239</v>
      </c>
      <c r="D49" s="964" t="s">
        <v>1240</v>
      </c>
      <c r="E49" s="1012" t="s">
        <v>1109</v>
      </c>
      <c r="F49" s="964" t="s">
        <v>1241</v>
      </c>
      <c r="G49" s="1013">
        <v>175</v>
      </c>
      <c r="H49" s="964" t="s">
        <v>1123</v>
      </c>
      <c r="I49" s="1012"/>
      <c r="J49" s="1014"/>
      <c r="K49" s="1015">
        <v>15</v>
      </c>
      <c r="L49" s="1016">
        <f t="shared" si="0"/>
        <v>78750</v>
      </c>
      <c r="M49" s="1048"/>
      <c r="N49" s="964">
        <v>10646</v>
      </c>
      <c r="O49" s="964">
        <v>1500</v>
      </c>
    </row>
    <row r="50" spans="1:199" s="1004" customFormat="1">
      <c r="A50" s="1011">
        <v>47</v>
      </c>
      <c r="B50" s="1526"/>
      <c r="C50" s="964" t="s">
        <v>1239</v>
      </c>
      <c r="D50" s="964" t="s">
        <v>1242</v>
      </c>
      <c r="E50" s="1012" t="s">
        <v>1121</v>
      </c>
      <c r="F50" s="964" t="s">
        <v>1243</v>
      </c>
      <c r="G50" s="1013">
        <v>191</v>
      </c>
      <c r="H50" s="964" t="s">
        <v>1123</v>
      </c>
      <c r="I50" s="1012"/>
      <c r="J50" s="1014"/>
      <c r="K50" s="1015">
        <v>15</v>
      </c>
      <c r="L50" s="1016">
        <f t="shared" si="0"/>
        <v>85950</v>
      </c>
      <c r="M50" s="1017"/>
      <c r="N50" s="964">
        <v>11619</v>
      </c>
      <c r="O50" s="964">
        <v>1500</v>
      </c>
      <c r="P50" s="1018"/>
      <c r="Q50" s="1018"/>
      <c r="R50" s="1018"/>
      <c r="S50" s="1018"/>
      <c r="T50" s="1018"/>
      <c r="U50" s="1018"/>
      <c r="V50" s="1018"/>
      <c r="W50" s="1018"/>
      <c r="X50" s="1018"/>
      <c r="Y50" s="1018"/>
      <c r="Z50" s="1018"/>
      <c r="AA50" s="1018"/>
      <c r="AB50" s="1018"/>
      <c r="AC50" s="1018"/>
      <c r="AD50" s="1018"/>
      <c r="AE50" s="1018"/>
      <c r="AF50" s="1018"/>
      <c r="AG50" s="1018"/>
      <c r="AH50" s="1018"/>
      <c r="AI50" s="1018"/>
      <c r="AJ50" s="1018"/>
      <c r="AK50" s="1018"/>
      <c r="AL50" s="1018"/>
      <c r="AM50" s="1018"/>
      <c r="AN50" s="1018"/>
      <c r="AO50" s="1018"/>
      <c r="AP50" s="1018"/>
      <c r="AQ50" s="1018"/>
      <c r="AR50" s="1018"/>
      <c r="AS50" s="1018"/>
      <c r="AT50" s="1018"/>
      <c r="AU50" s="1018"/>
      <c r="AV50" s="1018"/>
      <c r="AW50" s="1018"/>
      <c r="AX50" s="1018"/>
      <c r="AY50" s="1018"/>
      <c r="AZ50" s="1018"/>
      <c r="BA50" s="1018"/>
      <c r="BB50" s="1018"/>
      <c r="BC50" s="1018"/>
      <c r="BD50" s="1018"/>
      <c r="BE50" s="1018"/>
      <c r="BF50" s="1018"/>
      <c r="BG50" s="1018"/>
      <c r="BH50" s="1018"/>
      <c r="BI50" s="1018"/>
      <c r="BJ50" s="1018"/>
      <c r="BK50" s="1018"/>
      <c r="BL50" s="1018"/>
      <c r="BM50" s="1018"/>
      <c r="BN50" s="1018"/>
      <c r="BO50" s="1018"/>
      <c r="BP50" s="1018"/>
      <c r="BQ50" s="1018"/>
      <c r="BR50" s="1018"/>
      <c r="BS50" s="1018"/>
      <c r="BT50" s="1018"/>
      <c r="BU50" s="1018"/>
      <c r="BV50" s="1018"/>
      <c r="BW50" s="1018"/>
      <c r="BX50" s="1018"/>
      <c r="BY50" s="1018"/>
      <c r="BZ50" s="1018"/>
      <c r="CA50" s="1018"/>
      <c r="CB50" s="1018"/>
      <c r="CC50" s="1018"/>
      <c r="CD50" s="1018"/>
      <c r="CE50" s="1018"/>
      <c r="CF50" s="1018"/>
      <c r="CG50" s="1018"/>
      <c r="CH50" s="1018"/>
      <c r="CI50" s="1018"/>
      <c r="CJ50" s="1018"/>
      <c r="CK50" s="1018"/>
      <c r="CL50" s="1018"/>
      <c r="CM50" s="1018"/>
      <c r="CN50" s="1018"/>
      <c r="CO50" s="1018"/>
      <c r="CP50" s="1018"/>
      <c r="CQ50" s="1018"/>
      <c r="CR50" s="1018"/>
      <c r="CS50" s="1018"/>
      <c r="CT50" s="1018"/>
      <c r="CU50" s="1018"/>
      <c r="CV50" s="1018"/>
      <c r="CW50" s="1018"/>
      <c r="CX50" s="1018"/>
      <c r="CY50" s="1018"/>
      <c r="CZ50" s="1018"/>
      <c r="DA50" s="1018"/>
      <c r="DB50" s="1018"/>
      <c r="DC50" s="1018"/>
      <c r="DD50" s="1018"/>
      <c r="DE50" s="1018"/>
      <c r="DF50" s="1018"/>
      <c r="DG50" s="1018"/>
      <c r="DH50" s="1018"/>
      <c r="DI50" s="1018"/>
      <c r="DJ50" s="1018"/>
      <c r="DK50" s="1018"/>
      <c r="DL50" s="1018"/>
      <c r="DM50" s="1018"/>
      <c r="DN50" s="1018"/>
      <c r="DO50" s="1018"/>
      <c r="DP50" s="1018"/>
      <c r="DQ50" s="1018"/>
      <c r="DR50" s="1018"/>
      <c r="DS50" s="1018"/>
      <c r="DT50" s="1018"/>
      <c r="DU50" s="1018"/>
      <c r="DV50" s="1018"/>
      <c r="DW50" s="1018"/>
      <c r="DX50" s="1018"/>
      <c r="DY50" s="1018"/>
      <c r="DZ50" s="1018"/>
      <c r="EA50" s="1018"/>
      <c r="EB50" s="1018"/>
      <c r="EC50" s="1018"/>
      <c r="ED50" s="1018"/>
      <c r="EE50" s="1018"/>
      <c r="EF50" s="1018"/>
      <c r="EG50" s="1018"/>
      <c r="EH50" s="1018"/>
      <c r="EI50" s="1018"/>
      <c r="EJ50" s="1018"/>
      <c r="EK50" s="1018"/>
      <c r="EL50" s="1018"/>
      <c r="EM50" s="1018"/>
      <c r="EN50" s="1018"/>
      <c r="EO50" s="1018"/>
      <c r="EP50" s="1018"/>
      <c r="EQ50" s="1018"/>
      <c r="ER50" s="1018"/>
      <c r="ES50" s="1018"/>
      <c r="ET50" s="1018"/>
      <c r="EU50" s="1018"/>
      <c r="EV50" s="1018"/>
      <c r="EW50" s="1018"/>
      <c r="EX50" s="1018"/>
      <c r="EY50" s="1018"/>
      <c r="EZ50" s="1018"/>
      <c r="FA50" s="1018"/>
      <c r="FB50" s="1018"/>
      <c r="FC50" s="1018"/>
      <c r="FD50" s="1018"/>
      <c r="FE50" s="1018"/>
      <c r="FF50" s="1018"/>
      <c r="FG50" s="1018"/>
      <c r="FH50" s="1018"/>
      <c r="FI50" s="1018"/>
      <c r="FJ50" s="1018"/>
      <c r="FK50" s="1018"/>
      <c r="FL50" s="1018"/>
      <c r="FM50" s="1018"/>
      <c r="FN50" s="1018"/>
      <c r="FO50" s="1018"/>
      <c r="FP50" s="1018"/>
      <c r="FQ50" s="1018"/>
      <c r="FR50" s="1018"/>
      <c r="FS50" s="1018"/>
      <c r="FT50" s="1018"/>
      <c r="FU50" s="1018"/>
      <c r="FV50" s="1018"/>
      <c r="FW50" s="1018"/>
      <c r="FX50" s="1018"/>
      <c r="FY50" s="1018"/>
      <c r="FZ50" s="1018"/>
      <c r="GA50" s="1018"/>
      <c r="GB50" s="1018"/>
      <c r="GC50" s="1018"/>
      <c r="GD50" s="1018"/>
      <c r="GE50" s="1018"/>
      <c r="GF50" s="1018"/>
      <c r="GG50" s="1018"/>
    </row>
    <row r="51" spans="1:199" s="1045" customFormat="1">
      <c r="A51" s="1011">
        <v>48</v>
      </c>
      <c r="B51" s="1526"/>
      <c r="C51" s="964" t="s">
        <v>1244</v>
      </c>
      <c r="D51" s="964" t="s">
        <v>1245</v>
      </c>
      <c r="E51" s="1007" t="s">
        <v>1121</v>
      </c>
      <c r="F51" s="964" t="s">
        <v>1246</v>
      </c>
      <c r="G51" s="1013">
        <v>133</v>
      </c>
      <c r="H51" s="964" t="s">
        <v>1111</v>
      </c>
      <c r="I51" s="1007"/>
      <c r="J51" s="1021"/>
      <c r="K51" s="1015">
        <v>17.600000000000001</v>
      </c>
      <c r="L51" s="1016">
        <f t="shared" si="0"/>
        <v>70224</v>
      </c>
      <c r="M51" s="1044"/>
      <c r="N51" s="964">
        <v>8091</v>
      </c>
      <c r="O51" s="964"/>
    </row>
    <row r="52" spans="1:199" s="1045" customFormat="1">
      <c r="A52" s="1011">
        <v>49</v>
      </c>
      <c r="B52" s="1526"/>
      <c r="C52" s="964" t="s">
        <v>1244</v>
      </c>
      <c r="D52" s="964" t="s">
        <v>1247</v>
      </c>
      <c r="E52" s="1007" t="s">
        <v>1121</v>
      </c>
      <c r="F52" s="964" t="s">
        <v>1248</v>
      </c>
      <c r="G52" s="1013">
        <v>55</v>
      </c>
      <c r="H52" s="964" t="s">
        <v>1111</v>
      </c>
      <c r="I52" s="1007"/>
      <c r="J52" s="1021"/>
      <c r="K52" s="1015">
        <v>17.600000000000001</v>
      </c>
      <c r="L52" s="1016">
        <f t="shared" si="0"/>
        <v>29040.000000000004</v>
      </c>
      <c r="M52" s="1044"/>
      <c r="N52" s="964">
        <v>3346</v>
      </c>
      <c r="O52" s="964"/>
    </row>
    <row r="53" spans="1:199" s="1045" customFormat="1" ht="36">
      <c r="A53" s="1011">
        <v>50</v>
      </c>
      <c r="B53" s="1526"/>
      <c r="C53" s="964" t="s">
        <v>1249</v>
      </c>
      <c r="D53" s="964" t="s">
        <v>1250</v>
      </c>
      <c r="E53" s="1012" t="s">
        <v>1109</v>
      </c>
      <c r="F53" s="964" t="s">
        <v>1251</v>
      </c>
      <c r="G53" s="1013">
        <v>119</v>
      </c>
      <c r="H53" s="964" t="s">
        <v>1123</v>
      </c>
      <c r="I53" s="1012"/>
      <c r="J53" s="1014"/>
      <c r="K53" s="1015">
        <v>15</v>
      </c>
      <c r="L53" s="1016">
        <f t="shared" si="0"/>
        <v>53550</v>
      </c>
      <c r="M53" s="1039"/>
      <c r="N53" s="964">
        <v>7239</v>
      </c>
      <c r="O53" s="964">
        <v>1500</v>
      </c>
    </row>
    <row r="54" spans="1:199" s="1045" customFormat="1" ht="36">
      <c r="A54" s="1011">
        <v>51</v>
      </c>
      <c r="B54" s="1526"/>
      <c r="C54" s="964" t="s">
        <v>1252</v>
      </c>
      <c r="D54" s="964" t="s">
        <v>1253</v>
      </c>
      <c r="E54" s="1012" t="s">
        <v>1109</v>
      </c>
      <c r="F54" s="964" t="s">
        <v>1254</v>
      </c>
      <c r="G54" s="1013">
        <v>77</v>
      </c>
      <c r="H54" s="964" t="s">
        <v>1123</v>
      </c>
      <c r="I54" s="1034"/>
      <c r="J54" s="1035"/>
      <c r="K54" s="1015">
        <v>15</v>
      </c>
      <c r="L54" s="1016">
        <f t="shared" si="0"/>
        <v>34650</v>
      </c>
      <c r="M54" s="1017"/>
      <c r="N54" s="964">
        <v>4684</v>
      </c>
      <c r="O54" s="964">
        <v>1500</v>
      </c>
    </row>
    <row r="55" spans="1:199" s="1040" customFormat="1" ht="36">
      <c r="A55" s="1011">
        <v>52</v>
      </c>
      <c r="B55" s="1526"/>
      <c r="C55" s="964" t="s">
        <v>1255</v>
      </c>
      <c r="D55" s="964" t="s">
        <v>1256</v>
      </c>
      <c r="E55" s="1012" t="s">
        <v>1109</v>
      </c>
      <c r="F55" s="964" t="s">
        <v>1257</v>
      </c>
      <c r="G55" s="1013">
        <v>120</v>
      </c>
      <c r="H55" s="964" t="s">
        <v>1154</v>
      </c>
      <c r="I55" s="1012"/>
      <c r="J55" s="1014"/>
      <c r="K55" s="1015">
        <v>15</v>
      </c>
      <c r="L55" s="1016">
        <f t="shared" si="0"/>
        <v>54000</v>
      </c>
      <c r="M55" s="1039"/>
      <c r="N55" s="964">
        <v>7300</v>
      </c>
      <c r="O55" s="964">
        <v>1000</v>
      </c>
    </row>
    <row r="56" spans="1:199" s="1040" customFormat="1" ht="36">
      <c r="A56" s="1011">
        <v>53</v>
      </c>
      <c r="B56" s="1526"/>
      <c r="C56" s="964" t="s">
        <v>1255</v>
      </c>
      <c r="D56" s="964" t="s">
        <v>1258</v>
      </c>
      <c r="E56" s="1012" t="s">
        <v>1109</v>
      </c>
      <c r="F56" s="964" t="s">
        <v>1259</v>
      </c>
      <c r="G56" s="1013">
        <v>88</v>
      </c>
      <c r="H56" s="964" t="s">
        <v>1123</v>
      </c>
      <c r="I56" s="1012"/>
      <c r="J56" s="1014"/>
      <c r="K56" s="1015">
        <v>15</v>
      </c>
      <c r="L56" s="1016">
        <f t="shared" si="0"/>
        <v>39600</v>
      </c>
      <c r="M56" s="1039"/>
      <c r="N56" s="964">
        <v>5353</v>
      </c>
      <c r="O56" s="964">
        <v>1000</v>
      </c>
    </row>
    <row r="57" spans="1:199" s="1005" customFormat="1" ht="21" customHeight="1">
      <c r="A57" s="1011">
        <v>54</v>
      </c>
      <c r="B57" s="1526"/>
      <c r="C57" s="964" t="s">
        <v>1260</v>
      </c>
      <c r="D57" s="964" t="s">
        <v>1261</v>
      </c>
      <c r="E57" s="1007" t="s">
        <v>1102</v>
      </c>
      <c r="F57" s="964" t="s">
        <v>1262</v>
      </c>
      <c r="G57" s="1013">
        <v>209</v>
      </c>
      <c r="H57" s="964" t="s">
        <v>1111</v>
      </c>
      <c r="I57" s="1007"/>
      <c r="J57" s="1021"/>
      <c r="K57" s="1015">
        <v>15</v>
      </c>
      <c r="L57" s="1016">
        <f t="shared" si="0"/>
        <v>94050</v>
      </c>
      <c r="M57" s="1016"/>
      <c r="N57" s="964">
        <v>12714</v>
      </c>
      <c r="O57" s="964">
        <v>500</v>
      </c>
      <c r="P57" s="1004"/>
      <c r="Q57" s="1004"/>
      <c r="R57" s="1004"/>
      <c r="S57" s="1004"/>
      <c r="T57" s="1004"/>
      <c r="U57" s="1004"/>
      <c r="V57" s="1004"/>
      <c r="W57" s="1004"/>
      <c r="X57" s="1004"/>
      <c r="Y57" s="1004"/>
      <c r="Z57" s="1004"/>
      <c r="AA57" s="1004"/>
      <c r="AB57" s="1004"/>
      <c r="AC57" s="1004"/>
      <c r="AD57" s="1004"/>
      <c r="AE57" s="1004"/>
      <c r="AF57" s="1004"/>
      <c r="AG57" s="1004"/>
      <c r="AH57" s="1004"/>
      <c r="AI57" s="1004"/>
      <c r="AJ57" s="1004"/>
      <c r="AK57" s="1004"/>
      <c r="AL57" s="1004"/>
      <c r="AM57" s="1004"/>
      <c r="AN57" s="1004"/>
      <c r="AO57" s="1004"/>
      <c r="AP57" s="1004"/>
      <c r="AQ57" s="1004"/>
      <c r="AR57" s="1004"/>
      <c r="AS57" s="1004"/>
      <c r="AT57" s="1004"/>
      <c r="AU57" s="1004"/>
      <c r="AV57" s="1004"/>
      <c r="AW57" s="1004"/>
      <c r="AX57" s="1004"/>
      <c r="AY57" s="1004"/>
      <c r="AZ57" s="1004"/>
      <c r="BA57" s="1004"/>
      <c r="BB57" s="1004"/>
      <c r="BC57" s="1004"/>
      <c r="BD57" s="1004"/>
      <c r="BE57" s="1004"/>
      <c r="BF57" s="1004"/>
      <c r="BG57" s="1004"/>
      <c r="BH57" s="1004"/>
      <c r="BI57" s="1004"/>
      <c r="BJ57" s="1004"/>
      <c r="BK57" s="1004"/>
      <c r="BL57" s="1004"/>
      <c r="BM57" s="1004"/>
      <c r="BN57" s="1004"/>
      <c r="BO57" s="1004"/>
      <c r="BP57" s="1004"/>
      <c r="BQ57" s="1004"/>
      <c r="BR57" s="1004"/>
      <c r="BS57" s="1004"/>
      <c r="BT57" s="1004"/>
      <c r="BU57" s="1004"/>
      <c r="BV57" s="1004"/>
      <c r="BW57" s="1004"/>
      <c r="BX57" s="1004"/>
      <c r="BY57" s="1004"/>
      <c r="BZ57" s="1004"/>
      <c r="CA57" s="1004"/>
      <c r="CB57" s="1004"/>
      <c r="CC57" s="1004"/>
      <c r="CD57" s="1004"/>
      <c r="CE57" s="1004"/>
      <c r="CF57" s="1004"/>
      <c r="CG57" s="1004"/>
      <c r="CH57" s="1004"/>
      <c r="CI57" s="1004"/>
      <c r="CJ57" s="1004"/>
      <c r="CK57" s="1004"/>
      <c r="CL57" s="1004"/>
      <c r="CM57" s="1004"/>
      <c r="CN57" s="1004"/>
      <c r="CO57" s="1004"/>
      <c r="CP57" s="1004"/>
      <c r="CQ57" s="1004"/>
      <c r="CR57" s="1004"/>
      <c r="CS57" s="1004"/>
      <c r="CT57" s="1004"/>
      <c r="CU57" s="1004"/>
      <c r="CV57" s="1004"/>
      <c r="CW57" s="1004"/>
      <c r="CX57" s="1004"/>
      <c r="CY57" s="1004"/>
      <c r="CZ57" s="1004"/>
      <c r="DA57" s="1004"/>
      <c r="DB57" s="1004"/>
      <c r="DC57" s="1004"/>
      <c r="DD57" s="1004"/>
      <c r="DE57" s="1004"/>
      <c r="DF57" s="1004"/>
      <c r="DG57" s="1004"/>
      <c r="DH57" s="1004"/>
      <c r="DI57" s="1004"/>
      <c r="DJ57" s="1004"/>
      <c r="DK57" s="1004"/>
      <c r="DL57" s="1004"/>
      <c r="DM57" s="1004"/>
      <c r="DN57" s="1004"/>
      <c r="DO57" s="1004"/>
      <c r="DP57" s="1004"/>
      <c r="DQ57" s="1004"/>
      <c r="DR57" s="1004"/>
      <c r="DS57" s="1004"/>
      <c r="DT57" s="1004"/>
      <c r="DU57" s="1004"/>
      <c r="DV57" s="1004"/>
      <c r="DW57" s="1004"/>
      <c r="DX57" s="1004"/>
      <c r="DY57" s="1004"/>
      <c r="DZ57" s="1004"/>
      <c r="EA57" s="1004"/>
      <c r="EB57" s="1004"/>
      <c r="EC57" s="1004"/>
      <c r="ED57" s="1004"/>
      <c r="EE57" s="1004"/>
      <c r="EF57" s="1004"/>
      <c r="EG57" s="1004"/>
      <c r="EH57" s="1004"/>
      <c r="EI57" s="1004"/>
      <c r="EJ57" s="1004"/>
      <c r="EK57" s="1004"/>
      <c r="EL57" s="1004"/>
      <c r="EM57" s="1004"/>
      <c r="EN57" s="1004"/>
      <c r="EO57" s="1004"/>
      <c r="EP57" s="1004"/>
      <c r="EQ57" s="1004"/>
      <c r="ER57" s="1004"/>
      <c r="ES57" s="1004"/>
      <c r="ET57" s="1004"/>
      <c r="EU57" s="1004"/>
      <c r="EV57" s="1004"/>
      <c r="EW57" s="1004"/>
      <c r="EX57" s="1004"/>
      <c r="EY57" s="1004"/>
      <c r="EZ57" s="1004"/>
      <c r="FA57" s="1004"/>
      <c r="FB57" s="1004"/>
      <c r="FC57" s="1004"/>
      <c r="FD57" s="1004"/>
      <c r="FE57" s="1004"/>
      <c r="FF57" s="1004"/>
      <c r="FG57" s="1004"/>
      <c r="FH57" s="1004"/>
      <c r="FI57" s="1004"/>
      <c r="FJ57" s="1004"/>
      <c r="FK57" s="1004"/>
      <c r="FL57" s="1004"/>
      <c r="FM57" s="1004"/>
      <c r="FN57" s="1004"/>
      <c r="FO57" s="1004"/>
      <c r="FP57" s="1004"/>
      <c r="FQ57" s="1004"/>
      <c r="FR57" s="1004"/>
      <c r="FS57" s="1004"/>
      <c r="FT57" s="1004"/>
      <c r="FU57" s="1004"/>
      <c r="FV57" s="1004"/>
      <c r="FW57" s="1004"/>
      <c r="FX57" s="1004"/>
      <c r="FY57" s="1004"/>
      <c r="FZ57" s="1004"/>
      <c r="GA57" s="1004"/>
      <c r="GB57" s="1004"/>
      <c r="GC57" s="1004"/>
      <c r="GD57" s="1004"/>
      <c r="GE57" s="1004"/>
      <c r="GF57" s="1004"/>
      <c r="GG57" s="1004"/>
      <c r="GH57" s="1004"/>
      <c r="GI57" s="1004"/>
      <c r="GJ57" s="1004"/>
      <c r="GK57" s="1004"/>
      <c r="GL57" s="1004"/>
      <c r="GM57" s="1004"/>
      <c r="GN57" s="1004"/>
      <c r="GO57" s="1004"/>
      <c r="GP57" s="1004"/>
      <c r="GQ57" s="1004"/>
    </row>
    <row r="58" spans="1:199" s="1005" customFormat="1" ht="36">
      <c r="A58" s="1011">
        <v>55</v>
      </c>
      <c r="B58" s="1526"/>
      <c r="C58" s="964" t="s">
        <v>1263</v>
      </c>
      <c r="D58" s="964" t="s">
        <v>1264</v>
      </c>
      <c r="E58" s="1012" t="s">
        <v>1109</v>
      </c>
      <c r="F58" s="964" t="s">
        <v>1265</v>
      </c>
      <c r="G58" s="1013">
        <v>109</v>
      </c>
      <c r="H58" s="964" t="s">
        <v>1123</v>
      </c>
      <c r="I58" s="1012"/>
      <c r="J58" s="1014"/>
      <c r="K58" s="1015">
        <v>15</v>
      </c>
      <c r="L58" s="1016">
        <f t="shared" si="0"/>
        <v>49050</v>
      </c>
      <c r="M58" s="1039"/>
      <c r="N58" s="964">
        <v>6631</v>
      </c>
      <c r="O58" s="964">
        <v>1500</v>
      </c>
      <c r="P58" s="1004"/>
      <c r="Q58" s="1004"/>
      <c r="R58" s="1004"/>
      <c r="S58" s="1004"/>
      <c r="T58" s="1004"/>
      <c r="U58" s="1004"/>
      <c r="V58" s="1004"/>
      <c r="W58" s="1004"/>
      <c r="X58" s="1004"/>
      <c r="Y58" s="1004"/>
      <c r="Z58" s="1004"/>
      <c r="AA58" s="1004"/>
      <c r="AB58" s="1004"/>
      <c r="AC58" s="1004"/>
      <c r="AD58" s="1004"/>
      <c r="AE58" s="1004"/>
      <c r="AF58" s="1004"/>
      <c r="AG58" s="1004"/>
      <c r="AH58" s="1004"/>
      <c r="AI58" s="1004"/>
      <c r="AJ58" s="1004"/>
      <c r="AK58" s="1004"/>
      <c r="AL58" s="1004"/>
      <c r="AM58" s="1004"/>
      <c r="AN58" s="1004"/>
      <c r="AO58" s="1004"/>
      <c r="AP58" s="1004"/>
      <c r="AQ58" s="1004"/>
      <c r="AR58" s="1004"/>
      <c r="AS58" s="1004"/>
      <c r="AT58" s="1004"/>
      <c r="AU58" s="1004"/>
      <c r="AV58" s="1004"/>
      <c r="AW58" s="1004"/>
      <c r="AX58" s="1004"/>
      <c r="AY58" s="1004"/>
      <c r="AZ58" s="1004"/>
      <c r="BA58" s="1004"/>
      <c r="BB58" s="1004"/>
      <c r="BC58" s="1004"/>
      <c r="BD58" s="1004"/>
      <c r="BE58" s="1004"/>
      <c r="BF58" s="1004"/>
      <c r="BG58" s="1004"/>
      <c r="BH58" s="1004"/>
      <c r="BI58" s="1004"/>
      <c r="BJ58" s="1004"/>
      <c r="BK58" s="1004"/>
      <c r="BL58" s="1004"/>
      <c r="BM58" s="1004"/>
      <c r="BN58" s="1004"/>
      <c r="BO58" s="1004"/>
      <c r="BP58" s="1004"/>
      <c r="BQ58" s="1004"/>
      <c r="BR58" s="1004"/>
      <c r="BS58" s="1004"/>
      <c r="BT58" s="1004"/>
      <c r="BU58" s="1004"/>
      <c r="BV58" s="1004"/>
      <c r="BW58" s="1004"/>
      <c r="BX58" s="1004"/>
      <c r="BY58" s="1004"/>
      <c r="BZ58" s="1004"/>
      <c r="CA58" s="1004"/>
      <c r="CB58" s="1004"/>
      <c r="CC58" s="1004"/>
      <c r="CD58" s="1004"/>
      <c r="CE58" s="1004"/>
      <c r="CF58" s="1004"/>
      <c r="CG58" s="1004"/>
      <c r="CH58" s="1004"/>
      <c r="CI58" s="1004"/>
      <c r="CJ58" s="1004"/>
      <c r="CK58" s="1004"/>
      <c r="CL58" s="1004"/>
      <c r="CM58" s="1004"/>
      <c r="CN58" s="1004"/>
      <c r="CO58" s="1004"/>
      <c r="CP58" s="1004"/>
      <c r="CQ58" s="1004"/>
      <c r="CR58" s="1004"/>
      <c r="CS58" s="1004"/>
      <c r="CT58" s="1004"/>
      <c r="CU58" s="1004"/>
      <c r="CV58" s="1004"/>
      <c r="CW58" s="1004"/>
      <c r="CX58" s="1004"/>
      <c r="CY58" s="1004"/>
      <c r="CZ58" s="1004"/>
      <c r="DA58" s="1004"/>
      <c r="DB58" s="1004"/>
      <c r="DC58" s="1004"/>
      <c r="DD58" s="1004"/>
      <c r="DE58" s="1004"/>
      <c r="DF58" s="1004"/>
      <c r="DG58" s="1004"/>
      <c r="DH58" s="1004"/>
      <c r="DI58" s="1004"/>
      <c r="DJ58" s="1004"/>
      <c r="DK58" s="1004"/>
      <c r="DL58" s="1004"/>
      <c r="DM58" s="1004"/>
      <c r="DN58" s="1004"/>
      <c r="DO58" s="1004"/>
      <c r="DP58" s="1004"/>
      <c r="DQ58" s="1004"/>
      <c r="DR58" s="1004"/>
      <c r="DS58" s="1004"/>
      <c r="DT58" s="1004"/>
      <c r="DU58" s="1004"/>
      <c r="DV58" s="1004"/>
      <c r="DW58" s="1004"/>
      <c r="DX58" s="1004"/>
      <c r="DY58" s="1004"/>
      <c r="DZ58" s="1004"/>
      <c r="EA58" s="1004"/>
      <c r="EB58" s="1004"/>
      <c r="EC58" s="1004"/>
      <c r="ED58" s="1004"/>
      <c r="EE58" s="1004"/>
      <c r="EF58" s="1004"/>
      <c r="EG58" s="1004"/>
      <c r="EH58" s="1004"/>
      <c r="EI58" s="1004"/>
      <c r="EJ58" s="1004"/>
      <c r="EK58" s="1004"/>
      <c r="EL58" s="1004"/>
      <c r="EM58" s="1004"/>
      <c r="EN58" s="1004"/>
      <c r="EO58" s="1004"/>
      <c r="EP58" s="1004"/>
      <c r="EQ58" s="1004"/>
      <c r="ER58" s="1004"/>
      <c r="ES58" s="1004"/>
      <c r="ET58" s="1004"/>
      <c r="EU58" s="1004"/>
      <c r="EV58" s="1004"/>
      <c r="EW58" s="1004"/>
      <c r="EX58" s="1004"/>
      <c r="EY58" s="1004"/>
      <c r="EZ58" s="1004"/>
      <c r="FA58" s="1004"/>
      <c r="FB58" s="1004"/>
      <c r="FC58" s="1004"/>
      <c r="FD58" s="1004"/>
      <c r="FE58" s="1004"/>
      <c r="FF58" s="1004"/>
      <c r="FG58" s="1004"/>
      <c r="FH58" s="1004"/>
      <c r="FI58" s="1004"/>
      <c r="FJ58" s="1004"/>
      <c r="FK58" s="1004"/>
      <c r="FL58" s="1004"/>
      <c r="FM58" s="1004"/>
      <c r="FN58" s="1004"/>
      <c r="FO58" s="1004"/>
      <c r="FP58" s="1004"/>
      <c r="FQ58" s="1004"/>
      <c r="FR58" s="1004"/>
      <c r="FS58" s="1004"/>
      <c r="FT58" s="1004"/>
      <c r="FU58" s="1004"/>
      <c r="FV58" s="1004"/>
      <c r="FW58" s="1004"/>
      <c r="FX58" s="1004"/>
      <c r="FY58" s="1004"/>
      <c r="FZ58" s="1004"/>
      <c r="GA58" s="1004"/>
      <c r="GB58" s="1004"/>
      <c r="GC58" s="1004"/>
      <c r="GD58" s="1004"/>
      <c r="GE58" s="1004"/>
      <c r="GF58" s="1004"/>
      <c r="GG58" s="1004"/>
      <c r="GH58" s="1004"/>
      <c r="GI58" s="1004"/>
      <c r="GJ58" s="1004"/>
      <c r="GK58" s="1004"/>
      <c r="GL58" s="1004"/>
      <c r="GM58" s="1004"/>
      <c r="GN58" s="1004"/>
      <c r="GO58" s="1004"/>
      <c r="GP58" s="1004"/>
      <c r="GQ58" s="1004"/>
    </row>
    <row r="59" spans="1:199" s="1005" customFormat="1">
      <c r="A59" s="1011">
        <v>56</v>
      </c>
      <c r="B59" s="1526"/>
      <c r="C59" s="964" t="s">
        <v>1266</v>
      </c>
      <c r="D59" s="964" t="s">
        <v>1267</v>
      </c>
      <c r="E59" s="1049" t="s">
        <v>1102</v>
      </c>
      <c r="F59" s="964" t="s">
        <v>1268</v>
      </c>
      <c r="G59" s="1013">
        <v>860</v>
      </c>
      <c r="H59" s="964" t="s">
        <v>1215</v>
      </c>
      <c r="I59" s="1007"/>
      <c r="J59" s="1021"/>
      <c r="K59" s="1015">
        <v>15</v>
      </c>
      <c r="L59" s="1016">
        <f t="shared" si="0"/>
        <v>387000</v>
      </c>
      <c r="M59" s="1016"/>
      <c r="N59" s="964">
        <v>52317</v>
      </c>
      <c r="O59" s="964"/>
      <c r="P59" s="1004"/>
      <c r="Q59" s="1004"/>
      <c r="R59" s="1004"/>
      <c r="S59" s="1004"/>
      <c r="T59" s="1004"/>
      <c r="U59" s="1004"/>
      <c r="V59" s="1004"/>
      <c r="W59" s="1004"/>
      <c r="X59" s="1004"/>
      <c r="Y59" s="1004"/>
      <c r="Z59" s="1004"/>
      <c r="AA59" s="1004"/>
      <c r="AB59" s="1004"/>
      <c r="AC59" s="1004"/>
      <c r="AD59" s="1004"/>
      <c r="AE59" s="1004"/>
      <c r="AF59" s="1004"/>
      <c r="AG59" s="1004"/>
      <c r="AH59" s="1004"/>
      <c r="AI59" s="1004"/>
      <c r="AJ59" s="1004"/>
      <c r="AK59" s="1004"/>
      <c r="AL59" s="1004"/>
      <c r="AM59" s="1004"/>
      <c r="AN59" s="1004"/>
      <c r="AO59" s="1004"/>
      <c r="AP59" s="1004"/>
      <c r="AQ59" s="1004"/>
      <c r="AR59" s="1004"/>
      <c r="AS59" s="1004"/>
      <c r="AT59" s="1004"/>
      <c r="AU59" s="1004"/>
      <c r="AV59" s="1004"/>
      <c r="AW59" s="1004"/>
      <c r="AX59" s="1004"/>
      <c r="AY59" s="1004"/>
      <c r="AZ59" s="1004"/>
      <c r="BA59" s="1004"/>
      <c r="BB59" s="1004"/>
      <c r="BC59" s="1004"/>
      <c r="BD59" s="1004"/>
      <c r="BE59" s="1004"/>
      <c r="BF59" s="1004"/>
      <c r="BG59" s="1004"/>
      <c r="BH59" s="1004"/>
      <c r="BI59" s="1004"/>
      <c r="BJ59" s="1004"/>
      <c r="BK59" s="1004"/>
      <c r="BL59" s="1004"/>
      <c r="BM59" s="1004"/>
      <c r="BN59" s="1004"/>
      <c r="BO59" s="1004"/>
      <c r="BP59" s="1004"/>
      <c r="BQ59" s="1004"/>
      <c r="BR59" s="1004"/>
      <c r="BS59" s="1004"/>
      <c r="BT59" s="1004"/>
      <c r="BU59" s="1004"/>
      <c r="BV59" s="1004"/>
      <c r="BW59" s="1004"/>
      <c r="BX59" s="1004"/>
      <c r="BY59" s="1004"/>
      <c r="BZ59" s="1004"/>
      <c r="CA59" s="1004"/>
      <c r="CB59" s="1004"/>
      <c r="CC59" s="1004"/>
      <c r="CD59" s="1004"/>
      <c r="CE59" s="1004"/>
      <c r="CF59" s="1004"/>
      <c r="CG59" s="1004"/>
      <c r="CH59" s="1004"/>
      <c r="CI59" s="1004"/>
      <c r="CJ59" s="1004"/>
      <c r="CK59" s="1004"/>
      <c r="CL59" s="1004"/>
      <c r="CM59" s="1004"/>
      <c r="CN59" s="1004"/>
      <c r="CO59" s="1004"/>
      <c r="CP59" s="1004"/>
      <c r="CQ59" s="1004"/>
      <c r="CR59" s="1004"/>
      <c r="CS59" s="1004"/>
      <c r="CT59" s="1004"/>
      <c r="CU59" s="1004"/>
      <c r="CV59" s="1004"/>
      <c r="CW59" s="1004"/>
      <c r="CX59" s="1004"/>
      <c r="CY59" s="1004"/>
      <c r="CZ59" s="1004"/>
      <c r="DA59" s="1004"/>
      <c r="DB59" s="1004"/>
      <c r="DC59" s="1004"/>
      <c r="DD59" s="1004"/>
      <c r="DE59" s="1004"/>
      <c r="DF59" s="1004"/>
      <c r="DG59" s="1004"/>
      <c r="DH59" s="1004"/>
      <c r="DI59" s="1004"/>
      <c r="DJ59" s="1004"/>
      <c r="DK59" s="1004"/>
      <c r="DL59" s="1004"/>
      <c r="DM59" s="1004"/>
      <c r="DN59" s="1004"/>
      <c r="DO59" s="1004"/>
      <c r="DP59" s="1004"/>
      <c r="DQ59" s="1004"/>
      <c r="DR59" s="1004"/>
      <c r="DS59" s="1004"/>
      <c r="DT59" s="1004"/>
      <c r="DU59" s="1004"/>
      <c r="DV59" s="1004"/>
      <c r="DW59" s="1004"/>
      <c r="DX59" s="1004"/>
      <c r="DY59" s="1004"/>
      <c r="DZ59" s="1004"/>
      <c r="EA59" s="1004"/>
      <c r="EB59" s="1004"/>
      <c r="EC59" s="1004"/>
      <c r="ED59" s="1004"/>
      <c r="EE59" s="1004"/>
      <c r="EF59" s="1004"/>
      <c r="EG59" s="1004"/>
      <c r="EH59" s="1004"/>
      <c r="EI59" s="1004"/>
      <c r="EJ59" s="1004"/>
      <c r="EK59" s="1004"/>
      <c r="EL59" s="1004"/>
      <c r="EM59" s="1004"/>
      <c r="EN59" s="1004"/>
      <c r="EO59" s="1004"/>
      <c r="EP59" s="1004"/>
      <c r="EQ59" s="1004"/>
      <c r="ER59" s="1004"/>
      <c r="ES59" s="1004"/>
      <c r="ET59" s="1004"/>
      <c r="EU59" s="1004"/>
      <c r="EV59" s="1004"/>
      <c r="EW59" s="1004"/>
      <c r="EX59" s="1004"/>
      <c r="EY59" s="1004"/>
      <c r="EZ59" s="1004"/>
      <c r="FA59" s="1004"/>
      <c r="FB59" s="1004"/>
      <c r="FC59" s="1004"/>
      <c r="FD59" s="1004"/>
      <c r="FE59" s="1004"/>
      <c r="FF59" s="1004"/>
      <c r="FG59" s="1004"/>
      <c r="FH59" s="1004"/>
      <c r="FI59" s="1004"/>
      <c r="FJ59" s="1004"/>
      <c r="FK59" s="1004"/>
      <c r="FL59" s="1004"/>
      <c r="FM59" s="1004"/>
      <c r="FN59" s="1004"/>
      <c r="FO59" s="1004"/>
      <c r="FP59" s="1004"/>
      <c r="FQ59" s="1004"/>
      <c r="FR59" s="1004"/>
      <c r="FS59" s="1004"/>
      <c r="FT59" s="1004"/>
      <c r="FU59" s="1004"/>
      <c r="FV59" s="1004"/>
      <c r="FW59" s="1004"/>
      <c r="FX59" s="1004"/>
      <c r="FY59" s="1004"/>
      <c r="FZ59" s="1004"/>
      <c r="GA59" s="1004"/>
      <c r="GB59" s="1004"/>
      <c r="GC59" s="1004"/>
      <c r="GD59" s="1004"/>
      <c r="GE59" s="1004"/>
      <c r="GF59" s="1004"/>
      <c r="GG59" s="1004"/>
      <c r="GH59" s="1004"/>
      <c r="GI59" s="1004"/>
      <c r="GJ59" s="1004"/>
      <c r="GK59" s="1004"/>
      <c r="GL59" s="1004"/>
      <c r="GM59" s="1004"/>
      <c r="GN59" s="1004"/>
      <c r="GO59" s="1004"/>
      <c r="GP59" s="1004"/>
      <c r="GQ59" s="1004"/>
    </row>
    <row r="60" spans="1:199" s="1018" customFormat="1" ht="36">
      <c r="A60" s="1011">
        <v>57</v>
      </c>
      <c r="B60" s="1526"/>
      <c r="C60" s="964" t="s">
        <v>1269</v>
      </c>
      <c r="D60" s="964" t="s">
        <v>1270</v>
      </c>
      <c r="E60" s="1012" t="s">
        <v>1109</v>
      </c>
      <c r="F60" s="964" t="s">
        <v>1271</v>
      </c>
      <c r="G60" s="1013">
        <v>127</v>
      </c>
      <c r="H60" s="964" t="s">
        <v>1123</v>
      </c>
      <c r="I60" s="1012"/>
      <c r="J60" s="1014"/>
      <c r="K60" s="1015">
        <v>15</v>
      </c>
      <c r="L60" s="1016">
        <f t="shared" si="0"/>
        <v>57150</v>
      </c>
      <c r="M60" s="1017"/>
      <c r="N60" s="964">
        <v>7726</v>
      </c>
      <c r="O60" s="964">
        <v>1500</v>
      </c>
    </row>
    <row r="61" spans="1:199" s="1006" customFormat="1" ht="36">
      <c r="A61" s="1011">
        <v>58</v>
      </c>
      <c r="B61" s="1526"/>
      <c r="C61" s="964" t="s">
        <v>1272</v>
      </c>
      <c r="D61" s="964" t="s">
        <v>1273</v>
      </c>
      <c r="E61" s="1007" t="s">
        <v>1109</v>
      </c>
      <c r="F61" s="964" t="s">
        <v>1274</v>
      </c>
      <c r="G61" s="1013">
        <v>121</v>
      </c>
      <c r="H61" s="964" t="s">
        <v>1154</v>
      </c>
      <c r="I61" s="1007"/>
      <c r="J61" s="1021"/>
      <c r="K61" s="1015">
        <v>15</v>
      </c>
      <c r="L61" s="1016">
        <f t="shared" si="0"/>
        <v>54450</v>
      </c>
      <c r="M61" s="1023"/>
      <c r="N61" s="964">
        <v>7361</v>
      </c>
      <c r="O61" s="964">
        <v>1500</v>
      </c>
    </row>
    <row r="62" spans="1:199" s="1006" customFormat="1" ht="36">
      <c r="A62" s="1011">
        <v>59</v>
      </c>
      <c r="B62" s="1526"/>
      <c r="C62" s="964" t="s">
        <v>1275</v>
      </c>
      <c r="D62" s="964" t="s">
        <v>1276</v>
      </c>
      <c r="E62" s="1007" t="s">
        <v>1109</v>
      </c>
      <c r="F62" s="964" t="s">
        <v>1277</v>
      </c>
      <c r="G62" s="1013">
        <v>135</v>
      </c>
      <c r="H62" s="964" t="s">
        <v>1123</v>
      </c>
      <c r="I62" s="1007"/>
      <c r="J62" s="1021"/>
      <c r="K62" s="1015">
        <v>15</v>
      </c>
      <c r="L62" s="1016">
        <f t="shared" si="0"/>
        <v>60750</v>
      </c>
      <c r="M62" s="1023"/>
      <c r="N62" s="964">
        <v>8213</v>
      </c>
      <c r="O62" s="964">
        <v>1500</v>
      </c>
    </row>
    <row r="63" spans="1:199" s="1006" customFormat="1" ht="36">
      <c r="A63" s="1011">
        <v>60</v>
      </c>
      <c r="B63" s="1526"/>
      <c r="C63" s="964" t="s">
        <v>1278</v>
      </c>
      <c r="D63" s="964" t="s">
        <v>1279</v>
      </c>
      <c r="E63" s="1012" t="s">
        <v>1109</v>
      </c>
      <c r="F63" s="964" t="s">
        <v>1280</v>
      </c>
      <c r="G63" s="1013">
        <v>120</v>
      </c>
      <c r="H63" s="964" t="s">
        <v>1123</v>
      </c>
      <c r="I63" s="1012"/>
      <c r="J63" s="1014"/>
      <c r="K63" s="1015">
        <v>15</v>
      </c>
      <c r="L63" s="1016">
        <f t="shared" si="0"/>
        <v>54000</v>
      </c>
      <c r="M63" s="1017"/>
      <c r="N63" s="964">
        <v>7300</v>
      </c>
      <c r="O63" s="964">
        <v>1500</v>
      </c>
    </row>
    <row r="64" spans="1:199" s="1005" customFormat="1" ht="36">
      <c r="A64" s="1011">
        <v>61</v>
      </c>
      <c r="B64" s="1526"/>
      <c r="C64" s="964" t="s">
        <v>1281</v>
      </c>
      <c r="D64" s="964" t="s">
        <v>1282</v>
      </c>
      <c r="E64" s="1007" t="s">
        <v>1109</v>
      </c>
      <c r="F64" s="964" t="s">
        <v>1283</v>
      </c>
      <c r="G64" s="1013">
        <v>140</v>
      </c>
      <c r="H64" s="964" t="s">
        <v>1154</v>
      </c>
      <c r="I64" s="1007"/>
      <c r="J64" s="1021"/>
      <c r="K64" s="1015">
        <v>15</v>
      </c>
      <c r="L64" s="1016">
        <f t="shared" si="0"/>
        <v>63000</v>
      </c>
      <c r="M64" s="1050"/>
      <c r="N64" s="964">
        <v>8517</v>
      </c>
      <c r="O64" s="964">
        <v>1500</v>
      </c>
      <c r="P64" s="1004"/>
      <c r="Q64" s="1004"/>
      <c r="R64" s="1004"/>
      <c r="S64" s="1004"/>
      <c r="T64" s="1004"/>
      <c r="U64" s="1004"/>
      <c r="V64" s="1004"/>
      <c r="W64" s="1004"/>
      <c r="X64" s="1004"/>
      <c r="Y64" s="1004"/>
      <c r="Z64" s="1004"/>
      <c r="AA64" s="1004"/>
      <c r="AB64" s="1004"/>
      <c r="AC64" s="1004"/>
      <c r="AD64" s="1004"/>
      <c r="AE64" s="1004"/>
      <c r="AF64" s="1004"/>
      <c r="AG64" s="1004"/>
      <c r="AH64" s="1004"/>
      <c r="AI64" s="1004"/>
      <c r="AJ64" s="1004"/>
      <c r="AK64" s="1004"/>
      <c r="AL64" s="1004"/>
      <c r="AM64" s="1004"/>
      <c r="AN64" s="1004"/>
      <c r="AO64" s="1004"/>
      <c r="AP64" s="1004"/>
      <c r="AQ64" s="1004"/>
      <c r="AR64" s="1004"/>
      <c r="AS64" s="1004"/>
      <c r="AT64" s="1004"/>
      <c r="AU64" s="1004"/>
      <c r="AV64" s="1004"/>
      <c r="AW64" s="1004"/>
      <c r="AX64" s="1004"/>
      <c r="AY64" s="1004"/>
      <c r="AZ64" s="1004"/>
      <c r="BA64" s="1004"/>
      <c r="BB64" s="1004"/>
      <c r="BC64" s="1004"/>
      <c r="BD64" s="1004"/>
      <c r="BE64" s="1004"/>
      <c r="BF64" s="1004"/>
      <c r="BG64" s="1004"/>
      <c r="BH64" s="1004"/>
      <c r="BI64" s="1004"/>
      <c r="BJ64" s="1004"/>
      <c r="BK64" s="1004"/>
      <c r="BL64" s="1004"/>
      <c r="BM64" s="1004"/>
      <c r="BN64" s="1004"/>
      <c r="BO64" s="1004"/>
      <c r="BP64" s="1004"/>
      <c r="BQ64" s="1004"/>
      <c r="BR64" s="1004"/>
      <c r="BS64" s="1004"/>
      <c r="BT64" s="1004"/>
      <c r="BU64" s="1004"/>
      <c r="BV64" s="1004"/>
      <c r="BW64" s="1004"/>
      <c r="BX64" s="1004"/>
      <c r="BY64" s="1004"/>
      <c r="BZ64" s="1004"/>
      <c r="CA64" s="1004"/>
      <c r="CB64" s="1004"/>
      <c r="CC64" s="1004"/>
      <c r="CD64" s="1004"/>
      <c r="CE64" s="1004"/>
      <c r="CF64" s="1004"/>
      <c r="CG64" s="1004"/>
      <c r="CH64" s="1004"/>
      <c r="CI64" s="1004"/>
      <c r="CJ64" s="1004"/>
      <c r="CK64" s="1004"/>
      <c r="CL64" s="1004"/>
      <c r="CM64" s="1004"/>
      <c r="CN64" s="1004"/>
      <c r="CO64" s="1004"/>
      <c r="CP64" s="1004"/>
      <c r="CQ64" s="1004"/>
      <c r="CR64" s="1004"/>
      <c r="CS64" s="1004"/>
      <c r="CT64" s="1004"/>
      <c r="CU64" s="1004"/>
      <c r="CV64" s="1004"/>
      <c r="CW64" s="1004"/>
      <c r="CX64" s="1004"/>
      <c r="CY64" s="1004"/>
      <c r="CZ64" s="1004"/>
      <c r="DA64" s="1004"/>
      <c r="DB64" s="1004"/>
      <c r="DC64" s="1004"/>
      <c r="DD64" s="1004"/>
      <c r="DE64" s="1004"/>
      <c r="DF64" s="1004"/>
      <c r="DG64" s="1004"/>
      <c r="DH64" s="1004"/>
      <c r="DI64" s="1004"/>
      <c r="DJ64" s="1004"/>
      <c r="DK64" s="1004"/>
      <c r="DL64" s="1004"/>
      <c r="DM64" s="1004"/>
      <c r="DN64" s="1004"/>
      <c r="DO64" s="1004"/>
      <c r="DP64" s="1004"/>
      <c r="DQ64" s="1004"/>
      <c r="DR64" s="1004"/>
      <c r="DS64" s="1004"/>
      <c r="DT64" s="1004"/>
      <c r="DU64" s="1004"/>
      <c r="DV64" s="1004"/>
      <c r="DW64" s="1004"/>
      <c r="DX64" s="1004"/>
      <c r="DY64" s="1004"/>
      <c r="DZ64" s="1004"/>
      <c r="EA64" s="1004"/>
      <c r="EB64" s="1004"/>
      <c r="EC64" s="1004"/>
      <c r="ED64" s="1004"/>
      <c r="EE64" s="1004"/>
      <c r="EF64" s="1004"/>
      <c r="EG64" s="1004"/>
      <c r="EH64" s="1004"/>
      <c r="EI64" s="1004"/>
      <c r="EJ64" s="1004"/>
      <c r="EK64" s="1004"/>
      <c r="EL64" s="1004"/>
      <c r="EM64" s="1004"/>
      <c r="EN64" s="1004"/>
      <c r="EO64" s="1004"/>
      <c r="EP64" s="1004"/>
      <c r="EQ64" s="1004"/>
      <c r="ER64" s="1004"/>
      <c r="ES64" s="1004"/>
      <c r="ET64" s="1004"/>
      <c r="EU64" s="1004"/>
      <c r="EV64" s="1004"/>
      <c r="EW64" s="1004"/>
      <c r="EX64" s="1004"/>
      <c r="EY64" s="1004"/>
      <c r="EZ64" s="1004"/>
      <c r="FA64" s="1004"/>
      <c r="FB64" s="1004"/>
      <c r="FC64" s="1004"/>
      <c r="FD64" s="1004"/>
      <c r="FE64" s="1004"/>
      <c r="FF64" s="1004"/>
      <c r="FG64" s="1004"/>
      <c r="FH64" s="1004"/>
      <c r="FI64" s="1004"/>
      <c r="FJ64" s="1004"/>
      <c r="FK64" s="1004"/>
      <c r="FL64" s="1004"/>
      <c r="FM64" s="1004"/>
      <c r="FN64" s="1004"/>
      <c r="FO64" s="1004"/>
      <c r="FP64" s="1004"/>
      <c r="FQ64" s="1004"/>
      <c r="FR64" s="1004"/>
      <c r="FS64" s="1004"/>
      <c r="FT64" s="1004"/>
      <c r="FU64" s="1004"/>
      <c r="FV64" s="1004"/>
      <c r="FW64" s="1004"/>
      <c r="FX64" s="1004"/>
      <c r="FY64" s="1004"/>
      <c r="FZ64" s="1004"/>
      <c r="GA64" s="1004"/>
      <c r="GB64" s="1004"/>
      <c r="GC64" s="1004"/>
      <c r="GD64" s="1004"/>
      <c r="GE64" s="1004"/>
      <c r="GF64" s="1004"/>
      <c r="GG64" s="1004"/>
      <c r="GH64" s="1004"/>
      <c r="GI64" s="1004"/>
      <c r="GJ64" s="1004"/>
      <c r="GK64" s="1004"/>
      <c r="GL64" s="1004"/>
      <c r="GM64" s="1004"/>
      <c r="GN64" s="1004"/>
      <c r="GO64" s="1004"/>
      <c r="GP64" s="1004"/>
      <c r="GQ64" s="1004"/>
    </row>
    <row r="65" spans="1:199" s="1033" customFormat="1" ht="36">
      <c r="A65" s="1011">
        <v>62</v>
      </c>
      <c r="B65" s="1526"/>
      <c r="C65" s="964" t="s">
        <v>1284</v>
      </c>
      <c r="D65" s="964" t="s">
        <v>1285</v>
      </c>
      <c r="E65" s="1012" t="s">
        <v>1109</v>
      </c>
      <c r="F65" s="964" t="s">
        <v>1286</v>
      </c>
      <c r="G65" s="1013">
        <v>584</v>
      </c>
      <c r="H65" s="964" t="s">
        <v>1287</v>
      </c>
      <c r="I65" s="1012"/>
      <c r="J65" s="1014"/>
      <c r="K65" s="1015">
        <v>15</v>
      </c>
      <c r="L65" s="1016">
        <f t="shared" si="0"/>
        <v>262800</v>
      </c>
      <c r="M65" s="1017"/>
      <c r="N65" s="964">
        <v>35527</v>
      </c>
      <c r="O65" s="964">
        <v>1500</v>
      </c>
    </row>
    <row r="66" spans="1:199" s="1004" customFormat="1">
      <c r="A66" s="1011">
        <v>63</v>
      </c>
      <c r="B66" s="1051" t="s">
        <v>1288</v>
      </c>
      <c r="C66" s="964" t="s">
        <v>1289</v>
      </c>
      <c r="D66" s="964" t="s">
        <v>1290</v>
      </c>
      <c r="E66" s="1012" t="s">
        <v>1291</v>
      </c>
      <c r="F66" s="964" t="s">
        <v>1292</v>
      </c>
      <c r="G66" s="1013">
        <v>125</v>
      </c>
      <c r="H66" s="964" t="s">
        <v>1154</v>
      </c>
      <c r="I66" s="1012"/>
      <c r="J66" s="1036"/>
      <c r="K66" s="1015">
        <v>13</v>
      </c>
      <c r="L66" s="1016">
        <f t="shared" si="0"/>
        <v>48750</v>
      </c>
      <c r="M66" s="1039"/>
      <c r="N66" s="964">
        <v>7064</v>
      </c>
      <c r="O66" s="964">
        <v>500</v>
      </c>
    </row>
    <row r="67" spans="1:199" s="1004" customFormat="1" ht="48">
      <c r="A67" s="1011">
        <v>64</v>
      </c>
      <c r="B67" s="1051"/>
      <c r="C67" s="964" t="s">
        <v>1293</v>
      </c>
      <c r="D67" s="964" t="s">
        <v>1294</v>
      </c>
      <c r="E67" s="1012" t="s">
        <v>1295</v>
      </c>
      <c r="F67" s="964" t="s">
        <v>1296</v>
      </c>
      <c r="G67" s="1013">
        <v>2313</v>
      </c>
      <c r="H67" s="964" t="s">
        <v>1297</v>
      </c>
      <c r="I67" s="1012"/>
      <c r="J67" s="1014"/>
      <c r="K67" s="1015">
        <v>10</v>
      </c>
      <c r="L67" s="1016">
        <f t="shared" si="0"/>
        <v>693900</v>
      </c>
      <c r="M67" s="1017"/>
      <c r="N67" s="964">
        <v>50000</v>
      </c>
      <c r="O67" s="964">
        <v>350</v>
      </c>
      <c r="P67" s="1033"/>
      <c r="Q67" s="1033"/>
      <c r="R67" s="1033"/>
      <c r="S67" s="1033"/>
      <c r="T67" s="1033"/>
      <c r="U67" s="1033"/>
      <c r="V67" s="1033"/>
      <c r="W67" s="1033"/>
      <c r="X67" s="1033"/>
      <c r="Y67" s="1033"/>
      <c r="Z67" s="1033"/>
      <c r="AA67" s="1033"/>
      <c r="AB67" s="1033"/>
      <c r="AC67" s="1033"/>
      <c r="AD67" s="1033"/>
      <c r="AE67" s="1033"/>
      <c r="AF67" s="1033"/>
      <c r="AG67" s="1033"/>
      <c r="AH67" s="1033"/>
      <c r="AI67" s="1033"/>
      <c r="AJ67" s="1033"/>
      <c r="AK67" s="1033"/>
      <c r="AL67" s="1033"/>
      <c r="AM67" s="1033"/>
      <c r="AN67" s="1033"/>
      <c r="AO67" s="1033"/>
      <c r="AP67" s="1033"/>
      <c r="AQ67" s="1033"/>
      <c r="AR67" s="1033"/>
      <c r="AS67" s="1033"/>
      <c r="AT67" s="1033"/>
      <c r="AU67" s="1033"/>
      <c r="AV67" s="1033"/>
      <c r="AW67" s="1033"/>
      <c r="AX67" s="1033"/>
      <c r="AY67" s="1033"/>
      <c r="AZ67" s="1033"/>
      <c r="BA67" s="1033"/>
      <c r="BB67" s="1033"/>
      <c r="BC67" s="1033"/>
      <c r="BD67" s="1033"/>
      <c r="BE67" s="1033"/>
      <c r="BF67" s="1033"/>
      <c r="BG67" s="1033"/>
      <c r="BH67" s="1033"/>
      <c r="BI67" s="1033"/>
      <c r="BJ67" s="1033"/>
      <c r="BK67" s="1033"/>
      <c r="BL67" s="1033"/>
      <c r="BM67" s="1033"/>
      <c r="BN67" s="1033"/>
      <c r="BO67" s="1033"/>
      <c r="BP67" s="1033"/>
      <c r="BQ67" s="1033"/>
      <c r="BR67" s="1033"/>
      <c r="BS67" s="1033"/>
      <c r="BT67" s="1033"/>
      <c r="BU67" s="1033"/>
      <c r="BV67" s="1033"/>
      <c r="BW67" s="1033"/>
      <c r="BX67" s="1033"/>
      <c r="BY67" s="1033"/>
      <c r="BZ67" s="1033"/>
      <c r="CA67" s="1033"/>
      <c r="CB67" s="1033"/>
      <c r="CC67" s="1033"/>
      <c r="CD67" s="1033"/>
      <c r="CE67" s="1033"/>
      <c r="CF67" s="1033"/>
      <c r="CG67" s="1033"/>
      <c r="CH67" s="1033"/>
      <c r="CI67" s="1033"/>
      <c r="CJ67" s="1033"/>
      <c r="CK67" s="1033"/>
      <c r="CL67" s="1033"/>
      <c r="CM67" s="1033"/>
      <c r="CN67" s="1033"/>
      <c r="CO67" s="1033"/>
      <c r="CP67" s="1033"/>
      <c r="CQ67" s="1033"/>
      <c r="CR67" s="1033"/>
      <c r="CS67" s="1033"/>
      <c r="CT67" s="1033"/>
      <c r="CU67" s="1033"/>
      <c r="CV67" s="1033"/>
      <c r="CW67" s="1033"/>
      <c r="CX67" s="1033"/>
      <c r="CY67" s="1033"/>
      <c r="CZ67" s="1033"/>
      <c r="DA67" s="1033"/>
      <c r="DB67" s="1033"/>
      <c r="DC67" s="1033"/>
      <c r="DD67" s="1033"/>
      <c r="DE67" s="1033"/>
      <c r="DF67" s="1033"/>
      <c r="DG67" s="1033"/>
      <c r="DH67" s="1033"/>
      <c r="DI67" s="1033"/>
      <c r="DJ67" s="1033"/>
      <c r="DK67" s="1033"/>
      <c r="DL67" s="1033"/>
      <c r="DM67" s="1033"/>
      <c r="DN67" s="1033"/>
      <c r="DO67" s="1033"/>
      <c r="DP67" s="1033"/>
      <c r="DQ67" s="1033"/>
      <c r="DR67" s="1033"/>
      <c r="DS67" s="1033"/>
      <c r="DT67" s="1033"/>
      <c r="DU67" s="1033"/>
      <c r="DV67" s="1033"/>
      <c r="DW67" s="1033"/>
      <c r="DX67" s="1033"/>
      <c r="DY67" s="1033"/>
      <c r="DZ67" s="1033"/>
      <c r="EA67" s="1033"/>
      <c r="EB67" s="1033"/>
      <c r="EC67" s="1033"/>
      <c r="ED67" s="1033"/>
      <c r="EE67" s="1033"/>
      <c r="EF67" s="1033"/>
      <c r="EG67" s="1033"/>
      <c r="EH67" s="1033"/>
      <c r="EI67" s="1033"/>
      <c r="EJ67" s="1033"/>
      <c r="EK67" s="1033"/>
      <c r="EL67" s="1033"/>
      <c r="EM67" s="1033"/>
      <c r="EN67" s="1033"/>
      <c r="EO67" s="1033"/>
      <c r="EP67" s="1033"/>
      <c r="EQ67" s="1033"/>
      <c r="ER67" s="1033"/>
      <c r="ES67" s="1033"/>
      <c r="ET67" s="1033"/>
      <c r="EU67" s="1033"/>
      <c r="EV67" s="1033"/>
      <c r="EW67" s="1033"/>
      <c r="EX67" s="1033"/>
      <c r="EY67" s="1033"/>
      <c r="EZ67" s="1033"/>
      <c r="FA67" s="1033"/>
      <c r="FB67" s="1033"/>
      <c r="FC67" s="1033"/>
      <c r="FD67" s="1033"/>
      <c r="FE67" s="1033"/>
      <c r="FF67" s="1033"/>
      <c r="FG67" s="1033"/>
      <c r="FH67" s="1033"/>
      <c r="FI67" s="1033"/>
      <c r="FJ67" s="1033"/>
      <c r="FK67" s="1033"/>
      <c r="FL67" s="1033"/>
      <c r="FM67" s="1033"/>
      <c r="FN67" s="1033"/>
      <c r="FO67" s="1033"/>
      <c r="FP67" s="1033"/>
      <c r="FQ67" s="1033"/>
      <c r="FR67" s="1033"/>
      <c r="FS67" s="1033"/>
      <c r="FT67" s="1033"/>
      <c r="FU67" s="1033"/>
      <c r="FV67" s="1033"/>
      <c r="FW67" s="1033"/>
      <c r="FX67" s="1033"/>
      <c r="FY67" s="1033"/>
      <c r="FZ67" s="1033"/>
      <c r="GA67" s="1033"/>
      <c r="GB67" s="1033"/>
      <c r="GC67" s="1033"/>
      <c r="GD67" s="1033"/>
      <c r="GE67" s="1033"/>
      <c r="GF67" s="1033"/>
      <c r="GG67" s="1033"/>
    </row>
    <row r="68" spans="1:199" s="1006" customFormat="1" ht="36">
      <c r="A68" s="1011">
        <v>65</v>
      </c>
      <c r="B68" s="1051"/>
      <c r="C68" s="964" t="s">
        <v>1298</v>
      </c>
      <c r="D68" s="964" t="s">
        <v>1299</v>
      </c>
      <c r="E68" s="1007" t="s">
        <v>1109</v>
      </c>
      <c r="F68" s="964" t="s">
        <v>1300</v>
      </c>
      <c r="G68" s="1013">
        <v>32</v>
      </c>
      <c r="H68" s="964" t="s">
        <v>1123</v>
      </c>
      <c r="I68" s="1007"/>
      <c r="J68" s="1021"/>
      <c r="K68" s="1015">
        <v>13</v>
      </c>
      <c r="L68" s="1016">
        <f t="shared" si="0"/>
        <v>12480</v>
      </c>
      <c r="M68" s="1023"/>
      <c r="N68" s="964">
        <v>1947</v>
      </c>
      <c r="O68" s="964">
        <v>1000</v>
      </c>
    </row>
    <row r="69" spans="1:199" s="1045" customFormat="1" ht="36">
      <c r="A69" s="1011">
        <v>66</v>
      </c>
      <c r="B69" s="1051"/>
      <c r="C69" s="964" t="s">
        <v>1301</v>
      </c>
      <c r="D69" s="964" t="s">
        <v>1302</v>
      </c>
      <c r="E69" s="1007" t="s">
        <v>1109</v>
      </c>
      <c r="F69" s="964" t="s">
        <v>1303</v>
      </c>
      <c r="G69" s="1013">
        <v>897</v>
      </c>
      <c r="H69" s="964" t="s">
        <v>1297</v>
      </c>
      <c r="I69" s="1007"/>
      <c r="J69" s="1052"/>
      <c r="K69" s="1015">
        <v>15</v>
      </c>
      <c r="L69" s="1016">
        <f t="shared" si="0"/>
        <v>403650</v>
      </c>
      <c r="M69" s="1044"/>
      <c r="N69" s="964">
        <v>27284</v>
      </c>
      <c r="O69" s="964"/>
    </row>
    <row r="70" spans="1:199" s="1045" customFormat="1" ht="36">
      <c r="A70" s="1011">
        <v>67</v>
      </c>
      <c r="B70" s="1051"/>
      <c r="C70" s="964" t="s">
        <v>1304</v>
      </c>
      <c r="D70" s="964" t="s">
        <v>1305</v>
      </c>
      <c r="E70" s="1007" t="s">
        <v>1109</v>
      </c>
      <c r="F70" s="964" t="s">
        <v>1306</v>
      </c>
      <c r="G70" s="1013">
        <v>121</v>
      </c>
      <c r="H70" s="964" t="s">
        <v>1111</v>
      </c>
      <c r="I70" s="1007"/>
      <c r="J70" s="1052"/>
      <c r="K70" s="1015">
        <v>13</v>
      </c>
      <c r="L70" s="1016">
        <f t="shared" si="0"/>
        <v>47190</v>
      </c>
      <c r="M70" s="1044"/>
      <c r="N70" s="964">
        <v>7361</v>
      </c>
      <c r="O70" s="964">
        <v>1500</v>
      </c>
    </row>
    <row r="71" spans="1:199" s="1004" customFormat="1" ht="36">
      <c r="A71" s="1011">
        <v>68</v>
      </c>
      <c r="B71" s="1051"/>
      <c r="C71" s="964" t="s">
        <v>1307</v>
      </c>
      <c r="D71" s="964" t="s">
        <v>1308</v>
      </c>
      <c r="E71" s="1012" t="s">
        <v>1109</v>
      </c>
      <c r="F71" s="964" t="s">
        <v>1309</v>
      </c>
      <c r="G71" s="1013">
        <v>248</v>
      </c>
      <c r="H71" s="964" t="s">
        <v>1185</v>
      </c>
      <c r="I71" s="1012"/>
      <c r="J71" s="1014"/>
      <c r="K71" s="1015">
        <v>13</v>
      </c>
      <c r="L71" s="1016">
        <f t="shared" si="0"/>
        <v>96720</v>
      </c>
      <c r="M71" s="1017"/>
      <c r="N71" s="964">
        <v>15087</v>
      </c>
      <c r="O71" s="964">
        <v>2000</v>
      </c>
      <c r="P71" s="1018"/>
      <c r="Q71" s="1018"/>
      <c r="R71" s="1018"/>
      <c r="S71" s="1018"/>
      <c r="T71" s="1018"/>
      <c r="U71" s="1018"/>
      <c r="V71" s="1018"/>
      <c r="W71" s="1018"/>
      <c r="X71" s="1018"/>
      <c r="Y71" s="1018"/>
      <c r="Z71" s="1018"/>
      <c r="AA71" s="1018"/>
      <c r="AB71" s="1018"/>
      <c r="AC71" s="1018"/>
      <c r="AD71" s="1018"/>
      <c r="AE71" s="1018"/>
      <c r="AF71" s="1018"/>
      <c r="AG71" s="1018"/>
      <c r="AH71" s="1018"/>
      <c r="AI71" s="1018"/>
      <c r="AJ71" s="1018"/>
      <c r="AK71" s="1018"/>
      <c r="AL71" s="1018"/>
      <c r="AM71" s="1018"/>
      <c r="AN71" s="1018"/>
      <c r="AO71" s="1018"/>
      <c r="AP71" s="1018"/>
      <c r="AQ71" s="1018"/>
      <c r="AR71" s="1018"/>
      <c r="AS71" s="1018"/>
      <c r="AT71" s="1018"/>
      <c r="AU71" s="1018"/>
      <c r="AV71" s="1018"/>
      <c r="AW71" s="1018"/>
      <c r="AX71" s="1018"/>
      <c r="AY71" s="1018"/>
      <c r="AZ71" s="1018"/>
      <c r="BA71" s="1018"/>
      <c r="BB71" s="1018"/>
      <c r="BC71" s="1018"/>
      <c r="BD71" s="1018"/>
      <c r="BE71" s="1018"/>
      <c r="BF71" s="1018"/>
      <c r="BG71" s="1018"/>
      <c r="BH71" s="1018"/>
      <c r="BI71" s="1018"/>
      <c r="BJ71" s="1018"/>
      <c r="BK71" s="1018"/>
      <c r="BL71" s="1018"/>
      <c r="BM71" s="1018"/>
      <c r="BN71" s="1018"/>
      <c r="BO71" s="1018"/>
      <c r="BP71" s="1018"/>
      <c r="BQ71" s="1018"/>
      <c r="BR71" s="1018"/>
      <c r="BS71" s="1018"/>
      <c r="BT71" s="1018"/>
      <c r="BU71" s="1018"/>
      <c r="BV71" s="1018"/>
      <c r="BW71" s="1018"/>
      <c r="BX71" s="1018"/>
      <c r="BY71" s="1018"/>
      <c r="BZ71" s="1018"/>
      <c r="CA71" s="1018"/>
      <c r="CB71" s="1018"/>
      <c r="CC71" s="1018"/>
      <c r="CD71" s="1018"/>
      <c r="CE71" s="1018"/>
      <c r="CF71" s="1018"/>
      <c r="CG71" s="1018"/>
      <c r="CH71" s="1018"/>
      <c r="CI71" s="1018"/>
      <c r="CJ71" s="1018"/>
      <c r="CK71" s="1018"/>
      <c r="CL71" s="1018"/>
      <c r="CM71" s="1018"/>
      <c r="CN71" s="1018"/>
      <c r="CO71" s="1018"/>
      <c r="CP71" s="1018"/>
      <c r="CQ71" s="1018"/>
      <c r="CR71" s="1018"/>
      <c r="CS71" s="1018"/>
      <c r="CT71" s="1018"/>
      <c r="CU71" s="1018"/>
      <c r="CV71" s="1018"/>
      <c r="CW71" s="1018"/>
      <c r="CX71" s="1018"/>
      <c r="CY71" s="1018"/>
      <c r="CZ71" s="1018"/>
      <c r="DA71" s="1018"/>
      <c r="DB71" s="1018"/>
      <c r="DC71" s="1018"/>
      <c r="DD71" s="1018"/>
      <c r="DE71" s="1018"/>
      <c r="DF71" s="1018"/>
      <c r="DG71" s="1018"/>
      <c r="DH71" s="1018"/>
      <c r="DI71" s="1018"/>
      <c r="DJ71" s="1018"/>
      <c r="DK71" s="1018"/>
      <c r="DL71" s="1018"/>
      <c r="DM71" s="1018"/>
      <c r="DN71" s="1018"/>
      <c r="DO71" s="1018"/>
      <c r="DP71" s="1018"/>
      <c r="DQ71" s="1018"/>
      <c r="DR71" s="1018"/>
      <c r="DS71" s="1018"/>
      <c r="DT71" s="1018"/>
      <c r="DU71" s="1018"/>
      <c r="DV71" s="1018"/>
      <c r="DW71" s="1018"/>
      <c r="DX71" s="1018"/>
      <c r="DY71" s="1018"/>
      <c r="DZ71" s="1018"/>
      <c r="EA71" s="1018"/>
      <c r="EB71" s="1018"/>
      <c r="EC71" s="1018"/>
      <c r="ED71" s="1018"/>
      <c r="EE71" s="1018"/>
      <c r="EF71" s="1018"/>
      <c r="EG71" s="1018"/>
      <c r="EH71" s="1018"/>
      <c r="EI71" s="1018"/>
      <c r="EJ71" s="1018"/>
      <c r="EK71" s="1018"/>
      <c r="EL71" s="1018"/>
      <c r="EM71" s="1018"/>
      <c r="EN71" s="1018"/>
      <c r="EO71" s="1018"/>
      <c r="EP71" s="1018"/>
      <c r="EQ71" s="1018"/>
      <c r="ER71" s="1018"/>
      <c r="ES71" s="1018"/>
      <c r="ET71" s="1018"/>
      <c r="EU71" s="1018"/>
      <c r="EV71" s="1018"/>
      <c r="EW71" s="1018"/>
      <c r="EX71" s="1018"/>
      <c r="EY71" s="1018"/>
      <c r="EZ71" s="1018"/>
      <c r="FA71" s="1018"/>
      <c r="FB71" s="1018"/>
      <c r="FC71" s="1018"/>
      <c r="FD71" s="1018"/>
      <c r="FE71" s="1018"/>
      <c r="FF71" s="1018"/>
      <c r="FG71" s="1018"/>
      <c r="FH71" s="1018"/>
      <c r="FI71" s="1018"/>
      <c r="FJ71" s="1018"/>
      <c r="FK71" s="1018"/>
      <c r="FL71" s="1018"/>
      <c r="FM71" s="1018"/>
      <c r="FN71" s="1018"/>
      <c r="FO71" s="1018"/>
      <c r="FP71" s="1018"/>
      <c r="FQ71" s="1018"/>
      <c r="FR71" s="1018"/>
      <c r="FS71" s="1018"/>
      <c r="FT71" s="1018"/>
      <c r="FU71" s="1018"/>
      <c r="FV71" s="1018"/>
      <c r="FW71" s="1018"/>
      <c r="FX71" s="1018"/>
      <c r="FY71" s="1018"/>
      <c r="FZ71" s="1018"/>
      <c r="GA71" s="1018"/>
      <c r="GB71" s="1018"/>
      <c r="GC71" s="1018"/>
      <c r="GD71" s="1018"/>
      <c r="GE71" s="1018"/>
      <c r="GF71" s="1018"/>
      <c r="GG71" s="1018"/>
    </row>
    <row r="72" spans="1:199" s="1005" customFormat="1">
      <c r="A72" s="1011">
        <v>69</v>
      </c>
      <c r="B72" s="1051"/>
      <c r="C72" s="964" t="s">
        <v>1310</v>
      </c>
      <c r="D72" s="964" t="s">
        <v>1311</v>
      </c>
      <c r="E72" s="1053"/>
      <c r="F72" s="964" t="s">
        <v>1312</v>
      </c>
      <c r="G72" s="1013">
        <v>252</v>
      </c>
      <c r="H72" s="964" t="s">
        <v>1111</v>
      </c>
      <c r="I72" s="1054"/>
      <c r="J72" s="1055"/>
      <c r="K72" s="1015">
        <v>7</v>
      </c>
      <c r="L72" s="1016">
        <f t="shared" si="0"/>
        <v>52920</v>
      </c>
      <c r="M72" s="1056"/>
      <c r="N72" s="964">
        <v>15330</v>
      </c>
      <c r="O72" s="964">
        <v>2000</v>
      </c>
      <c r="P72" s="1004"/>
      <c r="Q72" s="1004"/>
      <c r="R72" s="1004"/>
      <c r="S72" s="1004"/>
      <c r="T72" s="1004"/>
      <c r="U72" s="1004"/>
      <c r="V72" s="1004"/>
      <c r="W72" s="1004"/>
      <c r="X72" s="1004"/>
      <c r="Y72" s="1004"/>
      <c r="Z72" s="1004"/>
      <c r="AA72" s="1004"/>
      <c r="AB72" s="1004"/>
      <c r="AC72" s="1004"/>
      <c r="AD72" s="1004"/>
      <c r="AE72" s="1004"/>
      <c r="AF72" s="1004"/>
      <c r="AG72" s="1004"/>
      <c r="AH72" s="1004"/>
      <c r="AI72" s="1004"/>
      <c r="AJ72" s="1004"/>
      <c r="AK72" s="1004"/>
      <c r="AL72" s="1004"/>
      <c r="AM72" s="1004"/>
      <c r="AN72" s="1004"/>
      <c r="AO72" s="1004"/>
      <c r="AP72" s="1004"/>
      <c r="AQ72" s="1004"/>
      <c r="AR72" s="1004"/>
      <c r="AS72" s="1004"/>
      <c r="AT72" s="1004"/>
      <c r="AU72" s="1004"/>
      <c r="AV72" s="1004"/>
      <c r="AW72" s="1004"/>
      <c r="AX72" s="1004"/>
      <c r="AY72" s="1004"/>
      <c r="AZ72" s="1004"/>
      <c r="BA72" s="1004"/>
      <c r="BB72" s="1004"/>
      <c r="BC72" s="1004"/>
      <c r="BD72" s="1004"/>
      <c r="BE72" s="1004"/>
      <c r="BF72" s="1004"/>
      <c r="BG72" s="1004"/>
      <c r="BH72" s="1004"/>
      <c r="BI72" s="1004"/>
      <c r="BJ72" s="1004"/>
      <c r="BK72" s="1004"/>
      <c r="BL72" s="1004"/>
      <c r="BM72" s="1004"/>
      <c r="BN72" s="1004"/>
      <c r="BO72" s="1004"/>
      <c r="BP72" s="1004"/>
      <c r="BQ72" s="1004"/>
      <c r="BR72" s="1004"/>
      <c r="BS72" s="1004"/>
      <c r="BT72" s="1004"/>
      <c r="BU72" s="1004"/>
      <c r="BV72" s="1004"/>
      <c r="BW72" s="1004"/>
      <c r="BX72" s="1004"/>
      <c r="BY72" s="1004"/>
      <c r="BZ72" s="1004"/>
      <c r="CA72" s="1004"/>
      <c r="CB72" s="1004"/>
      <c r="CC72" s="1004"/>
      <c r="CD72" s="1004"/>
      <c r="CE72" s="1004"/>
      <c r="CF72" s="1004"/>
      <c r="CG72" s="1004"/>
      <c r="CH72" s="1004"/>
      <c r="CI72" s="1004"/>
      <c r="CJ72" s="1004"/>
      <c r="CK72" s="1004"/>
      <c r="CL72" s="1004"/>
      <c r="CM72" s="1004"/>
      <c r="CN72" s="1004"/>
      <c r="CO72" s="1004"/>
      <c r="CP72" s="1004"/>
      <c r="CQ72" s="1004"/>
      <c r="CR72" s="1004"/>
      <c r="CS72" s="1004"/>
      <c r="CT72" s="1004"/>
      <c r="CU72" s="1004"/>
      <c r="CV72" s="1004"/>
      <c r="CW72" s="1004"/>
      <c r="CX72" s="1004"/>
      <c r="CY72" s="1004"/>
      <c r="CZ72" s="1004"/>
      <c r="DA72" s="1004"/>
      <c r="DB72" s="1004"/>
      <c r="DC72" s="1004"/>
      <c r="DD72" s="1004"/>
      <c r="DE72" s="1004"/>
      <c r="DF72" s="1004"/>
      <c r="DG72" s="1004"/>
      <c r="DH72" s="1004"/>
      <c r="DI72" s="1004"/>
      <c r="DJ72" s="1004"/>
      <c r="DK72" s="1004"/>
      <c r="DL72" s="1004"/>
      <c r="DM72" s="1004"/>
      <c r="DN72" s="1004"/>
      <c r="DO72" s="1004"/>
      <c r="DP72" s="1004"/>
      <c r="DQ72" s="1004"/>
      <c r="DR72" s="1004"/>
      <c r="DS72" s="1004"/>
      <c r="DT72" s="1004"/>
      <c r="DU72" s="1004"/>
      <c r="DV72" s="1004"/>
      <c r="DW72" s="1004"/>
      <c r="DX72" s="1004"/>
      <c r="DY72" s="1004"/>
      <c r="DZ72" s="1004"/>
      <c r="EA72" s="1004"/>
      <c r="EB72" s="1004"/>
      <c r="EC72" s="1004"/>
      <c r="ED72" s="1004"/>
      <c r="EE72" s="1004"/>
      <c r="EF72" s="1004"/>
      <c r="EG72" s="1004"/>
      <c r="EH72" s="1004"/>
      <c r="EI72" s="1004"/>
      <c r="EJ72" s="1004"/>
      <c r="EK72" s="1004"/>
      <c r="EL72" s="1004"/>
      <c r="EM72" s="1004"/>
      <c r="EN72" s="1004"/>
      <c r="EO72" s="1004"/>
      <c r="EP72" s="1004"/>
      <c r="EQ72" s="1004"/>
      <c r="ER72" s="1004"/>
      <c r="ES72" s="1004"/>
      <c r="ET72" s="1004"/>
      <c r="EU72" s="1004"/>
      <c r="EV72" s="1004"/>
      <c r="EW72" s="1004"/>
      <c r="EX72" s="1004"/>
      <c r="EY72" s="1004"/>
      <c r="EZ72" s="1004"/>
      <c r="FA72" s="1004"/>
      <c r="FB72" s="1004"/>
      <c r="FC72" s="1004"/>
      <c r="FD72" s="1004"/>
      <c r="FE72" s="1004"/>
      <c r="FF72" s="1004"/>
      <c r="FG72" s="1004"/>
      <c r="FH72" s="1004"/>
      <c r="FI72" s="1004"/>
      <c r="FJ72" s="1004"/>
      <c r="FK72" s="1004"/>
      <c r="FL72" s="1004"/>
      <c r="FM72" s="1004"/>
      <c r="FN72" s="1004"/>
      <c r="FO72" s="1004"/>
      <c r="FP72" s="1004"/>
      <c r="FQ72" s="1004"/>
      <c r="FR72" s="1004"/>
      <c r="FS72" s="1004"/>
      <c r="FT72" s="1004"/>
      <c r="FU72" s="1004"/>
      <c r="FV72" s="1004"/>
      <c r="FW72" s="1004"/>
      <c r="FX72" s="1004"/>
      <c r="FY72" s="1004"/>
      <c r="FZ72" s="1004"/>
      <c r="GA72" s="1004"/>
      <c r="GB72" s="1004"/>
      <c r="GC72" s="1004"/>
      <c r="GD72" s="1004"/>
      <c r="GE72" s="1004"/>
      <c r="GF72" s="1004"/>
      <c r="GG72" s="1004"/>
      <c r="GH72" s="1004"/>
      <c r="GI72" s="1004"/>
      <c r="GJ72" s="1004"/>
      <c r="GK72" s="1004"/>
      <c r="GL72" s="1004"/>
      <c r="GM72" s="1004"/>
      <c r="GN72" s="1004"/>
      <c r="GO72" s="1004"/>
      <c r="GP72" s="1004"/>
      <c r="GQ72" s="1004"/>
    </row>
    <row r="73" spans="1:199" s="1005" customFormat="1">
      <c r="A73" s="1011">
        <v>70</v>
      </c>
      <c r="B73" s="1051"/>
      <c r="C73" s="964" t="s">
        <v>1313</v>
      </c>
      <c r="D73" s="964" t="s">
        <v>1314</v>
      </c>
      <c r="E73" s="1001"/>
      <c r="F73" s="964" t="s">
        <v>1315</v>
      </c>
      <c r="G73" s="1013">
        <v>477</v>
      </c>
      <c r="H73" s="964" t="s">
        <v>1111</v>
      </c>
      <c r="I73" s="1056"/>
      <c r="J73" s="1057"/>
      <c r="K73" s="1015">
        <v>13</v>
      </c>
      <c r="L73" s="1016">
        <f t="shared" si="0"/>
        <v>186030</v>
      </c>
      <c r="M73" s="1056"/>
      <c r="N73" s="964">
        <v>29018</v>
      </c>
      <c r="O73" s="964">
        <v>3000</v>
      </c>
      <c r="P73" s="1004"/>
      <c r="Q73" s="1004"/>
      <c r="R73" s="1004"/>
      <c r="S73" s="1004"/>
      <c r="T73" s="1004"/>
      <c r="U73" s="1004"/>
      <c r="V73" s="1004"/>
      <c r="W73" s="1004"/>
      <c r="X73" s="1004"/>
      <c r="Y73" s="1004"/>
      <c r="Z73" s="1004"/>
      <c r="AA73" s="1004"/>
      <c r="AB73" s="1004"/>
      <c r="AC73" s="1004"/>
      <c r="AD73" s="1004"/>
      <c r="AE73" s="1004"/>
      <c r="AF73" s="1004"/>
      <c r="AG73" s="1004"/>
      <c r="AH73" s="1004"/>
      <c r="AI73" s="1004"/>
      <c r="AJ73" s="1004"/>
      <c r="AK73" s="1004"/>
      <c r="AL73" s="1004"/>
      <c r="AM73" s="1004"/>
      <c r="AN73" s="1004"/>
      <c r="AO73" s="1004"/>
      <c r="AP73" s="1004"/>
      <c r="AQ73" s="1004"/>
      <c r="AR73" s="1004"/>
      <c r="AS73" s="1004"/>
      <c r="AT73" s="1004"/>
      <c r="AU73" s="1004"/>
      <c r="AV73" s="1004"/>
      <c r="AW73" s="1004"/>
      <c r="AX73" s="1004"/>
      <c r="AY73" s="1004"/>
      <c r="AZ73" s="1004"/>
      <c r="BA73" s="1004"/>
      <c r="BB73" s="1004"/>
      <c r="BC73" s="1004"/>
      <c r="BD73" s="1004"/>
      <c r="BE73" s="1004"/>
      <c r="BF73" s="1004"/>
      <c r="BG73" s="1004"/>
      <c r="BH73" s="1004"/>
      <c r="BI73" s="1004"/>
      <c r="BJ73" s="1004"/>
      <c r="BK73" s="1004"/>
      <c r="BL73" s="1004"/>
      <c r="BM73" s="1004"/>
      <c r="BN73" s="1004"/>
      <c r="BO73" s="1004"/>
      <c r="BP73" s="1004"/>
      <c r="BQ73" s="1004"/>
      <c r="BR73" s="1004"/>
      <c r="BS73" s="1004"/>
      <c r="BT73" s="1004"/>
      <c r="BU73" s="1004"/>
      <c r="BV73" s="1004"/>
      <c r="BW73" s="1004"/>
      <c r="BX73" s="1004"/>
      <c r="BY73" s="1004"/>
      <c r="BZ73" s="1004"/>
      <c r="CA73" s="1004"/>
      <c r="CB73" s="1004"/>
      <c r="CC73" s="1004"/>
      <c r="CD73" s="1004"/>
      <c r="CE73" s="1004"/>
      <c r="CF73" s="1004"/>
      <c r="CG73" s="1004"/>
      <c r="CH73" s="1004"/>
      <c r="CI73" s="1004"/>
      <c r="CJ73" s="1004"/>
      <c r="CK73" s="1004"/>
      <c r="CL73" s="1004"/>
      <c r="CM73" s="1004"/>
      <c r="CN73" s="1004"/>
      <c r="CO73" s="1004"/>
      <c r="CP73" s="1004"/>
      <c r="CQ73" s="1004"/>
      <c r="CR73" s="1004"/>
      <c r="CS73" s="1004"/>
      <c r="CT73" s="1004"/>
      <c r="CU73" s="1004"/>
      <c r="CV73" s="1004"/>
      <c r="CW73" s="1004"/>
      <c r="CX73" s="1004"/>
      <c r="CY73" s="1004"/>
      <c r="CZ73" s="1004"/>
      <c r="DA73" s="1004"/>
      <c r="DB73" s="1004"/>
      <c r="DC73" s="1004"/>
      <c r="DD73" s="1004"/>
      <c r="DE73" s="1004"/>
      <c r="DF73" s="1004"/>
      <c r="DG73" s="1004"/>
      <c r="DH73" s="1004"/>
      <c r="DI73" s="1004"/>
      <c r="DJ73" s="1004"/>
      <c r="DK73" s="1004"/>
      <c r="DL73" s="1004"/>
      <c r="DM73" s="1004"/>
      <c r="DN73" s="1004"/>
      <c r="DO73" s="1004"/>
      <c r="DP73" s="1004"/>
      <c r="DQ73" s="1004"/>
      <c r="DR73" s="1004"/>
      <c r="DS73" s="1004"/>
      <c r="DT73" s="1004"/>
      <c r="DU73" s="1004"/>
      <c r="DV73" s="1004"/>
      <c r="DW73" s="1004"/>
      <c r="DX73" s="1004"/>
      <c r="DY73" s="1004"/>
      <c r="DZ73" s="1004"/>
      <c r="EA73" s="1004"/>
      <c r="EB73" s="1004"/>
      <c r="EC73" s="1004"/>
      <c r="ED73" s="1004"/>
      <c r="EE73" s="1004"/>
      <c r="EF73" s="1004"/>
      <c r="EG73" s="1004"/>
      <c r="EH73" s="1004"/>
      <c r="EI73" s="1004"/>
      <c r="EJ73" s="1004"/>
      <c r="EK73" s="1004"/>
      <c r="EL73" s="1004"/>
      <c r="EM73" s="1004"/>
      <c r="EN73" s="1004"/>
      <c r="EO73" s="1004"/>
      <c r="EP73" s="1004"/>
      <c r="EQ73" s="1004"/>
      <c r="ER73" s="1004"/>
      <c r="ES73" s="1004"/>
      <c r="ET73" s="1004"/>
      <c r="EU73" s="1004"/>
      <c r="EV73" s="1004"/>
      <c r="EW73" s="1004"/>
      <c r="EX73" s="1004"/>
      <c r="EY73" s="1004"/>
      <c r="EZ73" s="1004"/>
      <c r="FA73" s="1004"/>
      <c r="FB73" s="1004"/>
      <c r="FC73" s="1004"/>
      <c r="FD73" s="1004"/>
      <c r="FE73" s="1004"/>
      <c r="FF73" s="1004"/>
      <c r="FG73" s="1004"/>
      <c r="FH73" s="1004"/>
      <c r="FI73" s="1004"/>
      <c r="FJ73" s="1004"/>
      <c r="FK73" s="1004"/>
      <c r="FL73" s="1004"/>
      <c r="FM73" s="1004"/>
      <c r="FN73" s="1004"/>
      <c r="FO73" s="1004"/>
      <c r="FP73" s="1004"/>
      <c r="FQ73" s="1004"/>
      <c r="FR73" s="1004"/>
      <c r="FS73" s="1004"/>
      <c r="FT73" s="1004"/>
      <c r="FU73" s="1004"/>
      <c r="FV73" s="1004"/>
      <c r="FW73" s="1004"/>
      <c r="FX73" s="1004"/>
      <c r="FY73" s="1004"/>
      <c r="FZ73" s="1004"/>
      <c r="GA73" s="1004"/>
      <c r="GB73" s="1004"/>
      <c r="GC73" s="1004"/>
      <c r="GD73" s="1004"/>
      <c r="GE73" s="1004"/>
      <c r="GF73" s="1004"/>
      <c r="GG73" s="1004"/>
      <c r="GH73" s="1004"/>
      <c r="GI73" s="1004"/>
      <c r="GJ73" s="1004"/>
      <c r="GK73" s="1004"/>
      <c r="GL73" s="1004"/>
      <c r="GM73" s="1004"/>
      <c r="GN73" s="1004"/>
      <c r="GO73" s="1004"/>
      <c r="GP73" s="1004"/>
      <c r="GQ73" s="1004"/>
    </row>
    <row r="74" spans="1:199" s="1005" customFormat="1">
      <c r="A74" s="1011">
        <v>71</v>
      </c>
      <c r="B74" s="1526" t="s">
        <v>1316</v>
      </c>
      <c r="C74" s="964" t="s">
        <v>1317</v>
      </c>
      <c r="D74" s="964" t="s">
        <v>1318</v>
      </c>
      <c r="E74" s="1001"/>
      <c r="F74" s="964" t="s">
        <v>1319</v>
      </c>
      <c r="G74" s="1013">
        <v>125</v>
      </c>
      <c r="H74" s="964" t="s">
        <v>1123</v>
      </c>
      <c r="I74" s="1056"/>
      <c r="J74" s="1057"/>
      <c r="K74" s="1015">
        <v>7</v>
      </c>
      <c r="L74" s="1016">
        <f t="shared" si="0"/>
        <v>26250</v>
      </c>
      <c r="M74" s="1056"/>
      <c r="N74" s="964">
        <v>7604</v>
      </c>
      <c r="O74" s="964">
        <v>500</v>
      </c>
      <c r="P74" s="1004"/>
      <c r="Q74" s="1004"/>
      <c r="R74" s="1004"/>
      <c r="S74" s="1004"/>
      <c r="T74" s="1004"/>
      <c r="U74" s="1004"/>
      <c r="V74" s="1004"/>
      <c r="W74" s="1004"/>
      <c r="X74" s="1004"/>
      <c r="Y74" s="1004"/>
      <c r="Z74" s="1004"/>
      <c r="AA74" s="1004"/>
      <c r="AB74" s="1004"/>
      <c r="AC74" s="1004"/>
      <c r="AD74" s="1004"/>
      <c r="AE74" s="1004"/>
      <c r="AF74" s="1004"/>
      <c r="AG74" s="1004"/>
      <c r="AH74" s="1004"/>
      <c r="AI74" s="1004"/>
      <c r="AJ74" s="1004"/>
      <c r="AK74" s="1004"/>
      <c r="AL74" s="1004"/>
      <c r="AM74" s="1004"/>
      <c r="AN74" s="1004"/>
      <c r="AO74" s="1004"/>
      <c r="AP74" s="1004"/>
      <c r="AQ74" s="1004"/>
      <c r="AR74" s="1004"/>
      <c r="AS74" s="1004"/>
      <c r="AT74" s="1004"/>
      <c r="AU74" s="1004"/>
      <c r="AV74" s="1004"/>
      <c r="AW74" s="1004"/>
      <c r="AX74" s="1004"/>
      <c r="AY74" s="1004"/>
      <c r="AZ74" s="1004"/>
      <c r="BA74" s="1004"/>
      <c r="BB74" s="1004"/>
      <c r="BC74" s="1004"/>
      <c r="BD74" s="1004"/>
      <c r="BE74" s="1004"/>
      <c r="BF74" s="1004"/>
      <c r="BG74" s="1004"/>
      <c r="BH74" s="1004"/>
      <c r="BI74" s="1004"/>
      <c r="BJ74" s="1004"/>
      <c r="BK74" s="1004"/>
      <c r="BL74" s="1004"/>
      <c r="BM74" s="1004"/>
      <c r="BN74" s="1004"/>
      <c r="BO74" s="1004"/>
      <c r="BP74" s="1004"/>
      <c r="BQ74" s="1004"/>
      <c r="BR74" s="1004"/>
      <c r="BS74" s="1004"/>
      <c r="BT74" s="1004"/>
      <c r="BU74" s="1004"/>
      <c r="BV74" s="1004"/>
      <c r="BW74" s="1004"/>
      <c r="BX74" s="1004"/>
      <c r="BY74" s="1004"/>
      <c r="BZ74" s="1004"/>
      <c r="CA74" s="1004"/>
      <c r="CB74" s="1004"/>
      <c r="CC74" s="1004"/>
      <c r="CD74" s="1004"/>
      <c r="CE74" s="1004"/>
      <c r="CF74" s="1004"/>
      <c r="CG74" s="1004"/>
      <c r="CH74" s="1004"/>
      <c r="CI74" s="1004"/>
      <c r="CJ74" s="1004"/>
      <c r="CK74" s="1004"/>
      <c r="CL74" s="1004"/>
      <c r="CM74" s="1004"/>
      <c r="CN74" s="1004"/>
      <c r="CO74" s="1004"/>
      <c r="CP74" s="1004"/>
      <c r="CQ74" s="1004"/>
      <c r="CR74" s="1004"/>
      <c r="CS74" s="1004"/>
      <c r="CT74" s="1004"/>
      <c r="CU74" s="1004"/>
      <c r="CV74" s="1004"/>
      <c r="CW74" s="1004"/>
      <c r="CX74" s="1004"/>
      <c r="CY74" s="1004"/>
      <c r="CZ74" s="1004"/>
      <c r="DA74" s="1004"/>
      <c r="DB74" s="1004"/>
      <c r="DC74" s="1004"/>
      <c r="DD74" s="1004"/>
      <c r="DE74" s="1004"/>
      <c r="DF74" s="1004"/>
      <c r="DG74" s="1004"/>
      <c r="DH74" s="1004"/>
      <c r="DI74" s="1004"/>
      <c r="DJ74" s="1004"/>
      <c r="DK74" s="1004"/>
      <c r="DL74" s="1004"/>
      <c r="DM74" s="1004"/>
      <c r="DN74" s="1004"/>
      <c r="DO74" s="1004"/>
      <c r="DP74" s="1004"/>
      <c r="DQ74" s="1004"/>
      <c r="DR74" s="1004"/>
      <c r="DS74" s="1004"/>
      <c r="DT74" s="1004"/>
      <c r="DU74" s="1004"/>
      <c r="DV74" s="1004"/>
      <c r="DW74" s="1004"/>
      <c r="DX74" s="1004"/>
      <c r="DY74" s="1004"/>
      <c r="DZ74" s="1004"/>
      <c r="EA74" s="1004"/>
      <c r="EB74" s="1004"/>
      <c r="EC74" s="1004"/>
      <c r="ED74" s="1004"/>
      <c r="EE74" s="1004"/>
      <c r="EF74" s="1004"/>
      <c r="EG74" s="1004"/>
      <c r="EH74" s="1004"/>
      <c r="EI74" s="1004"/>
      <c r="EJ74" s="1004"/>
      <c r="EK74" s="1004"/>
      <c r="EL74" s="1004"/>
      <c r="EM74" s="1004"/>
      <c r="EN74" s="1004"/>
      <c r="EO74" s="1004"/>
      <c r="EP74" s="1004"/>
      <c r="EQ74" s="1004"/>
      <c r="ER74" s="1004"/>
      <c r="ES74" s="1004"/>
      <c r="ET74" s="1004"/>
      <c r="EU74" s="1004"/>
      <c r="EV74" s="1004"/>
      <c r="EW74" s="1004"/>
      <c r="EX74" s="1004"/>
      <c r="EY74" s="1004"/>
      <c r="EZ74" s="1004"/>
      <c r="FA74" s="1004"/>
      <c r="FB74" s="1004"/>
      <c r="FC74" s="1004"/>
      <c r="FD74" s="1004"/>
      <c r="FE74" s="1004"/>
      <c r="FF74" s="1004"/>
      <c r="FG74" s="1004"/>
      <c r="FH74" s="1004"/>
      <c r="FI74" s="1004"/>
      <c r="FJ74" s="1004"/>
      <c r="FK74" s="1004"/>
      <c r="FL74" s="1004"/>
      <c r="FM74" s="1004"/>
      <c r="FN74" s="1004"/>
      <c r="FO74" s="1004"/>
      <c r="FP74" s="1004"/>
      <c r="FQ74" s="1004"/>
      <c r="FR74" s="1004"/>
      <c r="FS74" s="1004"/>
      <c r="FT74" s="1004"/>
      <c r="FU74" s="1004"/>
      <c r="FV74" s="1004"/>
      <c r="FW74" s="1004"/>
      <c r="FX74" s="1004"/>
      <c r="FY74" s="1004"/>
      <c r="FZ74" s="1004"/>
      <c r="GA74" s="1004"/>
      <c r="GB74" s="1004"/>
      <c r="GC74" s="1004"/>
      <c r="GD74" s="1004"/>
      <c r="GE74" s="1004"/>
      <c r="GF74" s="1004"/>
      <c r="GG74" s="1004"/>
      <c r="GH74" s="1004"/>
      <c r="GI74" s="1004"/>
      <c r="GJ74" s="1004"/>
      <c r="GK74" s="1004"/>
      <c r="GL74" s="1004"/>
      <c r="GM74" s="1004"/>
      <c r="GN74" s="1004"/>
      <c r="GO74" s="1004"/>
      <c r="GP74" s="1004"/>
      <c r="GQ74" s="1004"/>
    </row>
    <row r="75" spans="1:199" s="1005" customFormat="1">
      <c r="A75" s="1011">
        <v>72</v>
      </c>
      <c r="B75" s="1526"/>
      <c r="C75" s="1058" t="s">
        <v>1320</v>
      </c>
      <c r="D75" s="1058" t="s">
        <v>1321</v>
      </c>
      <c r="E75" s="1059"/>
      <c r="F75" s="1058" t="s">
        <v>1322</v>
      </c>
      <c r="G75" s="1060">
        <v>256</v>
      </c>
      <c r="H75" s="1058" t="s">
        <v>1297</v>
      </c>
      <c r="I75" s="1061"/>
      <c r="J75" s="1062"/>
      <c r="K75" s="1063">
        <v>7</v>
      </c>
      <c r="L75" s="1064">
        <f t="shared" si="0"/>
        <v>53760</v>
      </c>
      <c r="M75" s="1061"/>
      <c r="N75" s="1058">
        <v>15573</v>
      </c>
      <c r="O75" s="1058">
        <v>350</v>
      </c>
      <c r="P75" s="1065"/>
      <c r="Q75" s="1065"/>
      <c r="R75" s="1065"/>
      <c r="S75" s="1065"/>
      <c r="T75" s="1065"/>
      <c r="U75" s="1065"/>
      <c r="V75" s="1065"/>
      <c r="W75" s="1065"/>
      <c r="X75" s="1065"/>
      <c r="Y75" s="1065"/>
      <c r="Z75" s="1065"/>
      <c r="AA75" s="1065"/>
      <c r="AB75" s="1065"/>
      <c r="AC75" s="1065"/>
      <c r="AD75" s="1065"/>
      <c r="AE75" s="1065"/>
      <c r="AF75" s="1065"/>
      <c r="AG75" s="1065"/>
      <c r="AH75" s="1065"/>
      <c r="AI75" s="1065"/>
      <c r="AJ75" s="1065"/>
      <c r="AK75" s="1065"/>
      <c r="AL75" s="1065"/>
      <c r="AM75" s="1065"/>
      <c r="AN75" s="1065"/>
      <c r="AO75" s="1065"/>
      <c r="AP75" s="1065"/>
      <c r="AQ75" s="1065"/>
      <c r="AR75" s="1065"/>
      <c r="AS75" s="1065"/>
      <c r="AT75" s="1065"/>
      <c r="AU75" s="1065"/>
      <c r="AV75" s="1065"/>
      <c r="AW75" s="1065"/>
      <c r="AX75" s="1065"/>
      <c r="AY75" s="1065"/>
      <c r="AZ75" s="1065"/>
      <c r="BA75" s="1065"/>
      <c r="BB75" s="1065"/>
      <c r="BC75" s="1065"/>
      <c r="BD75" s="1065"/>
      <c r="BE75" s="1065"/>
      <c r="BF75" s="1065"/>
      <c r="BG75" s="1065"/>
      <c r="BH75" s="1065"/>
      <c r="BI75" s="1065"/>
      <c r="BJ75" s="1065"/>
      <c r="BK75" s="1065"/>
      <c r="BL75" s="1065"/>
      <c r="BM75" s="1065"/>
      <c r="BN75" s="1065"/>
      <c r="BO75" s="1065"/>
      <c r="BP75" s="1065"/>
      <c r="BQ75" s="1065"/>
      <c r="BR75" s="1065"/>
      <c r="BS75" s="1065"/>
      <c r="BT75" s="1065"/>
      <c r="BU75" s="1065"/>
      <c r="BV75" s="1065"/>
      <c r="BW75" s="1065"/>
      <c r="BX75" s="1065"/>
      <c r="BY75" s="1065"/>
      <c r="BZ75" s="1065"/>
      <c r="CA75" s="1065"/>
      <c r="CB75" s="1065"/>
      <c r="CC75" s="1065"/>
      <c r="CD75" s="1065"/>
      <c r="CE75" s="1065"/>
      <c r="CF75" s="1065"/>
      <c r="CG75" s="1065"/>
      <c r="CH75" s="1065"/>
      <c r="CI75" s="1065"/>
      <c r="CJ75" s="1065"/>
      <c r="CK75" s="1065"/>
      <c r="CL75" s="1065"/>
      <c r="CM75" s="1065"/>
      <c r="CN75" s="1065"/>
      <c r="CO75" s="1065"/>
      <c r="CP75" s="1065"/>
      <c r="CQ75" s="1065"/>
      <c r="CR75" s="1065"/>
      <c r="CS75" s="1065"/>
      <c r="CT75" s="1065"/>
      <c r="CU75" s="1065"/>
      <c r="CV75" s="1065"/>
      <c r="CW75" s="1065"/>
      <c r="CX75" s="1065"/>
      <c r="CY75" s="1065"/>
      <c r="CZ75" s="1065"/>
      <c r="DA75" s="1065"/>
      <c r="DB75" s="1065"/>
      <c r="DC75" s="1065"/>
      <c r="DD75" s="1065"/>
      <c r="DE75" s="1065"/>
      <c r="DF75" s="1065"/>
      <c r="DG75" s="1065"/>
      <c r="DH75" s="1065"/>
      <c r="DI75" s="1065"/>
      <c r="DJ75" s="1065"/>
      <c r="DK75" s="1065"/>
      <c r="DL75" s="1065"/>
      <c r="DM75" s="1065"/>
      <c r="DN75" s="1065"/>
      <c r="DO75" s="1065"/>
      <c r="DP75" s="1065"/>
      <c r="DQ75" s="1065"/>
      <c r="DR75" s="1065"/>
      <c r="DS75" s="1065"/>
      <c r="DT75" s="1065"/>
      <c r="DU75" s="1065"/>
      <c r="DV75" s="1065"/>
      <c r="DW75" s="1065"/>
      <c r="DX75" s="1065"/>
      <c r="DY75" s="1065"/>
      <c r="DZ75" s="1065"/>
      <c r="EA75" s="1065"/>
      <c r="EB75" s="1065"/>
      <c r="EC75" s="1065"/>
      <c r="ED75" s="1065"/>
      <c r="EE75" s="1065"/>
      <c r="EF75" s="1065"/>
      <c r="EG75" s="1065"/>
      <c r="EH75" s="1065"/>
      <c r="EI75" s="1065"/>
      <c r="EJ75" s="1065"/>
      <c r="EK75" s="1065"/>
      <c r="EL75" s="1065"/>
      <c r="EM75" s="1065"/>
      <c r="EN75" s="1065"/>
      <c r="EO75" s="1065"/>
      <c r="EP75" s="1065"/>
      <c r="EQ75" s="1065"/>
      <c r="ER75" s="1065"/>
      <c r="ES75" s="1065"/>
      <c r="ET75" s="1065"/>
      <c r="EU75" s="1065"/>
      <c r="EV75" s="1065"/>
      <c r="EW75" s="1065"/>
      <c r="EX75" s="1065"/>
      <c r="EY75" s="1065"/>
      <c r="EZ75" s="1065"/>
      <c r="FA75" s="1065"/>
      <c r="FB75" s="1065"/>
      <c r="FC75" s="1065"/>
      <c r="FD75" s="1065"/>
      <c r="FE75" s="1065"/>
      <c r="FF75" s="1065"/>
      <c r="FG75" s="1065"/>
      <c r="FH75" s="1065"/>
      <c r="FI75" s="1065"/>
      <c r="FJ75" s="1065"/>
      <c r="FK75" s="1065"/>
      <c r="FL75" s="1065"/>
      <c r="FM75" s="1065"/>
      <c r="FN75" s="1065"/>
      <c r="FO75" s="1065"/>
      <c r="FP75" s="1065"/>
      <c r="FQ75" s="1065"/>
      <c r="FR75" s="1065"/>
      <c r="FS75" s="1065"/>
      <c r="FT75" s="1065"/>
      <c r="FU75" s="1065"/>
      <c r="FV75" s="1065"/>
      <c r="FW75" s="1065"/>
      <c r="FX75" s="1065"/>
      <c r="FY75" s="1065"/>
      <c r="FZ75" s="1065"/>
      <c r="GA75" s="1065"/>
      <c r="GB75" s="1065"/>
      <c r="GC75" s="1065"/>
      <c r="GD75" s="1065"/>
      <c r="GE75" s="1065"/>
      <c r="GF75" s="1065"/>
      <c r="GG75" s="1065"/>
      <c r="GH75" s="1065"/>
      <c r="GI75" s="1065"/>
      <c r="GJ75" s="1065"/>
      <c r="GK75" s="1065"/>
      <c r="GL75" s="1065"/>
      <c r="GM75" s="1065"/>
      <c r="GN75" s="1065"/>
      <c r="GO75" s="1065"/>
      <c r="GP75" s="1065"/>
      <c r="GQ75" s="1065"/>
    </row>
    <row r="76" spans="1:199" s="1005" customFormat="1">
      <c r="A76" s="1011">
        <v>73</v>
      </c>
      <c r="B76" s="1526"/>
      <c r="C76" s="964" t="s">
        <v>1323</v>
      </c>
      <c r="D76" s="964" t="s">
        <v>1324</v>
      </c>
      <c r="E76" s="1001"/>
      <c r="F76" s="964" t="s">
        <v>1325</v>
      </c>
      <c r="G76" s="1013">
        <v>60</v>
      </c>
      <c r="H76" s="964" t="s">
        <v>1123</v>
      </c>
      <c r="I76" s="1056"/>
      <c r="J76" s="1057"/>
      <c r="K76" s="1015">
        <v>7</v>
      </c>
      <c r="L76" s="1016">
        <f t="shared" si="0"/>
        <v>12600</v>
      </c>
      <c r="M76" s="1056"/>
      <c r="N76" s="964">
        <v>3650</v>
      </c>
      <c r="O76" s="964">
        <v>1500</v>
      </c>
      <c r="P76" s="1004"/>
      <c r="Q76" s="1004"/>
      <c r="R76" s="1004"/>
      <c r="S76" s="1004"/>
      <c r="T76" s="1004"/>
      <c r="U76" s="1004"/>
      <c r="V76" s="1004"/>
      <c r="W76" s="1004"/>
      <c r="X76" s="1004"/>
      <c r="Y76" s="1004"/>
      <c r="Z76" s="1004"/>
      <c r="AA76" s="1004"/>
      <c r="AB76" s="1004"/>
      <c r="AC76" s="1004"/>
      <c r="AD76" s="1004"/>
      <c r="AE76" s="1004"/>
      <c r="AF76" s="1004"/>
      <c r="AG76" s="1004"/>
      <c r="AH76" s="1004"/>
      <c r="AI76" s="1004"/>
      <c r="AJ76" s="1004"/>
      <c r="AK76" s="1004"/>
      <c r="AL76" s="1004"/>
      <c r="AM76" s="1004"/>
      <c r="AN76" s="1004"/>
      <c r="AO76" s="1004"/>
      <c r="AP76" s="1004"/>
      <c r="AQ76" s="1004"/>
      <c r="AR76" s="1004"/>
      <c r="AS76" s="1004"/>
      <c r="AT76" s="1004"/>
      <c r="AU76" s="1004"/>
      <c r="AV76" s="1004"/>
      <c r="AW76" s="1004"/>
      <c r="AX76" s="1004"/>
      <c r="AY76" s="1004"/>
      <c r="AZ76" s="1004"/>
      <c r="BA76" s="1004"/>
      <c r="BB76" s="1004"/>
      <c r="BC76" s="1004"/>
      <c r="BD76" s="1004"/>
      <c r="BE76" s="1004"/>
      <c r="BF76" s="1004"/>
      <c r="BG76" s="1004"/>
      <c r="BH76" s="1004"/>
      <c r="BI76" s="1004"/>
      <c r="BJ76" s="1004"/>
      <c r="BK76" s="1004"/>
      <c r="BL76" s="1004"/>
      <c r="BM76" s="1004"/>
      <c r="BN76" s="1004"/>
      <c r="BO76" s="1004"/>
      <c r="BP76" s="1004"/>
      <c r="BQ76" s="1004"/>
      <c r="BR76" s="1004"/>
      <c r="BS76" s="1004"/>
      <c r="BT76" s="1004"/>
      <c r="BU76" s="1004"/>
      <c r="BV76" s="1004"/>
      <c r="BW76" s="1004"/>
      <c r="BX76" s="1004"/>
      <c r="BY76" s="1004"/>
      <c r="BZ76" s="1004"/>
      <c r="CA76" s="1004"/>
      <c r="CB76" s="1004"/>
      <c r="CC76" s="1004"/>
      <c r="CD76" s="1004"/>
      <c r="CE76" s="1004"/>
      <c r="CF76" s="1004"/>
      <c r="CG76" s="1004"/>
      <c r="CH76" s="1004"/>
      <c r="CI76" s="1004"/>
      <c r="CJ76" s="1004"/>
      <c r="CK76" s="1004"/>
      <c r="CL76" s="1004"/>
      <c r="CM76" s="1004"/>
      <c r="CN76" s="1004"/>
      <c r="CO76" s="1004"/>
      <c r="CP76" s="1004"/>
      <c r="CQ76" s="1004"/>
      <c r="CR76" s="1004"/>
      <c r="CS76" s="1004"/>
      <c r="CT76" s="1004"/>
      <c r="CU76" s="1004"/>
      <c r="CV76" s="1004"/>
      <c r="CW76" s="1004"/>
      <c r="CX76" s="1004"/>
      <c r="CY76" s="1004"/>
      <c r="CZ76" s="1004"/>
      <c r="DA76" s="1004"/>
      <c r="DB76" s="1004"/>
      <c r="DC76" s="1004"/>
      <c r="DD76" s="1004"/>
      <c r="DE76" s="1004"/>
      <c r="DF76" s="1004"/>
      <c r="DG76" s="1004"/>
      <c r="DH76" s="1004"/>
      <c r="DI76" s="1004"/>
      <c r="DJ76" s="1004"/>
      <c r="DK76" s="1004"/>
      <c r="DL76" s="1004"/>
      <c r="DM76" s="1004"/>
      <c r="DN76" s="1004"/>
      <c r="DO76" s="1004"/>
      <c r="DP76" s="1004"/>
      <c r="DQ76" s="1004"/>
      <c r="DR76" s="1004"/>
      <c r="DS76" s="1004"/>
      <c r="DT76" s="1004"/>
      <c r="DU76" s="1004"/>
      <c r="DV76" s="1004"/>
      <c r="DW76" s="1004"/>
      <c r="DX76" s="1004"/>
      <c r="DY76" s="1004"/>
      <c r="DZ76" s="1004"/>
      <c r="EA76" s="1004"/>
      <c r="EB76" s="1004"/>
      <c r="EC76" s="1004"/>
      <c r="ED76" s="1004"/>
      <c r="EE76" s="1004"/>
      <c r="EF76" s="1004"/>
      <c r="EG76" s="1004"/>
      <c r="EH76" s="1004"/>
      <c r="EI76" s="1004"/>
      <c r="EJ76" s="1004"/>
      <c r="EK76" s="1004"/>
      <c r="EL76" s="1004"/>
      <c r="EM76" s="1004"/>
      <c r="EN76" s="1004"/>
      <c r="EO76" s="1004"/>
      <c r="EP76" s="1004"/>
      <c r="EQ76" s="1004"/>
      <c r="ER76" s="1004"/>
      <c r="ES76" s="1004"/>
      <c r="ET76" s="1004"/>
      <c r="EU76" s="1004"/>
      <c r="EV76" s="1004"/>
      <c r="EW76" s="1004"/>
      <c r="EX76" s="1004"/>
      <c r="EY76" s="1004"/>
      <c r="EZ76" s="1004"/>
      <c r="FA76" s="1004"/>
      <c r="FB76" s="1004"/>
      <c r="FC76" s="1004"/>
      <c r="FD76" s="1004"/>
      <c r="FE76" s="1004"/>
      <c r="FF76" s="1004"/>
      <c r="FG76" s="1004"/>
      <c r="FH76" s="1004"/>
      <c r="FI76" s="1004"/>
      <c r="FJ76" s="1004"/>
      <c r="FK76" s="1004"/>
      <c r="FL76" s="1004"/>
      <c r="FM76" s="1004"/>
      <c r="FN76" s="1004"/>
      <c r="FO76" s="1004"/>
      <c r="FP76" s="1004"/>
      <c r="FQ76" s="1004"/>
      <c r="FR76" s="1004"/>
      <c r="FS76" s="1004"/>
      <c r="FT76" s="1004"/>
      <c r="FU76" s="1004"/>
      <c r="FV76" s="1004"/>
      <c r="FW76" s="1004"/>
      <c r="FX76" s="1004"/>
      <c r="FY76" s="1004"/>
      <c r="FZ76" s="1004"/>
      <c r="GA76" s="1004"/>
      <c r="GB76" s="1004"/>
      <c r="GC76" s="1004"/>
      <c r="GD76" s="1004"/>
      <c r="GE76" s="1004"/>
      <c r="GF76" s="1004"/>
      <c r="GG76" s="1004"/>
      <c r="GH76" s="1004"/>
      <c r="GI76" s="1004"/>
      <c r="GJ76" s="1004"/>
      <c r="GK76" s="1004"/>
      <c r="GL76" s="1004"/>
      <c r="GM76" s="1004"/>
      <c r="GN76" s="1004"/>
      <c r="GO76" s="1004"/>
      <c r="GP76" s="1004"/>
      <c r="GQ76" s="1004"/>
    </row>
    <row r="77" spans="1:199" s="1005" customFormat="1">
      <c r="A77" s="1011">
        <v>74</v>
      </c>
      <c r="B77" s="1526"/>
      <c r="C77" s="964" t="s">
        <v>1326</v>
      </c>
      <c r="D77" s="964" t="s">
        <v>1327</v>
      </c>
      <c r="E77" s="1001"/>
      <c r="F77" s="964" t="s">
        <v>1328</v>
      </c>
      <c r="G77" s="1013">
        <v>70</v>
      </c>
      <c r="H77" s="964" t="s">
        <v>1123</v>
      </c>
      <c r="I77" s="1056"/>
      <c r="J77" s="1057"/>
      <c r="K77" s="1015">
        <v>7</v>
      </c>
      <c r="L77" s="1016">
        <f t="shared" si="0"/>
        <v>14700</v>
      </c>
      <c r="M77" s="1056"/>
      <c r="N77" s="964">
        <v>4258</v>
      </c>
      <c r="O77" s="964">
        <v>1500</v>
      </c>
      <c r="P77" s="1004"/>
      <c r="Q77" s="1004"/>
      <c r="R77" s="1004"/>
      <c r="S77" s="1004"/>
      <c r="T77" s="1004"/>
      <c r="U77" s="1004"/>
      <c r="V77" s="1004"/>
      <c r="W77" s="1004"/>
      <c r="X77" s="1004"/>
      <c r="Y77" s="1004"/>
      <c r="Z77" s="1004"/>
      <c r="AA77" s="1004"/>
      <c r="AB77" s="1004"/>
      <c r="AC77" s="1004"/>
      <c r="AD77" s="1004"/>
      <c r="AE77" s="1004"/>
      <c r="AF77" s="1004"/>
      <c r="AG77" s="1004"/>
      <c r="AH77" s="1004"/>
      <c r="AI77" s="1004"/>
      <c r="AJ77" s="1004"/>
      <c r="AK77" s="1004"/>
      <c r="AL77" s="1004"/>
      <c r="AM77" s="1004"/>
      <c r="AN77" s="1004"/>
      <c r="AO77" s="1004"/>
      <c r="AP77" s="1004"/>
      <c r="AQ77" s="1004"/>
      <c r="AR77" s="1004"/>
      <c r="AS77" s="1004"/>
      <c r="AT77" s="1004"/>
      <c r="AU77" s="1004"/>
      <c r="AV77" s="1004"/>
      <c r="AW77" s="1004"/>
      <c r="AX77" s="1004"/>
      <c r="AY77" s="1004"/>
      <c r="AZ77" s="1004"/>
      <c r="BA77" s="1004"/>
      <c r="BB77" s="1004"/>
      <c r="BC77" s="1004"/>
      <c r="BD77" s="1004"/>
      <c r="BE77" s="1004"/>
      <c r="BF77" s="1004"/>
      <c r="BG77" s="1004"/>
      <c r="BH77" s="1004"/>
      <c r="BI77" s="1004"/>
      <c r="BJ77" s="1004"/>
      <c r="BK77" s="1004"/>
      <c r="BL77" s="1004"/>
      <c r="BM77" s="1004"/>
      <c r="BN77" s="1004"/>
      <c r="BO77" s="1004"/>
      <c r="BP77" s="1004"/>
      <c r="BQ77" s="1004"/>
      <c r="BR77" s="1004"/>
      <c r="BS77" s="1004"/>
      <c r="BT77" s="1004"/>
      <c r="BU77" s="1004"/>
      <c r="BV77" s="1004"/>
      <c r="BW77" s="1004"/>
      <c r="BX77" s="1004"/>
      <c r="BY77" s="1004"/>
      <c r="BZ77" s="1004"/>
      <c r="CA77" s="1004"/>
      <c r="CB77" s="1004"/>
      <c r="CC77" s="1004"/>
      <c r="CD77" s="1004"/>
      <c r="CE77" s="1004"/>
      <c r="CF77" s="1004"/>
      <c r="CG77" s="1004"/>
      <c r="CH77" s="1004"/>
      <c r="CI77" s="1004"/>
      <c r="CJ77" s="1004"/>
      <c r="CK77" s="1004"/>
      <c r="CL77" s="1004"/>
      <c r="CM77" s="1004"/>
      <c r="CN77" s="1004"/>
      <c r="CO77" s="1004"/>
      <c r="CP77" s="1004"/>
      <c r="CQ77" s="1004"/>
      <c r="CR77" s="1004"/>
      <c r="CS77" s="1004"/>
      <c r="CT77" s="1004"/>
      <c r="CU77" s="1004"/>
      <c r="CV77" s="1004"/>
      <c r="CW77" s="1004"/>
      <c r="CX77" s="1004"/>
      <c r="CY77" s="1004"/>
      <c r="CZ77" s="1004"/>
      <c r="DA77" s="1004"/>
      <c r="DB77" s="1004"/>
      <c r="DC77" s="1004"/>
      <c r="DD77" s="1004"/>
      <c r="DE77" s="1004"/>
      <c r="DF77" s="1004"/>
      <c r="DG77" s="1004"/>
      <c r="DH77" s="1004"/>
      <c r="DI77" s="1004"/>
      <c r="DJ77" s="1004"/>
      <c r="DK77" s="1004"/>
      <c r="DL77" s="1004"/>
      <c r="DM77" s="1004"/>
      <c r="DN77" s="1004"/>
      <c r="DO77" s="1004"/>
      <c r="DP77" s="1004"/>
      <c r="DQ77" s="1004"/>
      <c r="DR77" s="1004"/>
      <c r="DS77" s="1004"/>
      <c r="DT77" s="1004"/>
      <c r="DU77" s="1004"/>
      <c r="DV77" s="1004"/>
      <c r="DW77" s="1004"/>
      <c r="DX77" s="1004"/>
      <c r="DY77" s="1004"/>
      <c r="DZ77" s="1004"/>
      <c r="EA77" s="1004"/>
      <c r="EB77" s="1004"/>
      <c r="EC77" s="1004"/>
      <c r="ED77" s="1004"/>
      <c r="EE77" s="1004"/>
      <c r="EF77" s="1004"/>
      <c r="EG77" s="1004"/>
      <c r="EH77" s="1004"/>
      <c r="EI77" s="1004"/>
      <c r="EJ77" s="1004"/>
      <c r="EK77" s="1004"/>
      <c r="EL77" s="1004"/>
      <c r="EM77" s="1004"/>
      <c r="EN77" s="1004"/>
      <c r="EO77" s="1004"/>
      <c r="EP77" s="1004"/>
      <c r="EQ77" s="1004"/>
      <c r="ER77" s="1004"/>
      <c r="ES77" s="1004"/>
      <c r="ET77" s="1004"/>
      <c r="EU77" s="1004"/>
      <c r="EV77" s="1004"/>
      <c r="EW77" s="1004"/>
      <c r="EX77" s="1004"/>
      <c r="EY77" s="1004"/>
      <c r="EZ77" s="1004"/>
      <c r="FA77" s="1004"/>
      <c r="FB77" s="1004"/>
      <c r="FC77" s="1004"/>
      <c r="FD77" s="1004"/>
      <c r="FE77" s="1004"/>
      <c r="FF77" s="1004"/>
      <c r="FG77" s="1004"/>
      <c r="FH77" s="1004"/>
      <c r="FI77" s="1004"/>
      <c r="FJ77" s="1004"/>
      <c r="FK77" s="1004"/>
      <c r="FL77" s="1004"/>
      <c r="FM77" s="1004"/>
      <c r="FN77" s="1004"/>
      <c r="FO77" s="1004"/>
      <c r="FP77" s="1004"/>
      <c r="FQ77" s="1004"/>
      <c r="FR77" s="1004"/>
      <c r="FS77" s="1004"/>
      <c r="FT77" s="1004"/>
      <c r="FU77" s="1004"/>
      <c r="FV77" s="1004"/>
      <c r="FW77" s="1004"/>
      <c r="FX77" s="1004"/>
      <c r="FY77" s="1004"/>
      <c r="FZ77" s="1004"/>
      <c r="GA77" s="1004"/>
      <c r="GB77" s="1004"/>
      <c r="GC77" s="1004"/>
      <c r="GD77" s="1004"/>
      <c r="GE77" s="1004"/>
      <c r="GF77" s="1004"/>
      <c r="GG77" s="1004"/>
      <c r="GH77" s="1004"/>
      <c r="GI77" s="1004"/>
      <c r="GJ77" s="1004"/>
      <c r="GK77" s="1004"/>
      <c r="GL77" s="1004"/>
      <c r="GM77" s="1004"/>
      <c r="GN77" s="1004"/>
      <c r="GO77" s="1004"/>
      <c r="GP77" s="1004"/>
      <c r="GQ77" s="1004"/>
    </row>
    <row r="78" spans="1:199" s="1005" customFormat="1">
      <c r="A78" s="1011">
        <v>75</v>
      </c>
      <c r="B78" s="1526"/>
      <c r="C78" s="964" t="s">
        <v>1329</v>
      </c>
      <c r="D78" s="964" t="s">
        <v>1330</v>
      </c>
      <c r="E78" s="1001"/>
      <c r="F78" s="964" t="s">
        <v>1331</v>
      </c>
      <c r="G78" s="1013">
        <v>312</v>
      </c>
      <c r="H78" s="964" t="s">
        <v>1111</v>
      </c>
      <c r="I78" s="1056"/>
      <c r="J78" s="1057"/>
      <c r="K78" s="1015">
        <v>7</v>
      </c>
      <c r="L78" s="1016">
        <f t="shared" si="0"/>
        <v>65520</v>
      </c>
      <c r="M78" s="1056"/>
      <c r="N78" s="964">
        <v>18980</v>
      </c>
      <c r="O78" s="964">
        <v>2000</v>
      </c>
      <c r="P78" s="1004"/>
      <c r="Q78" s="1004"/>
      <c r="R78" s="1004"/>
      <c r="S78" s="1004"/>
      <c r="T78" s="1004"/>
      <c r="U78" s="1004"/>
      <c r="V78" s="1004"/>
      <c r="W78" s="1004"/>
      <c r="X78" s="1004"/>
      <c r="Y78" s="1004"/>
      <c r="Z78" s="1004"/>
      <c r="AA78" s="1004"/>
      <c r="AB78" s="1004"/>
      <c r="AC78" s="1004"/>
      <c r="AD78" s="1004"/>
      <c r="AE78" s="1004"/>
      <c r="AF78" s="1004"/>
      <c r="AG78" s="1004"/>
      <c r="AH78" s="1004"/>
      <c r="AI78" s="1004"/>
      <c r="AJ78" s="1004"/>
      <c r="AK78" s="1004"/>
      <c r="AL78" s="1004"/>
      <c r="AM78" s="1004"/>
      <c r="AN78" s="1004"/>
      <c r="AO78" s="1004"/>
      <c r="AP78" s="1004"/>
      <c r="AQ78" s="1004"/>
      <c r="AR78" s="1004"/>
      <c r="AS78" s="1004"/>
      <c r="AT78" s="1004"/>
      <c r="AU78" s="1004"/>
      <c r="AV78" s="1004"/>
      <c r="AW78" s="1004"/>
      <c r="AX78" s="1004"/>
      <c r="AY78" s="1004"/>
      <c r="AZ78" s="1004"/>
      <c r="BA78" s="1004"/>
      <c r="BB78" s="1004"/>
      <c r="BC78" s="1004"/>
      <c r="BD78" s="1004"/>
      <c r="BE78" s="1004"/>
      <c r="BF78" s="1004"/>
      <c r="BG78" s="1004"/>
      <c r="BH78" s="1004"/>
      <c r="BI78" s="1004"/>
      <c r="BJ78" s="1004"/>
      <c r="BK78" s="1004"/>
      <c r="BL78" s="1004"/>
      <c r="BM78" s="1004"/>
      <c r="BN78" s="1004"/>
      <c r="BO78" s="1004"/>
      <c r="BP78" s="1004"/>
      <c r="BQ78" s="1004"/>
      <c r="BR78" s="1004"/>
      <c r="BS78" s="1004"/>
      <c r="BT78" s="1004"/>
      <c r="BU78" s="1004"/>
      <c r="BV78" s="1004"/>
      <c r="BW78" s="1004"/>
      <c r="BX78" s="1004"/>
      <c r="BY78" s="1004"/>
      <c r="BZ78" s="1004"/>
      <c r="CA78" s="1004"/>
      <c r="CB78" s="1004"/>
      <c r="CC78" s="1004"/>
      <c r="CD78" s="1004"/>
      <c r="CE78" s="1004"/>
      <c r="CF78" s="1004"/>
      <c r="CG78" s="1004"/>
      <c r="CH78" s="1004"/>
      <c r="CI78" s="1004"/>
      <c r="CJ78" s="1004"/>
      <c r="CK78" s="1004"/>
      <c r="CL78" s="1004"/>
      <c r="CM78" s="1004"/>
      <c r="CN78" s="1004"/>
      <c r="CO78" s="1004"/>
      <c r="CP78" s="1004"/>
      <c r="CQ78" s="1004"/>
      <c r="CR78" s="1004"/>
      <c r="CS78" s="1004"/>
      <c r="CT78" s="1004"/>
      <c r="CU78" s="1004"/>
      <c r="CV78" s="1004"/>
      <c r="CW78" s="1004"/>
      <c r="CX78" s="1004"/>
      <c r="CY78" s="1004"/>
      <c r="CZ78" s="1004"/>
      <c r="DA78" s="1004"/>
      <c r="DB78" s="1004"/>
      <c r="DC78" s="1004"/>
      <c r="DD78" s="1004"/>
      <c r="DE78" s="1004"/>
      <c r="DF78" s="1004"/>
      <c r="DG78" s="1004"/>
      <c r="DH78" s="1004"/>
      <c r="DI78" s="1004"/>
      <c r="DJ78" s="1004"/>
      <c r="DK78" s="1004"/>
      <c r="DL78" s="1004"/>
      <c r="DM78" s="1004"/>
      <c r="DN78" s="1004"/>
      <c r="DO78" s="1004"/>
      <c r="DP78" s="1004"/>
      <c r="DQ78" s="1004"/>
      <c r="DR78" s="1004"/>
      <c r="DS78" s="1004"/>
      <c r="DT78" s="1004"/>
      <c r="DU78" s="1004"/>
      <c r="DV78" s="1004"/>
      <c r="DW78" s="1004"/>
      <c r="DX78" s="1004"/>
      <c r="DY78" s="1004"/>
      <c r="DZ78" s="1004"/>
      <c r="EA78" s="1004"/>
      <c r="EB78" s="1004"/>
      <c r="EC78" s="1004"/>
      <c r="ED78" s="1004"/>
      <c r="EE78" s="1004"/>
      <c r="EF78" s="1004"/>
      <c r="EG78" s="1004"/>
      <c r="EH78" s="1004"/>
      <c r="EI78" s="1004"/>
      <c r="EJ78" s="1004"/>
      <c r="EK78" s="1004"/>
      <c r="EL78" s="1004"/>
      <c r="EM78" s="1004"/>
      <c r="EN78" s="1004"/>
      <c r="EO78" s="1004"/>
      <c r="EP78" s="1004"/>
      <c r="EQ78" s="1004"/>
      <c r="ER78" s="1004"/>
      <c r="ES78" s="1004"/>
      <c r="ET78" s="1004"/>
      <c r="EU78" s="1004"/>
      <c r="EV78" s="1004"/>
      <c r="EW78" s="1004"/>
      <c r="EX78" s="1004"/>
      <c r="EY78" s="1004"/>
      <c r="EZ78" s="1004"/>
      <c r="FA78" s="1004"/>
      <c r="FB78" s="1004"/>
      <c r="FC78" s="1004"/>
      <c r="FD78" s="1004"/>
      <c r="FE78" s="1004"/>
      <c r="FF78" s="1004"/>
      <c r="FG78" s="1004"/>
      <c r="FH78" s="1004"/>
      <c r="FI78" s="1004"/>
      <c r="FJ78" s="1004"/>
      <c r="FK78" s="1004"/>
      <c r="FL78" s="1004"/>
      <c r="FM78" s="1004"/>
      <c r="FN78" s="1004"/>
      <c r="FO78" s="1004"/>
      <c r="FP78" s="1004"/>
      <c r="FQ78" s="1004"/>
      <c r="FR78" s="1004"/>
      <c r="FS78" s="1004"/>
      <c r="FT78" s="1004"/>
      <c r="FU78" s="1004"/>
      <c r="FV78" s="1004"/>
      <c r="FW78" s="1004"/>
      <c r="FX78" s="1004"/>
      <c r="FY78" s="1004"/>
      <c r="FZ78" s="1004"/>
      <c r="GA78" s="1004"/>
      <c r="GB78" s="1004"/>
      <c r="GC78" s="1004"/>
      <c r="GD78" s="1004"/>
      <c r="GE78" s="1004"/>
      <c r="GF78" s="1004"/>
      <c r="GG78" s="1004"/>
      <c r="GH78" s="1004"/>
      <c r="GI78" s="1004"/>
      <c r="GJ78" s="1004"/>
      <c r="GK78" s="1004"/>
      <c r="GL78" s="1004"/>
      <c r="GM78" s="1004"/>
      <c r="GN78" s="1004"/>
      <c r="GO78" s="1004"/>
      <c r="GP78" s="1004"/>
      <c r="GQ78" s="1004"/>
    </row>
    <row r="79" spans="1:199" s="1005" customFormat="1">
      <c r="A79" s="1011">
        <v>76</v>
      </c>
      <c r="B79" s="1526"/>
      <c r="C79" s="964" t="s">
        <v>1332</v>
      </c>
      <c r="D79" s="964" t="s">
        <v>1333</v>
      </c>
      <c r="E79" s="1001"/>
      <c r="F79" s="964" t="s">
        <v>1334</v>
      </c>
      <c r="G79" s="1013">
        <v>266</v>
      </c>
      <c r="H79" s="964" t="s">
        <v>1123</v>
      </c>
      <c r="I79" s="1056"/>
      <c r="J79" s="1057"/>
      <c r="K79" s="1015">
        <v>7</v>
      </c>
      <c r="L79" s="1016">
        <f t="shared" si="0"/>
        <v>55860</v>
      </c>
      <c r="M79" s="1056"/>
      <c r="N79" s="964">
        <v>16182</v>
      </c>
      <c r="O79" s="964">
        <v>2000</v>
      </c>
      <c r="P79" s="1004"/>
      <c r="Q79" s="1004"/>
      <c r="R79" s="1004"/>
      <c r="S79" s="1004"/>
      <c r="T79" s="1004"/>
      <c r="U79" s="1004"/>
      <c r="V79" s="1004"/>
      <c r="W79" s="1004"/>
      <c r="X79" s="1004"/>
      <c r="Y79" s="1004"/>
      <c r="Z79" s="1004"/>
      <c r="AA79" s="1004"/>
      <c r="AB79" s="1004"/>
      <c r="AC79" s="1004"/>
      <c r="AD79" s="1004"/>
      <c r="AE79" s="1004"/>
      <c r="AF79" s="1004"/>
      <c r="AG79" s="1004"/>
      <c r="AH79" s="1004"/>
      <c r="AI79" s="1004"/>
      <c r="AJ79" s="1004"/>
      <c r="AK79" s="1004"/>
      <c r="AL79" s="1004"/>
      <c r="AM79" s="1004"/>
      <c r="AN79" s="1004"/>
      <c r="AO79" s="1004"/>
      <c r="AP79" s="1004"/>
      <c r="AQ79" s="1004"/>
      <c r="AR79" s="1004"/>
      <c r="AS79" s="1004"/>
      <c r="AT79" s="1004"/>
      <c r="AU79" s="1004"/>
      <c r="AV79" s="1004"/>
      <c r="AW79" s="1004"/>
      <c r="AX79" s="1004"/>
      <c r="AY79" s="1004"/>
      <c r="AZ79" s="1004"/>
      <c r="BA79" s="1004"/>
      <c r="BB79" s="1004"/>
      <c r="BC79" s="1004"/>
      <c r="BD79" s="1004"/>
      <c r="BE79" s="1004"/>
      <c r="BF79" s="1004"/>
      <c r="BG79" s="1004"/>
      <c r="BH79" s="1004"/>
      <c r="BI79" s="1004"/>
      <c r="BJ79" s="1004"/>
      <c r="BK79" s="1004"/>
      <c r="BL79" s="1004"/>
      <c r="BM79" s="1004"/>
      <c r="BN79" s="1004"/>
      <c r="BO79" s="1004"/>
      <c r="BP79" s="1004"/>
      <c r="BQ79" s="1004"/>
      <c r="BR79" s="1004"/>
      <c r="BS79" s="1004"/>
      <c r="BT79" s="1004"/>
      <c r="BU79" s="1004"/>
      <c r="BV79" s="1004"/>
      <c r="BW79" s="1004"/>
      <c r="BX79" s="1004"/>
      <c r="BY79" s="1004"/>
      <c r="BZ79" s="1004"/>
      <c r="CA79" s="1004"/>
      <c r="CB79" s="1004"/>
      <c r="CC79" s="1004"/>
      <c r="CD79" s="1004"/>
      <c r="CE79" s="1004"/>
      <c r="CF79" s="1004"/>
      <c r="CG79" s="1004"/>
      <c r="CH79" s="1004"/>
      <c r="CI79" s="1004"/>
      <c r="CJ79" s="1004"/>
      <c r="CK79" s="1004"/>
      <c r="CL79" s="1004"/>
      <c r="CM79" s="1004"/>
      <c r="CN79" s="1004"/>
      <c r="CO79" s="1004"/>
      <c r="CP79" s="1004"/>
      <c r="CQ79" s="1004"/>
      <c r="CR79" s="1004"/>
      <c r="CS79" s="1004"/>
      <c r="CT79" s="1004"/>
      <c r="CU79" s="1004"/>
      <c r="CV79" s="1004"/>
      <c r="CW79" s="1004"/>
      <c r="CX79" s="1004"/>
      <c r="CY79" s="1004"/>
      <c r="CZ79" s="1004"/>
      <c r="DA79" s="1004"/>
      <c r="DB79" s="1004"/>
      <c r="DC79" s="1004"/>
      <c r="DD79" s="1004"/>
      <c r="DE79" s="1004"/>
      <c r="DF79" s="1004"/>
      <c r="DG79" s="1004"/>
      <c r="DH79" s="1004"/>
      <c r="DI79" s="1004"/>
      <c r="DJ79" s="1004"/>
      <c r="DK79" s="1004"/>
      <c r="DL79" s="1004"/>
      <c r="DM79" s="1004"/>
      <c r="DN79" s="1004"/>
      <c r="DO79" s="1004"/>
      <c r="DP79" s="1004"/>
      <c r="DQ79" s="1004"/>
      <c r="DR79" s="1004"/>
      <c r="DS79" s="1004"/>
      <c r="DT79" s="1004"/>
      <c r="DU79" s="1004"/>
      <c r="DV79" s="1004"/>
      <c r="DW79" s="1004"/>
      <c r="DX79" s="1004"/>
      <c r="DY79" s="1004"/>
      <c r="DZ79" s="1004"/>
      <c r="EA79" s="1004"/>
      <c r="EB79" s="1004"/>
      <c r="EC79" s="1004"/>
      <c r="ED79" s="1004"/>
      <c r="EE79" s="1004"/>
      <c r="EF79" s="1004"/>
      <c r="EG79" s="1004"/>
      <c r="EH79" s="1004"/>
      <c r="EI79" s="1004"/>
      <c r="EJ79" s="1004"/>
      <c r="EK79" s="1004"/>
      <c r="EL79" s="1004"/>
      <c r="EM79" s="1004"/>
      <c r="EN79" s="1004"/>
      <c r="EO79" s="1004"/>
      <c r="EP79" s="1004"/>
      <c r="EQ79" s="1004"/>
      <c r="ER79" s="1004"/>
      <c r="ES79" s="1004"/>
      <c r="ET79" s="1004"/>
      <c r="EU79" s="1004"/>
      <c r="EV79" s="1004"/>
      <c r="EW79" s="1004"/>
      <c r="EX79" s="1004"/>
      <c r="EY79" s="1004"/>
      <c r="EZ79" s="1004"/>
      <c r="FA79" s="1004"/>
      <c r="FB79" s="1004"/>
      <c r="FC79" s="1004"/>
      <c r="FD79" s="1004"/>
      <c r="FE79" s="1004"/>
      <c r="FF79" s="1004"/>
      <c r="FG79" s="1004"/>
      <c r="FH79" s="1004"/>
      <c r="FI79" s="1004"/>
      <c r="FJ79" s="1004"/>
      <c r="FK79" s="1004"/>
      <c r="FL79" s="1004"/>
      <c r="FM79" s="1004"/>
      <c r="FN79" s="1004"/>
      <c r="FO79" s="1004"/>
      <c r="FP79" s="1004"/>
      <c r="FQ79" s="1004"/>
      <c r="FR79" s="1004"/>
      <c r="FS79" s="1004"/>
      <c r="FT79" s="1004"/>
      <c r="FU79" s="1004"/>
      <c r="FV79" s="1004"/>
      <c r="FW79" s="1004"/>
      <c r="FX79" s="1004"/>
      <c r="FY79" s="1004"/>
      <c r="FZ79" s="1004"/>
      <c r="GA79" s="1004"/>
      <c r="GB79" s="1004"/>
      <c r="GC79" s="1004"/>
      <c r="GD79" s="1004"/>
      <c r="GE79" s="1004"/>
      <c r="GF79" s="1004"/>
      <c r="GG79" s="1004"/>
      <c r="GH79" s="1004"/>
      <c r="GI79" s="1004"/>
      <c r="GJ79" s="1004"/>
      <c r="GK79" s="1004"/>
      <c r="GL79" s="1004"/>
      <c r="GM79" s="1004"/>
      <c r="GN79" s="1004"/>
      <c r="GO79" s="1004"/>
      <c r="GP79" s="1004"/>
      <c r="GQ79" s="1004"/>
    </row>
    <row r="80" spans="1:199" s="1005" customFormat="1">
      <c r="A80" s="1011">
        <v>77</v>
      </c>
      <c r="B80" s="1526"/>
      <c r="C80" s="964" t="s">
        <v>1335</v>
      </c>
      <c r="D80" s="964" t="s">
        <v>1336</v>
      </c>
      <c r="E80" s="1001"/>
      <c r="F80" s="964" t="s">
        <v>1337</v>
      </c>
      <c r="G80" s="1013">
        <v>407</v>
      </c>
      <c r="H80" s="964" t="s">
        <v>1111</v>
      </c>
      <c r="I80" s="1056"/>
      <c r="J80" s="1057"/>
      <c r="K80" s="1015">
        <v>7</v>
      </c>
      <c r="L80" s="1016">
        <f t="shared" si="0"/>
        <v>85470</v>
      </c>
      <c r="M80" s="1056"/>
      <c r="N80" s="964">
        <v>24420</v>
      </c>
      <c r="O80" s="964">
        <v>2000</v>
      </c>
      <c r="P80" s="1004"/>
      <c r="Q80" s="1004"/>
      <c r="R80" s="1004"/>
      <c r="S80" s="1004"/>
      <c r="T80" s="1004"/>
      <c r="U80" s="1004"/>
      <c r="V80" s="1004"/>
      <c r="W80" s="1004"/>
      <c r="X80" s="1004"/>
      <c r="Y80" s="1004"/>
      <c r="Z80" s="1004"/>
      <c r="AA80" s="1004"/>
      <c r="AB80" s="1004"/>
      <c r="AC80" s="1004"/>
      <c r="AD80" s="1004"/>
      <c r="AE80" s="1004"/>
      <c r="AF80" s="1004"/>
      <c r="AG80" s="1004"/>
      <c r="AH80" s="1004"/>
      <c r="AI80" s="1004"/>
      <c r="AJ80" s="1004"/>
      <c r="AK80" s="1004"/>
      <c r="AL80" s="1004"/>
      <c r="AM80" s="1004"/>
      <c r="AN80" s="1004"/>
      <c r="AO80" s="1004"/>
      <c r="AP80" s="1004"/>
      <c r="AQ80" s="1004"/>
      <c r="AR80" s="1004"/>
      <c r="AS80" s="1004"/>
      <c r="AT80" s="1004"/>
      <c r="AU80" s="1004"/>
      <c r="AV80" s="1004"/>
      <c r="AW80" s="1004"/>
      <c r="AX80" s="1004"/>
      <c r="AY80" s="1004"/>
      <c r="AZ80" s="1004"/>
      <c r="BA80" s="1004"/>
      <c r="BB80" s="1004"/>
      <c r="BC80" s="1004"/>
      <c r="BD80" s="1004"/>
      <c r="BE80" s="1004"/>
      <c r="BF80" s="1004"/>
      <c r="BG80" s="1004"/>
      <c r="BH80" s="1004"/>
      <c r="BI80" s="1004"/>
      <c r="BJ80" s="1004"/>
      <c r="BK80" s="1004"/>
      <c r="BL80" s="1004"/>
      <c r="BM80" s="1004"/>
      <c r="BN80" s="1004"/>
      <c r="BO80" s="1004"/>
      <c r="BP80" s="1004"/>
      <c r="BQ80" s="1004"/>
      <c r="BR80" s="1004"/>
      <c r="BS80" s="1004"/>
      <c r="BT80" s="1004"/>
      <c r="BU80" s="1004"/>
      <c r="BV80" s="1004"/>
      <c r="BW80" s="1004"/>
      <c r="BX80" s="1004"/>
      <c r="BY80" s="1004"/>
      <c r="BZ80" s="1004"/>
      <c r="CA80" s="1004"/>
      <c r="CB80" s="1004"/>
      <c r="CC80" s="1004"/>
      <c r="CD80" s="1004"/>
      <c r="CE80" s="1004"/>
      <c r="CF80" s="1004"/>
      <c r="CG80" s="1004"/>
      <c r="CH80" s="1004"/>
      <c r="CI80" s="1004"/>
      <c r="CJ80" s="1004"/>
      <c r="CK80" s="1004"/>
      <c r="CL80" s="1004"/>
      <c r="CM80" s="1004"/>
      <c r="CN80" s="1004"/>
      <c r="CO80" s="1004"/>
      <c r="CP80" s="1004"/>
      <c r="CQ80" s="1004"/>
      <c r="CR80" s="1004"/>
      <c r="CS80" s="1004"/>
      <c r="CT80" s="1004"/>
      <c r="CU80" s="1004"/>
      <c r="CV80" s="1004"/>
      <c r="CW80" s="1004"/>
      <c r="CX80" s="1004"/>
      <c r="CY80" s="1004"/>
      <c r="CZ80" s="1004"/>
      <c r="DA80" s="1004"/>
      <c r="DB80" s="1004"/>
      <c r="DC80" s="1004"/>
      <c r="DD80" s="1004"/>
      <c r="DE80" s="1004"/>
      <c r="DF80" s="1004"/>
      <c r="DG80" s="1004"/>
      <c r="DH80" s="1004"/>
      <c r="DI80" s="1004"/>
      <c r="DJ80" s="1004"/>
      <c r="DK80" s="1004"/>
      <c r="DL80" s="1004"/>
      <c r="DM80" s="1004"/>
      <c r="DN80" s="1004"/>
      <c r="DO80" s="1004"/>
      <c r="DP80" s="1004"/>
      <c r="DQ80" s="1004"/>
      <c r="DR80" s="1004"/>
      <c r="DS80" s="1004"/>
      <c r="DT80" s="1004"/>
      <c r="DU80" s="1004"/>
      <c r="DV80" s="1004"/>
      <c r="DW80" s="1004"/>
      <c r="DX80" s="1004"/>
      <c r="DY80" s="1004"/>
      <c r="DZ80" s="1004"/>
      <c r="EA80" s="1004"/>
      <c r="EB80" s="1004"/>
      <c r="EC80" s="1004"/>
      <c r="ED80" s="1004"/>
      <c r="EE80" s="1004"/>
      <c r="EF80" s="1004"/>
      <c r="EG80" s="1004"/>
      <c r="EH80" s="1004"/>
      <c r="EI80" s="1004"/>
      <c r="EJ80" s="1004"/>
      <c r="EK80" s="1004"/>
      <c r="EL80" s="1004"/>
      <c r="EM80" s="1004"/>
      <c r="EN80" s="1004"/>
      <c r="EO80" s="1004"/>
      <c r="EP80" s="1004"/>
      <c r="EQ80" s="1004"/>
      <c r="ER80" s="1004"/>
      <c r="ES80" s="1004"/>
      <c r="ET80" s="1004"/>
      <c r="EU80" s="1004"/>
      <c r="EV80" s="1004"/>
      <c r="EW80" s="1004"/>
      <c r="EX80" s="1004"/>
      <c r="EY80" s="1004"/>
      <c r="EZ80" s="1004"/>
      <c r="FA80" s="1004"/>
      <c r="FB80" s="1004"/>
      <c r="FC80" s="1004"/>
      <c r="FD80" s="1004"/>
      <c r="FE80" s="1004"/>
      <c r="FF80" s="1004"/>
      <c r="FG80" s="1004"/>
      <c r="FH80" s="1004"/>
      <c r="FI80" s="1004"/>
      <c r="FJ80" s="1004"/>
      <c r="FK80" s="1004"/>
      <c r="FL80" s="1004"/>
      <c r="FM80" s="1004"/>
      <c r="FN80" s="1004"/>
      <c r="FO80" s="1004"/>
      <c r="FP80" s="1004"/>
      <c r="FQ80" s="1004"/>
      <c r="FR80" s="1004"/>
      <c r="FS80" s="1004"/>
      <c r="FT80" s="1004"/>
      <c r="FU80" s="1004"/>
      <c r="FV80" s="1004"/>
      <c r="FW80" s="1004"/>
      <c r="FX80" s="1004"/>
      <c r="FY80" s="1004"/>
      <c r="FZ80" s="1004"/>
      <c r="GA80" s="1004"/>
      <c r="GB80" s="1004"/>
      <c r="GC80" s="1004"/>
      <c r="GD80" s="1004"/>
      <c r="GE80" s="1004"/>
      <c r="GF80" s="1004"/>
      <c r="GG80" s="1004"/>
      <c r="GH80" s="1004"/>
      <c r="GI80" s="1004"/>
      <c r="GJ80" s="1004"/>
      <c r="GK80" s="1004"/>
      <c r="GL80" s="1004"/>
      <c r="GM80" s="1004"/>
      <c r="GN80" s="1004"/>
      <c r="GO80" s="1004"/>
      <c r="GP80" s="1004"/>
      <c r="GQ80" s="1004"/>
    </row>
    <row r="81" spans="1:199" s="1005" customFormat="1" ht="19.5" customHeight="1">
      <c r="A81" s="1011">
        <v>78</v>
      </c>
      <c r="B81" s="1526"/>
      <c r="C81" s="964" t="s">
        <v>1141</v>
      </c>
      <c r="D81" s="964" t="s">
        <v>1142</v>
      </c>
      <c r="E81" s="1001"/>
      <c r="F81" s="964" t="s">
        <v>1338</v>
      </c>
      <c r="G81" s="1013">
        <v>280</v>
      </c>
      <c r="H81" s="964" t="s">
        <v>1123</v>
      </c>
      <c r="I81" s="1056"/>
      <c r="J81" s="1057"/>
      <c r="K81" s="1015">
        <v>7</v>
      </c>
      <c r="L81" s="1016">
        <f t="shared" ref="L81" si="1">G81*K81*30</f>
        <v>58800</v>
      </c>
      <c r="M81" s="1056"/>
      <c r="N81" s="964">
        <v>10000</v>
      </c>
      <c r="O81" s="964">
        <v>0</v>
      </c>
      <c r="P81" s="1004"/>
      <c r="Q81" s="1004"/>
      <c r="R81" s="1004"/>
      <c r="S81" s="1004"/>
      <c r="T81" s="1004"/>
      <c r="U81" s="1004"/>
      <c r="V81" s="1004"/>
      <c r="W81" s="1004"/>
      <c r="X81" s="1004"/>
      <c r="Y81" s="1004"/>
      <c r="Z81" s="1004"/>
      <c r="AA81" s="1004"/>
      <c r="AB81" s="1004"/>
      <c r="AC81" s="1004"/>
      <c r="AD81" s="1004"/>
      <c r="AE81" s="1004"/>
      <c r="AF81" s="1004"/>
      <c r="AG81" s="1004"/>
      <c r="AH81" s="1004"/>
      <c r="AI81" s="1004"/>
      <c r="AJ81" s="1004"/>
      <c r="AK81" s="1004"/>
      <c r="AL81" s="1004"/>
      <c r="AM81" s="1004"/>
      <c r="AN81" s="1004"/>
      <c r="AO81" s="1004"/>
      <c r="AP81" s="1004"/>
      <c r="AQ81" s="1004"/>
      <c r="AR81" s="1004"/>
      <c r="AS81" s="1004"/>
      <c r="AT81" s="1004"/>
      <c r="AU81" s="1004"/>
      <c r="AV81" s="1004"/>
      <c r="AW81" s="1004"/>
      <c r="AX81" s="1004"/>
      <c r="AY81" s="1004"/>
      <c r="AZ81" s="1004"/>
      <c r="BA81" s="1004"/>
      <c r="BB81" s="1004"/>
      <c r="BC81" s="1004"/>
      <c r="BD81" s="1004"/>
      <c r="BE81" s="1004"/>
      <c r="BF81" s="1004"/>
      <c r="BG81" s="1004"/>
      <c r="BH81" s="1004"/>
      <c r="BI81" s="1004"/>
      <c r="BJ81" s="1004"/>
      <c r="BK81" s="1004"/>
      <c r="BL81" s="1004"/>
      <c r="BM81" s="1004"/>
      <c r="BN81" s="1004"/>
      <c r="BO81" s="1004"/>
      <c r="BP81" s="1004"/>
      <c r="BQ81" s="1004"/>
      <c r="BR81" s="1004"/>
      <c r="BS81" s="1004"/>
      <c r="BT81" s="1004"/>
      <c r="BU81" s="1004"/>
      <c r="BV81" s="1004"/>
      <c r="BW81" s="1004"/>
      <c r="BX81" s="1004"/>
      <c r="BY81" s="1004"/>
      <c r="BZ81" s="1004"/>
      <c r="CA81" s="1004"/>
      <c r="CB81" s="1004"/>
      <c r="CC81" s="1004"/>
      <c r="CD81" s="1004"/>
      <c r="CE81" s="1004"/>
      <c r="CF81" s="1004"/>
      <c r="CG81" s="1004"/>
      <c r="CH81" s="1004"/>
      <c r="CI81" s="1004"/>
      <c r="CJ81" s="1004"/>
      <c r="CK81" s="1004"/>
      <c r="CL81" s="1004"/>
      <c r="CM81" s="1004"/>
      <c r="CN81" s="1004"/>
      <c r="CO81" s="1004"/>
      <c r="CP81" s="1004"/>
      <c r="CQ81" s="1004"/>
      <c r="CR81" s="1004"/>
      <c r="CS81" s="1004"/>
      <c r="CT81" s="1004"/>
      <c r="CU81" s="1004"/>
      <c r="CV81" s="1004"/>
      <c r="CW81" s="1004"/>
      <c r="CX81" s="1004"/>
      <c r="CY81" s="1004"/>
      <c r="CZ81" s="1004"/>
      <c r="DA81" s="1004"/>
      <c r="DB81" s="1004"/>
      <c r="DC81" s="1004"/>
      <c r="DD81" s="1004"/>
      <c r="DE81" s="1004"/>
      <c r="DF81" s="1004"/>
      <c r="DG81" s="1004"/>
      <c r="DH81" s="1004"/>
      <c r="DI81" s="1004"/>
      <c r="DJ81" s="1004"/>
      <c r="DK81" s="1004"/>
      <c r="DL81" s="1004"/>
      <c r="DM81" s="1004"/>
      <c r="DN81" s="1004"/>
      <c r="DO81" s="1004"/>
      <c r="DP81" s="1004"/>
      <c r="DQ81" s="1004"/>
      <c r="DR81" s="1004"/>
      <c r="DS81" s="1004"/>
      <c r="DT81" s="1004"/>
      <c r="DU81" s="1004"/>
      <c r="DV81" s="1004"/>
      <c r="DW81" s="1004"/>
      <c r="DX81" s="1004"/>
      <c r="DY81" s="1004"/>
      <c r="DZ81" s="1004"/>
      <c r="EA81" s="1004"/>
      <c r="EB81" s="1004"/>
      <c r="EC81" s="1004"/>
      <c r="ED81" s="1004"/>
      <c r="EE81" s="1004"/>
      <c r="EF81" s="1004"/>
      <c r="EG81" s="1004"/>
      <c r="EH81" s="1004"/>
      <c r="EI81" s="1004"/>
      <c r="EJ81" s="1004"/>
      <c r="EK81" s="1004"/>
      <c r="EL81" s="1004"/>
      <c r="EM81" s="1004"/>
      <c r="EN81" s="1004"/>
      <c r="EO81" s="1004"/>
      <c r="EP81" s="1004"/>
      <c r="EQ81" s="1004"/>
      <c r="ER81" s="1004"/>
      <c r="ES81" s="1004"/>
      <c r="ET81" s="1004"/>
      <c r="EU81" s="1004"/>
      <c r="EV81" s="1004"/>
      <c r="EW81" s="1004"/>
      <c r="EX81" s="1004"/>
      <c r="EY81" s="1004"/>
      <c r="EZ81" s="1004"/>
      <c r="FA81" s="1004"/>
      <c r="FB81" s="1004"/>
      <c r="FC81" s="1004"/>
      <c r="FD81" s="1004"/>
      <c r="FE81" s="1004"/>
      <c r="FF81" s="1004"/>
      <c r="FG81" s="1004"/>
      <c r="FH81" s="1004"/>
      <c r="FI81" s="1004"/>
      <c r="FJ81" s="1004"/>
      <c r="FK81" s="1004"/>
      <c r="FL81" s="1004"/>
      <c r="FM81" s="1004"/>
      <c r="FN81" s="1004"/>
      <c r="FO81" s="1004"/>
      <c r="FP81" s="1004"/>
      <c r="FQ81" s="1004"/>
      <c r="FR81" s="1004"/>
      <c r="FS81" s="1004"/>
      <c r="FT81" s="1004"/>
      <c r="FU81" s="1004"/>
      <c r="FV81" s="1004"/>
      <c r="FW81" s="1004"/>
      <c r="FX81" s="1004"/>
      <c r="FY81" s="1004"/>
      <c r="FZ81" s="1004"/>
      <c r="GA81" s="1004"/>
      <c r="GB81" s="1004"/>
      <c r="GC81" s="1004"/>
      <c r="GD81" s="1004"/>
      <c r="GE81" s="1004"/>
      <c r="GF81" s="1004"/>
      <c r="GG81" s="1004"/>
      <c r="GH81" s="1004"/>
      <c r="GI81" s="1004"/>
      <c r="GJ81" s="1004"/>
      <c r="GK81" s="1004"/>
      <c r="GL81" s="1004"/>
      <c r="GM81" s="1004"/>
      <c r="GN81" s="1004"/>
      <c r="GO81" s="1004"/>
      <c r="GP81" s="1004"/>
      <c r="GQ81" s="1004"/>
    </row>
    <row r="82" spans="1:199" s="1005" customFormat="1" ht="14.25">
      <c r="A82" s="999"/>
      <c r="B82" s="1000"/>
      <c r="C82" s="1066"/>
      <c r="D82" s="1066"/>
      <c r="E82" s="1000"/>
      <c r="F82" s="1066"/>
      <c r="G82" s="1067">
        <f>SUM(G4:G81)</f>
        <v>18317</v>
      </c>
      <c r="H82" s="1068" t="s">
        <v>1339</v>
      </c>
      <c r="I82" s="1004"/>
      <c r="J82" s="1069"/>
      <c r="K82" s="1070"/>
      <c r="L82" s="1071">
        <f>SUM(L4:L81)</f>
        <v>7672884</v>
      </c>
      <c r="M82" s="1004"/>
      <c r="N82" s="1004">
        <f>SUM(N4:N81)</f>
        <v>749789</v>
      </c>
      <c r="O82" s="1004">
        <f>SUM(O70:O81)</f>
        <v>18350</v>
      </c>
      <c r="P82" s="1004"/>
      <c r="Q82" s="1004"/>
      <c r="R82" s="1004"/>
      <c r="S82" s="1004"/>
      <c r="T82" s="1004"/>
      <c r="U82" s="1004"/>
      <c r="V82" s="1004"/>
      <c r="W82" s="1004"/>
      <c r="X82" s="1004"/>
      <c r="Y82" s="1004"/>
      <c r="Z82" s="1004"/>
      <c r="AA82" s="1004"/>
      <c r="AB82" s="1004"/>
      <c r="AC82" s="1004"/>
      <c r="AD82" s="1004"/>
      <c r="AE82" s="1004"/>
      <c r="AF82" s="1004"/>
      <c r="AG82" s="1004"/>
      <c r="AH82" s="1004"/>
      <c r="AI82" s="1004"/>
      <c r="AJ82" s="1004"/>
      <c r="AK82" s="1004"/>
      <c r="AL82" s="1004"/>
      <c r="AM82" s="1004"/>
      <c r="AN82" s="1004"/>
      <c r="AO82" s="1004"/>
      <c r="AP82" s="1004"/>
      <c r="AQ82" s="1004"/>
      <c r="AR82" s="1004"/>
      <c r="AS82" s="1004"/>
      <c r="AT82" s="1004"/>
      <c r="AU82" s="1004"/>
      <c r="AV82" s="1004"/>
      <c r="AW82" s="1004"/>
      <c r="AX82" s="1004"/>
      <c r="AY82" s="1004"/>
      <c r="AZ82" s="1004"/>
      <c r="BA82" s="1004"/>
      <c r="BB82" s="1004"/>
      <c r="BC82" s="1004"/>
      <c r="BD82" s="1004"/>
      <c r="BE82" s="1004"/>
      <c r="BF82" s="1004"/>
      <c r="BG82" s="1004"/>
      <c r="BH82" s="1004"/>
      <c r="BI82" s="1004"/>
      <c r="BJ82" s="1004"/>
      <c r="BK82" s="1004"/>
      <c r="BL82" s="1004"/>
      <c r="BM82" s="1004"/>
      <c r="BN82" s="1004"/>
      <c r="BO82" s="1004"/>
      <c r="BP82" s="1004"/>
      <c r="BQ82" s="1004"/>
      <c r="BR82" s="1004"/>
      <c r="BS82" s="1004"/>
      <c r="BT82" s="1004"/>
      <c r="BU82" s="1004"/>
      <c r="BV82" s="1004"/>
      <c r="BW82" s="1004"/>
      <c r="BX82" s="1004"/>
      <c r="BY82" s="1004"/>
      <c r="BZ82" s="1004"/>
      <c r="CA82" s="1004"/>
      <c r="CB82" s="1004"/>
      <c r="CC82" s="1004"/>
      <c r="CD82" s="1004"/>
      <c r="CE82" s="1004"/>
      <c r="CF82" s="1004"/>
      <c r="CG82" s="1004"/>
      <c r="CH82" s="1004"/>
      <c r="CI82" s="1004"/>
      <c r="CJ82" s="1004"/>
      <c r="CK82" s="1004"/>
      <c r="CL82" s="1004"/>
      <c r="CM82" s="1004"/>
      <c r="CN82" s="1004"/>
      <c r="CO82" s="1004"/>
      <c r="CP82" s="1004"/>
      <c r="CQ82" s="1004"/>
      <c r="CR82" s="1004"/>
      <c r="CS82" s="1004"/>
      <c r="CT82" s="1004"/>
      <c r="CU82" s="1004"/>
      <c r="CV82" s="1004"/>
      <c r="CW82" s="1004"/>
      <c r="CX82" s="1004"/>
      <c r="CY82" s="1004"/>
      <c r="CZ82" s="1004"/>
      <c r="DA82" s="1004"/>
      <c r="DB82" s="1004"/>
      <c r="DC82" s="1004"/>
      <c r="DD82" s="1004"/>
      <c r="DE82" s="1004"/>
      <c r="DF82" s="1004"/>
      <c r="DG82" s="1004"/>
      <c r="DH82" s="1004"/>
      <c r="DI82" s="1004"/>
      <c r="DJ82" s="1004"/>
      <c r="DK82" s="1004"/>
      <c r="DL82" s="1004"/>
      <c r="DM82" s="1004"/>
      <c r="DN82" s="1004"/>
      <c r="DO82" s="1004"/>
      <c r="DP82" s="1004"/>
      <c r="DQ82" s="1004"/>
      <c r="DR82" s="1004"/>
      <c r="DS82" s="1004"/>
      <c r="DT82" s="1004"/>
      <c r="DU82" s="1004"/>
      <c r="DV82" s="1004"/>
      <c r="DW82" s="1004"/>
      <c r="DX82" s="1004"/>
      <c r="DY82" s="1004"/>
      <c r="DZ82" s="1004"/>
      <c r="EA82" s="1004"/>
      <c r="EB82" s="1004"/>
      <c r="EC82" s="1004"/>
      <c r="ED82" s="1004"/>
      <c r="EE82" s="1004"/>
      <c r="EF82" s="1004"/>
      <c r="EG82" s="1004"/>
      <c r="EH82" s="1004"/>
      <c r="EI82" s="1004"/>
      <c r="EJ82" s="1004"/>
      <c r="EK82" s="1004"/>
      <c r="EL82" s="1004"/>
      <c r="EM82" s="1004"/>
      <c r="EN82" s="1004"/>
      <c r="EO82" s="1004"/>
      <c r="EP82" s="1004"/>
      <c r="EQ82" s="1004"/>
      <c r="ER82" s="1004"/>
      <c r="ES82" s="1004"/>
      <c r="ET82" s="1004"/>
      <c r="EU82" s="1004"/>
      <c r="EV82" s="1004"/>
      <c r="EW82" s="1004"/>
      <c r="EX82" s="1004"/>
      <c r="EY82" s="1004"/>
      <c r="EZ82" s="1004"/>
      <c r="FA82" s="1004"/>
      <c r="FB82" s="1004"/>
      <c r="FC82" s="1004"/>
      <c r="FD82" s="1004"/>
      <c r="FE82" s="1004"/>
      <c r="FF82" s="1004"/>
      <c r="FG82" s="1004"/>
      <c r="FH82" s="1004"/>
      <c r="FI82" s="1004"/>
      <c r="FJ82" s="1004"/>
      <c r="FK82" s="1004"/>
      <c r="FL82" s="1004"/>
      <c r="FM82" s="1004"/>
      <c r="FN82" s="1004"/>
      <c r="FO82" s="1004"/>
      <c r="FP82" s="1004"/>
      <c r="FQ82" s="1004"/>
      <c r="FR82" s="1004"/>
      <c r="FS82" s="1004"/>
      <c r="FT82" s="1004"/>
      <c r="FU82" s="1004"/>
      <c r="FV82" s="1004"/>
      <c r="FW82" s="1004"/>
      <c r="FX82" s="1004"/>
      <c r="FY82" s="1004"/>
      <c r="FZ82" s="1004"/>
      <c r="GA82" s="1004"/>
      <c r="GB82" s="1004"/>
      <c r="GC82" s="1004"/>
      <c r="GD82" s="1004"/>
      <c r="GE82" s="1004"/>
      <c r="GF82" s="1004"/>
      <c r="GG82" s="1004"/>
      <c r="GH82" s="1004"/>
      <c r="GI82" s="1004"/>
      <c r="GJ82" s="1004"/>
      <c r="GK82" s="1004"/>
      <c r="GL82" s="1004"/>
      <c r="GM82" s="1004"/>
      <c r="GN82" s="1004"/>
      <c r="GO82" s="1004"/>
      <c r="GP82" s="1004"/>
      <c r="GQ82" s="1004"/>
    </row>
    <row r="83" spans="1:199" s="1005" customFormat="1" ht="14.25">
      <c r="A83" s="999" t="s">
        <v>1078</v>
      </c>
      <c r="B83" s="1000"/>
      <c r="C83" s="1066"/>
      <c r="D83" s="1066"/>
      <c r="E83" s="1000"/>
      <c r="F83" s="1066"/>
      <c r="G83" s="1067"/>
      <c r="H83" s="1068"/>
      <c r="I83" s="1004"/>
      <c r="J83" s="1069"/>
      <c r="K83" s="1070"/>
      <c r="L83" s="1004"/>
      <c r="M83" s="1004"/>
      <c r="N83" s="1004"/>
      <c r="O83" s="1004"/>
      <c r="P83" s="1004"/>
      <c r="Q83" s="1004"/>
      <c r="R83" s="1004"/>
      <c r="S83" s="1004"/>
      <c r="T83" s="1004"/>
      <c r="U83" s="1004"/>
      <c r="V83" s="1004"/>
      <c r="W83" s="1004"/>
      <c r="X83" s="1004"/>
      <c r="Y83" s="1004"/>
      <c r="Z83" s="1004"/>
      <c r="AA83" s="1004"/>
      <c r="AB83" s="1004"/>
      <c r="AC83" s="1004"/>
      <c r="AD83" s="1004"/>
      <c r="AE83" s="1004"/>
      <c r="AF83" s="1004"/>
      <c r="AG83" s="1004"/>
      <c r="AH83" s="1004"/>
      <c r="AI83" s="1004"/>
      <c r="AJ83" s="1004"/>
      <c r="AK83" s="1004"/>
      <c r="AL83" s="1004"/>
      <c r="AM83" s="1004"/>
      <c r="AN83" s="1004"/>
      <c r="AO83" s="1004"/>
      <c r="AP83" s="1004"/>
      <c r="AQ83" s="1004"/>
      <c r="AR83" s="1004"/>
      <c r="AS83" s="1004"/>
      <c r="AT83" s="1004"/>
      <c r="AU83" s="1004"/>
      <c r="AV83" s="1004"/>
      <c r="AW83" s="1004"/>
      <c r="AX83" s="1004"/>
      <c r="AY83" s="1004"/>
      <c r="AZ83" s="1004"/>
      <c r="BA83" s="1004"/>
      <c r="BB83" s="1004"/>
      <c r="BC83" s="1004"/>
      <c r="BD83" s="1004"/>
      <c r="BE83" s="1004"/>
      <c r="BF83" s="1004"/>
      <c r="BG83" s="1004"/>
      <c r="BH83" s="1004"/>
      <c r="BI83" s="1004"/>
      <c r="BJ83" s="1004"/>
      <c r="BK83" s="1004"/>
      <c r="BL83" s="1004"/>
      <c r="BM83" s="1004"/>
      <c r="BN83" s="1004"/>
      <c r="BO83" s="1004"/>
      <c r="BP83" s="1004"/>
      <c r="BQ83" s="1004"/>
      <c r="BR83" s="1004"/>
      <c r="BS83" s="1004"/>
      <c r="BT83" s="1004"/>
      <c r="BU83" s="1004"/>
      <c r="BV83" s="1004"/>
      <c r="BW83" s="1004"/>
      <c r="BX83" s="1004"/>
      <c r="BY83" s="1004"/>
      <c r="BZ83" s="1004"/>
      <c r="CA83" s="1004"/>
      <c r="CB83" s="1004"/>
      <c r="CC83" s="1004"/>
      <c r="CD83" s="1004"/>
      <c r="CE83" s="1004"/>
      <c r="CF83" s="1004"/>
      <c r="CG83" s="1004"/>
      <c r="CH83" s="1004"/>
      <c r="CI83" s="1004"/>
      <c r="CJ83" s="1004"/>
      <c r="CK83" s="1004"/>
      <c r="CL83" s="1004"/>
      <c r="CM83" s="1004"/>
      <c r="CN83" s="1004"/>
      <c r="CO83" s="1004"/>
      <c r="CP83" s="1004"/>
      <c r="CQ83" s="1004"/>
      <c r="CR83" s="1004"/>
      <c r="CS83" s="1004"/>
      <c r="CT83" s="1004"/>
      <c r="CU83" s="1004"/>
      <c r="CV83" s="1004"/>
      <c r="CW83" s="1004"/>
      <c r="CX83" s="1004"/>
      <c r="CY83" s="1004"/>
      <c r="CZ83" s="1004"/>
      <c r="DA83" s="1004"/>
      <c r="DB83" s="1004"/>
      <c r="DC83" s="1004"/>
      <c r="DD83" s="1004"/>
      <c r="DE83" s="1004"/>
      <c r="DF83" s="1004"/>
      <c r="DG83" s="1004"/>
      <c r="DH83" s="1004"/>
      <c r="DI83" s="1004"/>
      <c r="DJ83" s="1004"/>
      <c r="DK83" s="1004"/>
      <c r="DL83" s="1004"/>
      <c r="DM83" s="1004"/>
      <c r="DN83" s="1004"/>
      <c r="DO83" s="1004"/>
      <c r="DP83" s="1004"/>
      <c r="DQ83" s="1004"/>
      <c r="DR83" s="1004"/>
      <c r="DS83" s="1004"/>
      <c r="DT83" s="1004"/>
      <c r="DU83" s="1004"/>
      <c r="DV83" s="1004"/>
      <c r="DW83" s="1004"/>
      <c r="DX83" s="1004"/>
      <c r="DY83" s="1004"/>
      <c r="DZ83" s="1004"/>
      <c r="EA83" s="1004"/>
      <c r="EB83" s="1004"/>
      <c r="EC83" s="1004"/>
      <c r="ED83" s="1004"/>
      <c r="EE83" s="1004"/>
      <c r="EF83" s="1004"/>
      <c r="EG83" s="1004"/>
      <c r="EH83" s="1004"/>
      <c r="EI83" s="1004"/>
      <c r="EJ83" s="1004"/>
      <c r="EK83" s="1004"/>
      <c r="EL83" s="1004"/>
      <c r="EM83" s="1004"/>
      <c r="EN83" s="1004"/>
      <c r="EO83" s="1004"/>
      <c r="EP83" s="1004"/>
      <c r="EQ83" s="1004"/>
      <c r="ER83" s="1004"/>
      <c r="ES83" s="1004"/>
      <c r="ET83" s="1004"/>
      <c r="EU83" s="1004"/>
      <c r="EV83" s="1004"/>
      <c r="EW83" s="1004"/>
      <c r="EX83" s="1004"/>
      <c r="EY83" s="1004"/>
      <c r="EZ83" s="1004"/>
      <c r="FA83" s="1004"/>
      <c r="FB83" s="1004"/>
      <c r="FC83" s="1004"/>
      <c r="FD83" s="1004"/>
      <c r="FE83" s="1004"/>
      <c r="FF83" s="1004"/>
      <c r="FG83" s="1004"/>
      <c r="FH83" s="1004"/>
      <c r="FI83" s="1004"/>
      <c r="FJ83" s="1004"/>
      <c r="FK83" s="1004"/>
      <c r="FL83" s="1004"/>
      <c r="FM83" s="1004"/>
      <c r="FN83" s="1004"/>
      <c r="FO83" s="1004"/>
      <c r="FP83" s="1004"/>
      <c r="FQ83" s="1004"/>
      <c r="FR83" s="1004"/>
      <c r="FS83" s="1004"/>
      <c r="FT83" s="1004"/>
      <c r="FU83" s="1004"/>
      <c r="FV83" s="1004"/>
      <c r="FW83" s="1004"/>
      <c r="FX83" s="1004"/>
      <c r="FY83" s="1004"/>
      <c r="FZ83" s="1004"/>
      <c r="GA83" s="1004"/>
      <c r="GB83" s="1004"/>
      <c r="GC83" s="1004"/>
      <c r="GD83" s="1004"/>
      <c r="GE83" s="1004"/>
      <c r="GF83" s="1004"/>
      <c r="GG83" s="1004"/>
      <c r="GH83" s="1004"/>
      <c r="GI83" s="1004"/>
      <c r="GJ83" s="1004"/>
      <c r="GK83" s="1004"/>
      <c r="GL83" s="1004"/>
      <c r="GM83" s="1004"/>
      <c r="GN83" s="1004"/>
      <c r="GO83" s="1004"/>
      <c r="GP83" s="1004"/>
      <c r="GQ83" s="1004"/>
    </row>
    <row r="84" spans="1:199" s="1005" customFormat="1" ht="14.25">
      <c r="A84" s="999" t="s">
        <v>1079</v>
      </c>
      <c r="B84" s="1000">
        <v>41</v>
      </c>
      <c r="C84" s="1066"/>
      <c r="D84" s="1066"/>
      <c r="E84" s="1000"/>
      <c r="F84" s="1066"/>
      <c r="G84" s="1067"/>
      <c r="H84" s="1068"/>
      <c r="I84" s="1004"/>
      <c r="J84" s="1069"/>
      <c r="K84" s="1070"/>
      <c r="L84" s="1004"/>
      <c r="M84" s="1004"/>
      <c r="N84" s="1004"/>
      <c r="O84" s="1004"/>
      <c r="P84" s="1004"/>
      <c r="Q84" s="1004"/>
      <c r="R84" s="1004"/>
      <c r="S84" s="1004"/>
      <c r="T84" s="1004"/>
      <c r="U84" s="1004"/>
      <c r="V84" s="1004"/>
      <c r="W84" s="1004"/>
      <c r="X84" s="1004"/>
      <c r="Y84" s="1004"/>
      <c r="Z84" s="1004"/>
      <c r="AA84" s="1004"/>
      <c r="AB84" s="1004"/>
      <c r="AC84" s="1004"/>
      <c r="AD84" s="1004"/>
      <c r="AE84" s="1004"/>
      <c r="AF84" s="1004"/>
      <c r="AG84" s="1004"/>
      <c r="AH84" s="1004"/>
      <c r="AI84" s="1004"/>
      <c r="AJ84" s="1004"/>
      <c r="AK84" s="1004"/>
      <c r="AL84" s="1004"/>
      <c r="AM84" s="1004"/>
      <c r="AN84" s="1004"/>
      <c r="AO84" s="1004"/>
      <c r="AP84" s="1004"/>
      <c r="AQ84" s="1004"/>
      <c r="AR84" s="1004"/>
      <c r="AS84" s="1004"/>
      <c r="AT84" s="1004"/>
      <c r="AU84" s="1004"/>
      <c r="AV84" s="1004"/>
      <c r="AW84" s="1004"/>
      <c r="AX84" s="1004"/>
      <c r="AY84" s="1004"/>
      <c r="AZ84" s="1004"/>
      <c r="BA84" s="1004"/>
      <c r="BB84" s="1004"/>
      <c r="BC84" s="1004"/>
      <c r="BD84" s="1004"/>
      <c r="BE84" s="1004"/>
      <c r="BF84" s="1004"/>
      <c r="BG84" s="1004"/>
      <c r="BH84" s="1004"/>
      <c r="BI84" s="1004"/>
      <c r="BJ84" s="1004"/>
      <c r="BK84" s="1004"/>
      <c r="BL84" s="1004"/>
      <c r="BM84" s="1004"/>
      <c r="BN84" s="1004"/>
      <c r="BO84" s="1004"/>
      <c r="BP84" s="1004"/>
      <c r="BQ84" s="1004"/>
      <c r="BR84" s="1004"/>
      <c r="BS84" s="1004"/>
      <c r="BT84" s="1004"/>
      <c r="BU84" s="1004"/>
      <c r="BV84" s="1004"/>
      <c r="BW84" s="1004"/>
      <c r="BX84" s="1004"/>
      <c r="BY84" s="1004"/>
      <c r="BZ84" s="1004"/>
      <c r="CA84" s="1004"/>
      <c r="CB84" s="1004"/>
      <c r="CC84" s="1004"/>
      <c r="CD84" s="1004"/>
      <c r="CE84" s="1004"/>
      <c r="CF84" s="1004"/>
      <c r="CG84" s="1004"/>
      <c r="CH84" s="1004"/>
      <c r="CI84" s="1004"/>
      <c r="CJ84" s="1004"/>
      <c r="CK84" s="1004"/>
      <c r="CL84" s="1004"/>
      <c r="CM84" s="1004"/>
      <c r="CN84" s="1004"/>
      <c r="CO84" s="1004"/>
      <c r="CP84" s="1004"/>
      <c r="CQ84" s="1004"/>
      <c r="CR84" s="1004"/>
      <c r="CS84" s="1004"/>
      <c r="CT84" s="1004"/>
      <c r="CU84" s="1004"/>
      <c r="CV84" s="1004"/>
      <c r="CW84" s="1004"/>
      <c r="CX84" s="1004"/>
      <c r="CY84" s="1004"/>
      <c r="CZ84" s="1004"/>
      <c r="DA84" s="1004"/>
      <c r="DB84" s="1004"/>
      <c r="DC84" s="1004"/>
      <c r="DD84" s="1004"/>
      <c r="DE84" s="1004"/>
      <c r="DF84" s="1004"/>
      <c r="DG84" s="1004"/>
      <c r="DH84" s="1004"/>
      <c r="DI84" s="1004"/>
      <c r="DJ84" s="1004"/>
      <c r="DK84" s="1004"/>
      <c r="DL84" s="1004"/>
      <c r="DM84" s="1004"/>
      <c r="DN84" s="1004"/>
      <c r="DO84" s="1004"/>
      <c r="DP84" s="1004"/>
      <c r="DQ84" s="1004"/>
      <c r="DR84" s="1004"/>
      <c r="DS84" s="1004"/>
      <c r="DT84" s="1004"/>
      <c r="DU84" s="1004"/>
      <c r="DV84" s="1004"/>
      <c r="DW84" s="1004"/>
      <c r="DX84" s="1004"/>
      <c r="DY84" s="1004"/>
      <c r="DZ84" s="1004"/>
      <c r="EA84" s="1004"/>
      <c r="EB84" s="1004"/>
      <c r="EC84" s="1004"/>
      <c r="ED84" s="1004"/>
      <c r="EE84" s="1004"/>
      <c r="EF84" s="1004"/>
      <c r="EG84" s="1004"/>
      <c r="EH84" s="1004"/>
      <c r="EI84" s="1004"/>
      <c r="EJ84" s="1004"/>
      <c r="EK84" s="1004"/>
      <c r="EL84" s="1004"/>
      <c r="EM84" s="1004"/>
      <c r="EN84" s="1004"/>
      <c r="EO84" s="1004"/>
      <c r="EP84" s="1004"/>
      <c r="EQ84" s="1004"/>
      <c r="ER84" s="1004"/>
      <c r="ES84" s="1004"/>
      <c r="ET84" s="1004"/>
      <c r="EU84" s="1004"/>
      <c r="EV84" s="1004"/>
      <c r="EW84" s="1004"/>
      <c r="EX84" s="1004"/>
      <c r="EY84" s="1004"/>
      <c r="EZ84" s="1004"/>
      <c r="FA84" s="1004"/>
      <c r="FB84" s="1004"/>
      <c r="FC84" s="1004"/>
      <c r="FD84" s="1004"/>
      <c r="FE84" s="1004"/>
      <c r="FF84" s="1004"/>
      <c r="FG84" s="1004"/>
      <c r="FH84" s="1004"/>
      <c r="FI84" s="1004"/>
      <c r="FJ84" s="1004"/>
      <c r="FK84" s="1004"/>
      <c r="FL84" s="1004"/>
      <c r="FM84" s="1004"/>
      <c r="FN84" s="1004"/>
      <c r="FO84" s="1004"/>
      <c r="FP84" s="1004"/>
      <c r="FQ84" s="1004"/>
      <c r="FR84" s="1004"/>
      <c r="FS84" s="1004"/>
      <c r="FT84" s="1004"/>
      <c r="FU84" s="1004"/>
      <c r="FV84" s="1004"/>
      <c r="FW84" s="1004"/>
      <c r="FX84" s="1004"/>
      <c r="FY84" s="1004"/>
      <c r="FZ84" s="1004"/>
      <c r="GA84" s="1004"/>
      <c r="GB84" s="1004"/>
      <c r="GC84" s="1004"/>
      <c r="GD84" s="1004"/>
      <c r="GE84" s="1004"/>
      <c r="GF84" s="1004"/>
      <c r="GG84" s="1004"/>
      <c r="GH84" s="1004"/>
      <c r="GI84" s="1004"/>
      <c r="GJ84" s="1004"/>
      <c r="GK84" s="1004"/>
      <c r="GL84" s="1004"/>
      <c r="GM84" s="1004"/>
      <c r="GN84" s="1004"/>
      <c r="GO84" s="1004"/>
      <c r="GP84" s="1004"/>
      <c r="GQ84" s="1004"/>
    </row>
    <row r="85" spans="1:199" s="1005" customFormat="1" ht="14.25">
      <c r="A85" s="999" t="s">
        <v>1080</v>
      </c>
      <c r="B85" s="1000">
        <v>25</v>
      </c>
      <c r="C85" s="1066"/>
      <c r="D85" s="1066"/>
      <c r="E85" s="1000"/>
      <c r="F85" s="1066"/>
      <c r="G85" s="1067"/>
      <c r="H85" s="1068"/>
      <c r="I85" s="1004"/>
      <c r="J85" s="1069"/>
      <c r="K85" s="1070"/>
      <c r="L85" s="1004"/>
      <c r="M85" s="1004"/>
      <c r="N85" s="1004"/>
      <c r="O85" s="1004"/>
      <c r="P85" s="1004"/>
      <c r="Q85" s="1004"/>
      <c r="R85" s="1004"/>
      <c r="S85" s="1004"/>
      <c r="T85" s="1004"/>
      <c r="U85" s="1004"/>
      <c r="V85" s="1004"/>
      <c r="W85" s="1004"/>
      <c r="X85" s="1004"/>
      <c r="Y85" s="1004"/>
      <c r="Z85" s="1004"/>
      <c r="AA85" s="1004"/>
      <c r="AB85" s="1004"/>
      <c r="AC85" s="1004"/>
      <c r="AD85" s="1004"/>
      <c r="AE85" s="1004"/>
      <c r="AF85" s="1004"/>
      <c r="AG85" s="1004"/>
      <c r="AH85" s="1004"/>
      <c r="AI85" s="1004"/>
      <c r="AJ85" s="1004"/>
      <c r="AK85" s="1004"/>
      <c r="AL85" s="1004"/>
      <c r="AM85" s="1004"/>
      <c r="AN85" s="1004"/>
      <c r="AO85" s="1004"/>
      <c r="AP85" s="1004"/>
      <c r="AQ85" s="1004"/>
      <c r="AR85" s="1004"/>
      <c r="AS85" s="1004"/>
      <c r="AT85" s="1004"/>
      <c r="AU85" s="1004"/>
      <c r="AV85" s="1004"/>
      <c r="AW85" s="1004"/>
      <c r="AX85" s="1004"/>
      <c r="AY85" s="1004"/>
      <c r="AZ85" s="1004"/>
      <c r="BA85" s="1004"/>
      <c r="BB85" s="1004"/>
      <c r="BC85" s="1004"/>
      <c r="BD85" s="1004"/>
      <c r="BE85" s="1004"/>
      <c r="BF85" s="1004"/>
      <c r="BG85" s="1004"/>
      <c r="BH85" s="1004"/>
      <c r="BI85" s="1004"/>
      <c r="BJ85" s="1004"/>
      <c r="BK85" s="1004"/>
      <c r="BL85" s="1004"/>
      <c r="BM85" s="1004"/>
      <c r="BN85" s="1004"/>
      <c r="BO85" s="1004"/>
      <c r="BP85" s="1004"/>
      <c r="BQ85" s="1004"/>
      <c r="BR85" s="1004"/>
      <c r="BS85" s="1004"/>
      <c r="BT85" s="1004"/>
      <c r="BU85" s="1004"/>
      <c r="BV85" s="1004"/>
      <c r="BW85" s="1004"/>
      <c r="BX85" s="1004"/>
      <c r="BY85" s="1004"/>
      <c r="BZ85" s="1004"/>
      <c r="CA85" s="1004"/>
      <c r="CB85" s="1004"/>
      <c r="CC85" s="1004"/>
      <c r="CD85" s="1004"/>
      <c r="CE85" s="1004"/>
      <c r="CF85" s="1004"/>
      <c r="CG85" s="1004"/>
      <c r="CH85" s="1004"/>
      <c r="CI85" s="1004"/>
      <c r="CJ85" s="1004"/>
      <c r="CK85" s="1004"/>
      <c r="CL85" s="1004"/>
      <c r="CM85" s="1004"/>
      <c r="CN85" s="1004"/>
      <c r="CO85" s="1004"/>
      <c r="CP85" s="1004"/>
      <c r="CQ85" s="1004"/>
      <c r="CR85" s="1004"/>
      <c r="CS85" s="1004"/>
      <c r="CT85" s="1004"/>
      <c r="CU85" s="1004"/>
      <c r="CV85" s="1004"/>
      <c r="CW85" s="1004"/>
      <c r="CX85" s="1004"/>
      <c r="CY85" s="1004"/>
      <c r="CZ85" s="1004"/>
      <c r="DA85" s="1004"/>
      <c r="DB85" s="1004"/>
      <c r="DC85" s="1004"/>
      <c r="DD85" s="1004"/>
      <c r="DE85" s="1004"/>
      <c r="DF85" s="1004"/>
      <c r="DG85" s="1004"/>
      <c r="DH85" s="1004"/>
      <c r="DI85" s="1004"/>
      <c r="DJ85" s="1004"/>
      <c r="DK85" s="1004"/>
      <c r="DL85" s="1004"/>
      <c r="DM85" s="1004"/>
      <c r="DN85" s="1004"/>
      <c r="DO85" s="1004"/>
      <c r="DP85" s="1004"/>
      <c r="DQ85" s="1004"/>
      <c r="DR85" s="1004"/>
      <c r="DS85" s="1004"/>
      <c r="DT85" s="1004"/>
      <c r="DU85" s="1004"/>
      <c r="DV85" s="1004"/>
      <c r="DW85" s="1004"/>
      <c r="DX85" s="1004"/>
      <c r="DY85" s="1004"/>
      <c r="DZ85" s="1004"/>
      <c r="EA85" s="1004"/>
      <c r="EB85" s="1004"/>
      <c r="EC85" s="1004"/>
      <c r="ED85" s="1004"/>
      <c r="EE85" s="1004"/>
      <c r="EF85" s="1004"/>
      <c r="EG85" s="1004"/>
      <c r="EH85" s="1004"/>
      <c r="EI85" s="1004"/>
      <c r="EJ85" s="1004"/>
      <c r="EK85" s="1004"/>
      <c r="EL85" s="1004"/>
      <c r="EM85" s="1004"/>
      <c r="EN85" s="1004"/>
      <c r="EO85" s="1004"/>
      <c r="EP85" s="1004"/>
      <c r="EQ85" s="1004"/>
      <c r="ER85" s="1004"/>
      <c r="ES85" s="1004"/>
      <c r="ET85" s="1004"/>
      <c r="EU85" s="1004"/>
      <c r="EV85" s="1004"/>
      <c r="EW85" s="1004"/>
      <c r="EX85" s="1004"/>
      <c r="EY85" s="1004"/>
      <c r="EZ85" s="1004"/>
      <c r="FA85" s="1004"/>
      <c r="FB85" s="1004"/>
      <c r="FC85" s="1004"/>
      <c r="FD85" s="1004"/>
      <c r="FE85" s="1004"/>
      <c r="FF85" s="1004"/>
      <c r="FG85" s="1004"/>
      <c r="FH85" s="1004"/>
      <c r="FI85" s="1004"/>
      <c r="FJ85" s="1004"/>
      <c r="FK85" s="1004"/>
      <c r="FL85" s="1004"/>
      <c r="FM85" s="1004"/>
      <c r="FN85" s="1004"/>
      <c r="FO85" s="1004"/>
      <c r="FP85" s="1004"/>
      <c r="FQ85" s="1004"/>
      <c r="FR85" s="1004"/>
      <c r="FS85" s="1004"/>
      <c r="FT85" s="1004"/>
      <c r="FU85" s="1004"/>
      <c r="FV85" s="1004"/>
      <c r="FW85" s="1004"/>
      <c r="FX85" s="1004"/>
      <c r="FY85" s="1004"/>
      <c r="FZ85" s="1004"/>
      <c r="GA85" s="1004"/>
      <c r="GB85" s="1004"/>
      <c r="GC85" s="1004"/>
      <c r="GD85" s="1004"/>
      <c r="GE85" s="1004"/>
      <c r="GF85" s="1004"/>
      <c r="GG85" s="1004"/>
      <c r="GH85" s="1004"/>
      <c r="GI85" s="1004"/>
      <c r="GJ85" s="1004"/>
      <c r="GK85" s="1004"/>
      <c r="GL85" s="1004"/>
      <c r="GM85" s="1004"/>
      <c r="GN85" s="1004"/>
      <c r="GO85" s="1004"/>
      <c r="GP85" s="1004"/>
      <c r="GQ85" s="1004"/>
    </row>
    <row r="86" spans="1:199" s="1005" customFormat="1">
      <c r="A86" s="999" t="s">
        <v>1081</v>
      </c>
      <c r="B86" s="1000">
        <v>21</v>
      </c>
      <c r="C86" s="1072"/>
      <c r="D86" s="1004"/>
      <c r="E86" s="1000" t="s">
        <v>108</v>
      </c>
      <c r="F86" s="1073"/>
      <c r="G86" s="1074">
        <f>L82/G82/30</f>
        <v>13.963138068460994</v>
      </c>
      <c r="H86" s="1068"/>
      <c r="I86" s="1004"/>
      <c r="J86" s="1069"/>
      <c r="K86" s="1004"/>
      <c r="L86" s="1004"/>
      <c r="M86" s="1004"/>
      <c r="N86" s="1004"/>
      <c r="O86" s="1004"/>
      <c r="P86" s="1004"/>
      <c r="Q86" s="1004"/>
      <c r="R86" s="1004"/>
      <c r="S86" s="1004"/>
      <c r="T86" s="1004"/>
      <c r="U86" s="1004"/>
      <c r="V86" s="1004"/>
      <c r="W86" s="1004"/>
      <c r="X86" s="1004"/>
      <c r="Y86" s="1004"/>
      <c r="Z86" s="1004"/>
      <c r="AA86" s="1004"/>
      <c r="AB86" s="1004"/>
      <c r="AC86" s="1004"/>
      <c r="AD86" s="1004"/>
      <c r="AE86" s="1004"/>
      <c r="AF86" s="1004"/>
      <c r="AG86" s="1004"/>
      <c r="AH86" s="1004"/>
      <c r="AI86" s="1004"/>
      <c r="AJ86" s="1004"/>
      <c r="AK86" s="1004"/>
      <c r="AL86" s="1004"/>
      <c r="AM86" s="1004"/>
      <c r="AN86" s="1004"/>
      <c r="AO86" s="1004"/>
      <c r="AP86" s="1004"/>
      <c r="AQ86" s="1004"/>
      <c r="AR86" s="1004"/>
      <c r="AS86" s="1004"/>
      <c r="AT86" s="1004"/>
      <c r="AU86" s="1004"/>
      <c r="AV86" s="1004"/>
      <c r="AW86" s="1004"/>
      <c r="AX86" s="1004"/>
      <c r="AY86" s="1004"/>
      <c r="AZ86" s="1004"/>
      <c r="BA86" s="1004"/>
      <c r="BB86" s="1004"/>
      <c r="BC86" s="1004"/>
      <c r="BD86" s="1004"/>
      <c r="BE86" s="1004"/>
      <c r="BF86" s="1004"/>
      <c r="BG86" s="1004"/>
      <c r="BH86" s="1004"/>
      <c r="BI86" s="1004"/>
      <c r="BJ86" s="1004"/>
      <c r="BK86" s="1004"/>
      <c r="BL86" s="1004"/>
      <c r="BM86" s="1004"/>
      <c r="BN86" s="1004"/>
      <c r="BO86" s="1004"/>
      <c r="BP86" s="1004"/>
      <c r="BQ86" s="1004"/>
      <c r="BR86" s="1004"/>
      <c r="BS86" s="1004"/>
      <c r="BT86" s="1004"/>
      <c r="BU86" s="1004"/>
      <c r="BV86" s="1004"/>
      <c r="BW86" s="1004"/>
      <c r="BX86" s="1004"/>
      <c r="BY86" s="1004"/>
      <c r="BZ86" s="1004"/>
      <c r="CA86" s="1004"/>
      <c r="CB86" s="1004"/>
      <c r="CC86" s="1004"/>
      <c r="CD86" s="1004"/>
      <c r="CE86" s="1004"/>
      <c r="CF86" s="1004"/>
      <c r="CG86" s="1004"/>
      <c r="CH86" s="1004"/>
      <c r="CI86" s="1004"/>
      <c r="CJ86" s="1004"/>
      <c r="CK86" s="1004"/>
      <c r="CL86" s="1004"/>
      <c r="CM86" s="1004"/>
      <c r="CN86" s="1004"/>
      <c r="CO86" s="1004"/>
      <c r="CP86" s="1004"/>
      <c r="CQ86" s="1004"/>
      <c r="CR86" s="1004"/>
      <c r="CS86" s="1004"/>
      <c r="CT86" s="1004"/>
      <c r="CU86" s="1004"/>
      <c r="CV86" s="1004"/>
      <c r="CW86" s="1004"/>
      <c r="CX86" s="1004"/>
      <c r="CY86" s="1004"/>
      <c r="CZ86" s="1004"/>
      <c r="DA86" s="1004"/>
      <c r="DB86" s="1004"/>
      <c r="DC86" s="1004"/>
      <c r="DD86" s="1004"/>
      <c r="DE86" s="1004"/>
      <c r="DF86" s="1004"/>
      <c r="DG86" s="1004"/>
      <c r="DH86" s="1004"/>
      <c r="DI86" s="1004"/>
      <c r="DJ86" s="1004"/>
      <c r="DK86" s="1004"/>
      <c r="DL86" s="1004"/>
      <c r="DM86" s="1004"/>
      <c r="DN86" s="1004"/>
      <c r="DO86" s="1004"/>
      <c r="DP86" s="1004"/>
      <c r="DQ86" s="1004"/>
      <c r="DR86" s="1004"/>
      <c r="DS86" s="1004"/>
      <c r="DT86" s="1004"/>
      <c r="DU86" s="1004"/>
      <c r="DV86" s="1004"/>
      <c r="DW86" s="1004"/>
      <c r="DX86" s="1004"/>
      <c r="DY86" s="1004"/>
      <c r="DZ86" s="1004"/>
      <c r="EA86" s="1004"/>
      <c r="EB86" s="1004"/>
      <c r="EC86" s="1004"/>
      <c r="ED86" s="1004"/>
      <c r="EE86" s="1004"/>
      <c r="EF86" s="1004"/>
      <c r="EG86" s="1004"/>
      <c r="EH86" s="1004"/>
      <c r="EI86" s="1004"/>
      <c r="EJ86" s="1004"/>
      <c r="EK86" s="1004"/>
      <c r="EL86" s="1004"/>
      <c r="EM86" s="1004"/>
      <c r="EN86" s="1004"/>
      <c r="EO86" s="1004"/>
      <c r="EP86" s="1004"/>
      <c r="EQ86" s="1004"/>
      <c r="ER86" s="1004"/>
      <c r="ES86" s="1004"/>
      <c r="ET86" s="1004"/>
      <c r="EU86" s="1004"/>
      <c r="EV86" s="1004"/>
      <c r="EW86" s="1004"/>
      <c r="EX86" s="1004"/>
      <c r="EY86" s="1004"/>
      <c r="EZ86" s="1004"/>
      <c r="FA86" s="1004"/>
      <c r="FB86" s="1004"/>
      <c r="FC86" s="1004"/>
      <c r="FD86" s="1004"/>
      <c r="FE86" s="1004"/>
      <c r="FF86" s="1004"/>
      <c r="FG86" s="1004"/>
      <c r="FH86" s="1004"/>
      <c r="FI86" s="1004"/>
      <c r="FJ86" s="1004"/>
      <c r="FK86" s="1004"/>
      <c r="FL86" s="1004"/>
      <c r="FM86" s="1004"/>
      <c r="FN86" s="1004"/>
      <c r="FO86" s="1004"/>
      <c r="FP86" s="1004"/>
      <c r="FQ86" s="1004"/>
      <c r="FR86" s="1004"/>
      <c r="FS86" s="1004"/>
      <c r="FT86" s="1004"/>
      <c r="FU86" s="1004"/>
      <c r="FV86" s="1004"/>
      <c r="FW86" s="1004"/>
      <c r="FX86" s="1004"/>
      <c r="FY86" s="1004"/>
      <c r="FZ86" s="1004"/>
      <c r="GA86" s="1004"/>
      <c r="GB86" s="1004"/>
      <c r="GC86" s="1004"/>
      <c r="GD86" s="1004"/>
      <c r="GE86" s="1004"/>
      <c r="GF86" s="1004"/>
      <c r="GG86" s="1004"/>
      <c r="GH86" s="1004"/>
      <c r="GI86" s="1004"/>
      <c r="GJ86" s="1004"/>
      <c r="GK86" s="1004"/>
      <c r="GL86" s="1004"/>
      <c r="GM86" s="1004"/>
      <c r="GN86" s="1004"/>
      <c r="GO86" s="1004"/>
      <c r="GP86" s="1004"/>
      <c r="GQ86" s="1004"/>
    </row>
    <row r="87" spans="1:199" s="1005" customFormat="1">
      <c r="A87" s="999" t="s">
        <v>1082</v>
      </c>
      <c r="B87" s="1000">
        <v>15</v>
      </c>
      <c r="C87" s="1072"/>
      <c r="D87" s="1004"/>
      <c r="E87" s="1000"/>
      <c r="F87" s="1073"/>
      <c r="G87" s="1074"/>
      <c r="H87" s="1068"/>
      <c r="I87" s="1004"/>
      <c r="J87" s="1069"/>
      <c r="K87" s="1004"/>
      <c r="L87" s="1004"/>
      <c r="M87" s="1004"/>
      <c r="N87" s="1004"/>
      <c r="O87" s="1004"/>
      <c r="P87" s="1004"/>
      <c r="Q87" s="1004"/>
      <c r="R87" s="1004"/>
      <c r="S87" s="1004"/>
      <c r="T87" s="1004"/>
      <c r="U87" s="1004"/>
      <c r="V87" s="1004"/>
      <c r="W87" s="1004"/>
      <c r="X87" s="1004"/>
      <c r="Y87" s="1004"/>
      <c r="Z87" s="1004"/>
      <c r="AA87" s="1004"/>
      <c r="AB87" s="1004"/>
      <c r="AC87" s="1004"/>
      <c r="AD87" s="1004"/>
      <c r="AE87" s="1004"/>
      <c r="AF87" s="1004"/>
      <c r="AG87" s="1004"/>
      <c r="AH87" s="1004"/>
      <c r="AI87" s="1004"/>
      <c r="AJ87" s="1004"/>
      <c r="AK87" s="1004"/>
      <c r="AL87" s="1004"/>
      <c r="AM87" s="1004"/>
      <c r="AN87" s="1004"/>
      <c r="AO87" s="1004"/>
      <c r="AP87" s="1004"/>
      <c r="AQ87" s="1004"/>
      <c r="AR87" s="1004"/>
      <c r="AS87" s="1004"/>
      <c r="AT87" s="1004"/>
      <c r="AU87" s="1004"/>
      <c r="AV87" s="1004"/>
      <c r="AW87" s="1004"/>
      <c r="AX87" s="1004"/>
      <c r="AY87" s="1004"/>
      <c r="AZ87" s="1004"/>
      <c r="BA87" s="1004"/>
      <c r="BB87" s="1004"/>
      <c r="BC87" s="1004"/>
      <c r="BD87" s="1004"/>
      <c r="BE87" s="1004"/>
      <c r="BF87" s="1004"/>
      <c r="BG87" s="1004"/>
      <c r="BH87" s="1004"/>
      <c r="BI87" s="1004"/>
      <c r="BJ87" s="1004"/>
      <c r="BK87" s="1004"/>
      <c r="BL87" s="1004"/>
      <c r="BM87" s="1004"/>
      <c r="BN87" s="1004"/>
      <c r="BO87" s="1004"/>
      <c r="BP87" s="1004"/>
      <c r="BQ87" s="1004"/>
      <c r="BR87" s="1004"/>
      <c r="BS87" s="1004"/>
      <c r="BT87" s="1004"/>
      <c r="BU87" s="1004"/>
      <c r="BV87" s="1004"/>
      <c r="BW87" s="1004"/>
      <c r="BX87" s="1004"/>
      <c r="BY87" s="1004"/>
      <c r="BZ87" s="1004"/>
      <c r="CA87" s="1004"/>
      <c r="CB87" s="1004"/>
      <c r="CC87" s="1004"/>
      <c r="CD87" s="1004"/>
      <c r="CE87" s="1004"/>
      <c r="CF87" s="1004"/>
      <c r="CG87" s="1004"/>
      <c r="CH87" s="1004"/>
      <c r="CI87" s="1004"/>
      <c r="CJ87" s="1004"/>
      <c r="CK87" s="1004"/>
      <c r="CL87" s="1004"/>
      <c r="CM87" s="1004"/>
      <c r="CN87" s="1004"/>
      <c r="CO87" s="1004"/>
      <c r="CP87" s="1004"/>
      <c r="CQ87" s="1004"/>
      <c r="CR87" s="1004"/>
      <c r="CS87" s="1004"/>
      <c r="CT87" s="1004"/>
      <c r="CU87" s="1004"/>
      <c r="CV87" s="1004"/>
      <c r="CW87" s="1004"/>
      <c r="CX87" s="1004"/>
      <c r="CY87" s="1004"/>
      <c r="CZ87" s="1004"/>
      <c r="DA87" s="1004"/>
      <c r="DB87" s="1004"/>
      <c r="DC87" s="1004"/>
      <c r="DD87" s="1004"/>
      <c r="DE87" s="1004"/>
      <c r="DF87" s="1004"/>
      <c r="DG87" s="1004"/>
      <c r="DH87" s="1004"/>
      <c r="DI87" s="1004"/>
      <c r="DJ87" s="1004"/>
      <c r="DK87" s="1004"/>
      <c r="DL87" s="1004"/>
      <c r="DM87" s="1004"/>
      <c r="DN87" s="1004"/>
      <c r="DO87" s="1004"/>
      <c r="DP87" s="1004"/>
      <c r="DQ87" s="1004"/>
      <c r="DR87" s="1004"/>
      <c r="DS87" s="1004"/>
      <c r="DT87" s="1004"/>
      <c r="DU87" s="1004"/>
      <c r="DV87" s="1004"/>
      <c r="DW87" s="1004"/>
      <c r="DX87" s="1004"/>
      <c r="DY87" s="1004"/>
      <c r="DZ87" s="1004"/>
      <c r="EA87" s="1004"/>
      <c r="EB87" s="1004"/>
      <c r="EC87" s="1004"/>
      <c r="ED87" s="1004"/>
      <c r="EE87" s="1004"/>
      <c r="EF87" s="1004"/>
      <c r="EG87" s="1004"/>
      <c r="EH87" s="1004"/>
      <c r="EI87" s="1004"/>
      <c r="EJ87" s="1004"/>
      <c r="EK87" s="1004"/>
      <c r="EL87" s="1004"/>
      <c r="EM87" s="1004"/>
      <c r="EN87" s="1004"/>
      <c r="EO87" s="1004"/>
      <c r="EP87" s="1004"/>
      <c r="EQ87" s="1004"/>
      <c r="ER87" s="1004"/>
      <c r="ES87" s="1004"/>
      <c r="ET87" s="1004"/>
      <c r="EU87" s="1004"/>
      <c r="EV87" s="1004"/>
      <c r="EW87" s="1004"/>
      <c r="EX87" s="1004"/>
      <c r="EY87" s="1004"/>
      <c r="EZ87" s="1004"/>
      <c r="FA87" s="1004"/>
      <c r="FB87" s="1004"/>
      <c r="FC87" s="1004"/>
      <c r="FD87" s="1004"/>
      <c r="FE87" s="1004"/>
      <c r="FF87" s="1004"/>
      <c r="FG87" s="1004"/>
      <c r="FH87" s="1004"/>
      <c r="FI87" s="1004"/>
      <c r="FJ87" s="1004"/>
      <c r="FK87" s="1004"/>
      <c r="FL87" s="1004"/>
      <c r="FM87" s="1004"/>
      <c r="FN87" s="1004"/>
      <c r="FO87" s="1004"/>
      <c r="FP87" s="1004"/>
      <c r="FQ87" s="1004"/>
      <c r="FR87" s="1004"/>
      <c r="FS87" s="1004"/>
      <c r="FT87" s="1004"/>
      <c r="FU87" s="1004"/>
      <c r="FV87" s="1004"/>
      <c r="FW87" s="1004"/>
      <c r="FX87" s="1004"/>
      <c r="FY87" s="1004"/>
      <c r="FZ87" s="1004"/>
      <c r="GA87" s="1004"/>
      <c r="GB87" s="1004"/>
      <c r="GC87" s="1004"/>
      <c r="GD87" s="1004"/>
      <c r="GE87" s="1004"/>
      <c r="GF87" s="1004"/>
      <c r="GG87" s="1004"/>
      <c r="GH87" s="1004"/>
      <c r="GI87" s="1004"/>
      <c r="GJ87" s="1004"/>
      <c r="GK87" s="1004"/>
      <c r="GL87" s="1004"/>
      <c r="GM87" s="1004"/>
      <c r="GN87" s="1004"/>
      <c r="GO87" s="1004"/>
      <c r="GP87" s="1004"/>
      <c r="GQ87" s="1004"/>
    </row>
    <row r="88" spans="1:199" s="1005" customFormat="1">
      <c r="A88" s="999" t="s">
        <v>1083</v>
      </c>
      <c r="B88" s="1000">
        <v>12</v>
      </c>
      <c r="C88" s="1072"/>
      <c r="D88" s="1004"/>
      <c r="E88" s="1000"/>
      <c r="F88" s="1073"/>
      <c r="G88" s="1074"/>
      <c r="H88" s="1068"/>
      <c r="I88" s="1004"/>
      <c r="J88" s="1069"/>
      <c r="K88" s="1004"/>
      <c r="L88" s="1004"/>
      <c r="M88" s="1004"/>
      <c r="N88" s="1004"/>
      <c r="O88" s="1004"/>
      <c r="P88" s="1004"/>
      <c r="Q88" s="1004"/>
      <c r="R88" s="1004"/>
      <c r="S88" s="1004"/>
      <c r="T88" s="1004"/>
      <c r="U88" s="1004"/>
      <c r="V88" s="1004"/>
      <c r="W88" s="1004"/>
      <c r="X88" s="1004"/>
      <c r="Y88" s="1004"/>
      <c r="Z88" s="1004"/>
      <c r="AA88" s="1004"/>
      <c r="AB88" s="1004"/>
      <c r="AC88" s="1004"/>
      <c r="AD88" s="1004"/>
      <c r="AE88" s="1004"/>
      <c r="AF88" s="1004"/>
      <c r="AG88" s="1004"/>
      <c r="AH88" s="1004"/>
      <c r="AI88" s="1004"/>
      <c r="AJ88" s="1004"/>
      <c r="AK88" s="1004"/>
      <c r="AL88" s="1004"/>
      <c r="AM88" s="1004"/>
      <c r="AN88" s="1004"/>
      <c r="AO88" s="1004"/>
      <c r="AP88" s="1004"/>
      <c r="AQ88" s="1004"/>
      <c r="AR88" s="1004"/>
      <c r="AS88" s="1004"/>
      <c r="AT88" s="1004"/>
      <c r="AU88" s="1004"/>
      <c r="AV88" s="1004"/>
      <c r="AW88" s="1004"/>
      <c r="AX88" s="1004"/>
      <c r="AY88" s="1004"/>
      <c r="AZ88" s="1004"/>
      <c r="BA88" s="1004"/>
      <c r="BB88" s="1004"/>
      <c r="BC88" s="1004"/>
      <c r="BD88" s="1004"/>
      <c r="BE88" s="1004"/>
      <c r="BF88" s="1004"/>
      <c r="BG88" s="1004"/>
      <c r="BH88" s="1004"/>
      <c r="BI88" s="1004"/>
      <c r="BJ88" s="1004"/>
      <c r="BK88" s="1004"/>
      <c r="BL88" s="1004"/>
      <c r="BM88" s="1004"/>
      <c r="BN88" s="1004"/>
      <c r="BO88" s="1004"/>
      <c r="BP88" s="1004"/>
      <c r="BQ88" s="1004"/>
      <c r="BR88" s="1004"/>
      <c r="BS88" s="1004"/>
      <c r="BT88" s="1004"/>
      <c r="BU88" s="1004"/>
      <c r="BV88" s="1004"/>
      <c r="BW88" s="1004"/>
      <c r="BX88" s="1004"/>
      <c r="BY88" s="1004"/>
      <c r="BZ88" s="1004"/>
      <c r="CA88" s="1004"/>
      <c r="CB88" s="1004"/>
      <c r="CC88" s="1004"/>
      <c r="CD88" s="1004"/>
      <c r="CE88" s="1004"/>
      <c r="CF88" s="1004"/>
      <c r="CG88" s="1004"/>
      <c r="CH88" s="1004"/>
      <c r="CI88" s="1004"/>
      <c r="CJ88" s="1004"/>
      <c r="CK88" s="1004"/>
      <c r="CL88" s="1004"/>
      <c r="CM88" s="1004"/>
      <c r="CN88" s="1004"/>
      <c r="CO88" s="1004"/>
      <c r="CP88" s="1004"/>
      <c r="CQ88" s="1004"/>
      <c r="CR88" s="1004"/>
      <c r="CS88" s="1004"/>
      <c r="CT88" s="1004"/>
      <c r="CU88" s="1004"/>
      <c r="CV88" s="1004"/>
      <c r="CW88" s="1004"/>
      <c r="CX88" s="1004"/>
      <c r="CY88" s="1004"/>
      <c r="CZ88" s="1004"/>
      <c r="DA88" s="1004"/>
      <c r="DB88" s="1004"/>
      <c r="DC88" s="1004"/>
      <c r="DD88" s="1004"/>
      <c r="DE88" s="1004"/>
      <c r="DF88" s="1004"/>
      <c r="DG88" s="1004"/>
      <c r="DH88" s="1004"/>
      <c r="DI88" s="1004"/>
      <c r="DJ88" s="1004"/>
      <c r="DK88" s="1004"/>
      <c r="DL88" s="1004"/>
      <c r="DM88" s="1004"/>
      <c r="DN88" s="1004"/>
      <c r="DO88" s="1004"/>
      <c r="DP88" s="1004"/>
      <c r="DQ88" s="1004"/>
      <c r="DR88" s="1004"/>
      <c r="DS88" s="1004"/>
      <c r="DT88" s="1004"/>
      <c r="DU88" s="1004"/>
      <c r="DV88" s="1004"/>
      <c r="DW88" s="1004"/>
      <c r="DX88" s="1004"/>
      <c r="DY88" s="1004"/>
      <c r="DZ88" s="1004"/>
      <c r="EA88" s="1004"/>
      <c r="EB88" s="1004"/>
      <c r="EC88" s="1004"/>
      <c r="ED88" s="1004"/>
      <c r="EE88" s="1004"/>
      <c r="EF88" s="1004"/>
      <c r="EG88" s="1004"/>
      <c r="EH88" s="1004"/>
      <c r="EI88" s="1004"/>
      <c r="EJ88" s="1004"/>
      <c r="EK88" s="1004"/>
      <c r="EL88" s="1004"/>
      <c r="EM88" s="1004"/>
      <c r="EN88" s="1004"/>
      <c r="EO88" s="1004"/>
      <c r="EP88" s="1004"/>
      <c r="EQ88" s="1004"/>
      <c r="ER88" s="1004"/>
      <c r="ES88" s="1004"/>
      <c r="ET88" s="1004"/>
      <c r="EU88" s="1004"/>
      <c r="EV88" s="1004"/>
      <c r="EW88" s="1004"/>
      <c r="EX88" s="1004"/>
      <c r="EY88" s="1004"/>
      <c r="EZ88" s="1004"/>
      <c r="FA88" s="1004"/>
      <c r="FB88" s="1004"/>
      <c r="FC88" s="1004"/>
      <c r="FD88" s="1004"/>
      <c r="FE88" s="1004"/>
      <c r="FF88" s="1004"/>
      <c r="FG88" s="1004"/>
      <c r="FH88" s="1004"/>
      <c r="FI88" s="1004"/>
      <c r="FJ88" s="1004"/>
      <c r="FK88" s="1004"/>
      <c r="FL88" s="1004"/>
      <c r="FM88" s="1004"/>
      <c r="FN88" s="1004"/>
      <c r="FO88" s="1004"/>
      <c r="FP88" s="1004"/>
      <c r="FQ88" s="1004"/>
      <c r="FR88" s="1004"/>
      <c r="FS88" s="1004"/>
      <c r="FT88" s="1004"/>
      <c r="FU88" s="1004"/>
      <c r="FV88" s="1004"/>
      <c r="FW88" s="1004"/>
      <c r="FX88" s="1004"/>
      <c r="FY88" s="1004"/>
      <c r="FZ88" s="1004"/>
      <c r="GA88" s="1004"/>
      <c r="GB88" s="1004"/>
      <c r="GC88" s="1004"/>
      <c r="GD88" s="1004"/>
      <c r="GE88" s="1004"/>
      <c r="GF88" s="1004"/>
      <c r="GG88" s="1004"/>
      <c r="GH88" s="1004"/>
      <c r="GI88" s="1004"/>
      <c r="GJ88" s="1004"/>
      <c r="GK88" s="1004"/>
      <c r="GL88" s="1004"/>
      <c r="GM88" s="1004"/>
      <c r="GN88" s="1004"/>
      <c r="GO88" s="1004"/>
      <c r="GP88" s="1004"/>
      <c r="GQ88" s="1004"/>
    </row>
    <row r="89" spans="1:199" s="1005" customFormat="1">
      <c r="A89" s="999" t="s">
        <v>1084</v>
      </c>
      <c r="B89" s="1000">
        <v>7</v>
      </c>
      <c r="C89" s="1072"/>
      <c r="D89" s="1004"/>
      <c r="E89" s="1000"/>
      <c r="F89" s="1073"/>
      <c r="G89" s="1074"/>
      <c r="H89" s="1068"/>
      <c r="I89" s="1004"/>
      <c r="J89" s="1069"/>
      <c r="K89" s="1004"/>
      <c r="L89" s="1004"/>
      <c r="M89" s="1004"/>
      <c r="N89" s="1004"/>
      <c r="O89" s="1004"/>
      <c r="P89" s="1004"/>
      <c r="Q89" s="1004"/>
      <c r="R89" s="1004"/>
      <c r="S89" s="1004"/>
      <c r="T89" s="1004"/>
      <c r="U89" s="1004"/>
      <c r="V89" s="1004"/>
      <c r="W89" s="1004"/>
      <c r="X89" s="1004"/>
      <c r="Y89" s="1004"/>
      <c r="Z89" s="1004"/>
      <c r="AA89" s="1004"/>
      <c r="AB89" s="1004"/>
      <c r="AC89" s="1004"/>
      <c r="AD89" s="1004"/>
      <c r="AE89" s="1004"/>
      <c r="AF89" s="1004"/>
      <c r="AG89" s="1004"/>
      <c r="AH89" s="1004"/>
      <c r="AI89" s="1004"/>
      <c r="AJ89" s="1004"/>
      <c r="AK89" s="1004"/>
      <c r="AL89" s="1004"/>
      <c r="AM89" s="1004"/>
      <c r="AN89" s="1004"/>
      <c r="AO89" s="1004"/>
      <c r="AP89" s="1004"/>
      <c r="AQ89" s="1004"/>
      <c r="AR89" s="1004"/>
      <c r="AS89" s="1004"/>
      <c r="AT89" s="1004"/>
      <c r="AU89" s="1004"/>
      <c r="AV89" s="1004"/>
      <c r="AW89" s="1004"/>
      <c r="AX89" s="1004"/>
      <c r="AY89" s="1004"/>
      <c r="AZ89" s="1004"/>
      <c r="BA89" s="1004"/>
      <c r="BB89" s="1004"/>
      <c r="BC89" s="1004"/>
      <c r="BD89" s="1004"/>
      <c r="BE89" s="1004"/>
      <c r="BF89" s="1004"/>
      <c r="BG89" s="1004"/>
      <c r="BH89" s="1004"/>
      <c r="BI89" s="1004"/>
      <c r="BJ89" s="1004"/>
      <c r="BK89" s="1004"/>
      <c r="BL89" s="1004"/>
      <c r="BM89" s="1004"/>
      <c r="BN89" s="1004"/>
      <c r="BO89" s="1004"/>
      <c r="BP89" s="1004"/>
      <c r="BQ89" s="1004"/>
      <c r="BR89" s="1004"/>
      <c r="BS89" s="1004"/>
      <c r="BT89" s="1004"/>
      <c r="BU89" s="1004"/>
      <c r="BV89" s="1004"/>
      <c r="BW89" s="1004"/>
      <c r="BX89" s="1004"/>
      <c r="BY89" s="1004"/>
      <c r="BZ89" s="1004"/>
      <c r="CA89" s="1004"/>
      <c r="CB89" s="1004"/>
      <c r="CC89" s="1004"/>
      <c r="CD89" s="1004"/>
      <c r="CE89" s="1004"/>
      <c r="CF89" s="1004"/>
      <c r="CG89" s="1004"/>
      <c r="CH89" s="1004"/>
      <c r="CI89" s="1004"/>
      <c r="CJ89" s="1004"/>
      <c r="CK89" s="1004"/>
      <c r="CL89" s="1004"/>
      <c r="CM89" s="1004"/>
      <c r="CN89" s="1004"/>
      <c r="CO89" s="1004"/>
      <c r="CP89" s="1004"/>
      <c r="CQ89" s="1004"/>
      <c r="CR89" s="1004"/>
      <c r="CS89" s="1004"/>
      <c r="CT89" s="1004"/>
      <c r="CU89" s="1004"/>
      <c r="CV89" s="1004"/>
      <c r="CW89" s="1004"/>
      <c r="CX89" s="1004"/>
      <c r="CY89" s="1004"/>
      <c r="CZ89" s="1004"/>
      <c r="DA89" s="1004"/>
      <c r="DB89" s="1004"/>
      <c r="DC89" s="1004"/>
      <c r="DD89" s="1004"/>
      <c r="DE89" s="1004"/>
      <c r="DF89" s="1004"/>
      <c r="DG89" s="1004"/>
      <c r="DH89" s="1004"/>
      <c r="DI89" s="1004"/>
      <c r="DJ89" s="1004"/>
      <c r="DK89" s="1004"/>
      <c r="DL89" s="1004"/>
      <c r="DM89" s="1004"/>
      <c r="DN89" s="1004"/>
      <c r="DO89" s="1004"/>
      <c r="DP89" s="1004"/>
      <c r="DQ89" s="1004"/>
      <c r="DR89" s="1004"/>
      <c r="DS89" s="1004"/>
      <c r="DT89" s="1004"/>
      <c r="DU89" s="1004"/>
      <c r="DV89" s="1004"/>
      <c r="DW89" s="1004"/>
      <c r="DX89" s="1004"/>
      <c r="DY89" s="1004"/>
      <c r="DZ89" s="1004"/>
      <c r="EA89" s="1004"/>
      <c r="EB89" s="1004"/>
      <c r="EC89" s="1004"/>
      <c r="ED89" s="1004"/>
      <c r="EE89" s="1004"/>
      <c r="EF89" s="1004"/>
      <c r="EG89" s="1004"/>
      <c r="EH89" s="1004"/>
      <c r="EI89" s="1004"/>
      <c r="EJ89" s="1004"/>
      <c r="EK89" s="1004"/>
      <c r="EL89" s="1004"/>
      <c r="EM89" s="1004"/>
      <c r="EN89" s="1004"/>
      <c r="EO89" s="1004"/>
      <c r="EP89" s="1004"/>
      <c r="EQ89" s="1004"/>
      <c r="ER89" s="1004"/>
      <c r="ES89" s="1004"/>
      <c r="ET89" s="1004"/>
      <c r="EU89" s="1004"/>
      <c r="EV89" s="1004"/>
      <c r="EW89" s="1004"/>
      <c r="EX89" s="1004"/>
      <c r="EY89" s="1004"/>
      <c r="EZ89" s="1004"/>
      <c r="FA89" s="1004"/>
      <c r="FB89" s="1004"/>
      <c r="FC89" s="1004"/>
      <c r="FD89" s="1004"/>
      <c r="FE89" s="1004"/>
      <c r="FF89" s="1004"/>
      <c r="FG89" s="1004"/>
      <c r="FH89" s="1004"/>
      <c r="FI89" s="1004"/>
      <c r="FJ89" s="1004"/>
      <c r="FK89" s="1004"/>
      <c r="FL89" s="1004"/>
      <c r="FM89" s="1004"/>
      <c r="FN89" s="1004"/>
      <c r="FO89" s="1004"/>
      <c r="FP89" s="1004"/>
      <c r="FQ89" s="1004"/>
      <c r="FR89" s="1004"/>
      <c r="FS89" s="1004"/>
      <c r="FT89" s="1004"/>
      <c r="FU89" s="1004"/>
      <c r="FV89" s="1004"/>
      <c r="FW89" s="1004"/>
      <c r="FX89" s="1004"/>
      <c r="FY89" s="1004"/>
      <c r="FZ89" s="1004"/>
      <c r="GA89" s="1004"/>
      <c r="GB89" s="1004"/>
      <c r="GC89" s="1004"/>
      <c r="GD89" s="1004"/>
      <c r="GE89" s="1004"/>
      <c r="GF89" s="1004"/>
      <c r="GG89" s="1004"/>
      <c r="GH89" s="1004"/>
      <c r="GI89" s="1004"/>
      <c r="GJ89" s="1004"/>
      <c r="GK89" s="1004"/>
      <c r="GL89" s="1004"/>
      <c r="GM89" s="1004"/>
      <c r="GN89" s="1004"/>
      <c r="GO89" s="1004"/>
      <c r="GP89" s="1004"/>
      <c r="GQ89" s="1004"/>
    </row>
    <row r="90" spans="1:199" s="1005" customFormat="1">
      <c r="A90" s="999"/>
      <c r="B90" s="1000"/>
      <c r="C90" s="1072"/>
      <c r="D90" s="1004"/>
      <c r="E90" s="1000" t="s">
        <v>1340</v>
      </c>
      <c r="F90" s="1073" t="s">
        <v>1341</v>
      </c>
      <c r="G90" s="1074"/>
      <c r="H90" s="1068"/>
      <c r="I90" s="1004"/>
      <c r="J90" s="1069"/>
      <c r="K90" s="1004"/>
      <c r="L90" s="1004"/>
      <c r="M90" s="1004"/>
      <c r="N90" s="1004"/>
      <c r="O90" s="1004"/>
      <c r="P90" s="1004"/>
      <c r="Q90" s="1004"/>
      <c r="R90" s="1004"/>
      <c r="S90" s="1004"/>
      <c r="T90" s="1004"/>
      <c r="U90" s="1004"/>
      <c r="V90" s="1004"/>
      <c r="W90" s="1004"/>
      <c r="X90" s="1004"/>
      <c r="Y90" s="1004"/>
      <c r="Z90" s="1004"/>
      <c r="AA90" s="1004"/>
      <c r="AB90" s="1004"/>
      <c r="AC90" s="1004"/>
      <c r="AD90" s="1004"/>
      <c r="AE90" s="1004"/>
      <c r="AF90" s="1004"/>
      <c r="AG90" s="1004"/>
      <c r="AH90" s="1004"/>
      <c r="AI90" s="1004"/>
      <c r="AJ90" s="1004"/>
      <c r="AK90" s="1004"/>
      <c r="AL90" s="1004"/>
      <c r="AM90" s="1004"/>
      <c r="AN90" s="1004"/>
      <c r="AO90" s="1004"/>
      <c r="AP90" s="1004"/>
      <c r="AQ90" s="1004"/>
      <c r="AR90" s="1004"/>
      <c r="AS90" s="1004"/>
      <c r="AT90" s="1004"/>
      <c r="AU90" s="1004"/>
      <c r="AV90" s="1004"/>
      <c r="AW90" s="1004"/>
      <c r="AX90" s="1004"/>
      <c r="AY90" s="1004"/>
      <c r="AZ90" s="1004"/>
      <c r="BA90" s="1004"/>
      <c r="BB90" s="1004"/>
      <c r="BC90" s="1004"/>
      <c r="BD90" s="1004"/>
      <c r="BE90" s="1004"/>
      <c r="BF90" s="1004"/>
      <c r="BG90" s="1004"/>
      <c r="BH90" s="1004"/>
      <c r="BI90" s="1004"/>
      <c r="BJ90" s="1004"/>
      <c r="BK90" s="1004"/>
      <c r="BL90" s="1004"/>
      <c r="BM90" s="1004"/>
      <c r="BN90" s="1004"/>
      <c r="BO90" s="1004"/>
      <c r="BP90" s="1004"/>
      <c r="BQ90" s="1004"/>
      <c r="BR90" s="1004"/>
      <c r="BS90" s="1004"/>
      <c r="BT90" s="1004"/>
      <c r="BU90" s="1004"/>
      <c r="BV90" s="1004"/>
      <c r="BW90" s="1004"/>
      <c r="BX90" s="1004"/>
      <c r="BY90" s="1004"/>
      <c r="BZ90" s="1004"/>
      <c r="CA90" s="1004"/>
      <c r="CB90" s="1004"/>
      <c r="CC90" s="1004"/>
      <c r="CD90" s="1004"/>
      <c r="CE90" s="1004"/>
      <c r="CF90" s="1004"/>
      <c r="CG90" s="1004"/>
      <c r="CH90" s="1004"/>
      <c r="CI90" s="1004"/>
      <c r="CJ90" s="1004"/>
      <c r="CK90" s="1004"/>
      <c r="CL90" s="1004"/>
      <c r="CM90" s="1004"/>
      <c r="CN90" s="1004"/>
      <c r="CO90" s="1004"/>
      <c r="CP90" s="1004"/>
      <c r="CQ90" s="1004"/>
      <c r="CR90" s="1004"/>
      <c r="CS90" s="1004"/>
      <c r="CT90" s="1004"/>
      <c r="CU90" s="1004"/>
      <c r="CV90" s="1004"/>
      <c r="CW90" s="1004"/>
      <c r="CX90" s="1004"/>
      <c r="CY90" s="1004"/>
      <c r="CZ90" s="1004"/>
      <c r="DA90" s="1004"/>
      <c r="DB90" s="1004"/>
      <c r="DC90" s="1004"/>
      <c r="DD90" s="1004"/>
      <c r="DE90" s="1004"/>
      <c r="DF90" s="1004"/>
      <c r="DG90" s="1004"/>
      <c r="DH90" s="1004"/>
      <c r="DI90" s="1004"/>
      <c r="DJ90" s="1004"/>
      <c r="DK90" s="1004"/>
      <c r="DL90" s="1004"/>
      <c r="DM90" s="1004"/>
      <c r="DN90" s="1004"/>
      <c r="DO90" s="1004"/>
      <c r="DP90" s="1004"/>
      <c r="DQ90" s="1004"/>
      <c r="DR90" s="1004"/>
      <c r="DS90" s="1004"/>
      <c r="DT90" s="1004"/>
      <c r="DU90" s="1004"/>
      <c r="DV90" s="1004"/>
      <c r="DW90" s="1004"/>
      <c r="DX90" s="1004"/>
      <c r="DY90" s="1004"/>
      <c r="DZ90" s="1004"/>
      <c r="EA90" s="1004"/>
      <c r="EB90" s="1004"/>
      <c r="EC90" s="1004"/>
      <c r="ED90" s="1004"/>
      <c r="EE90" s="1004"/>
      <c r="EF90" s="1004"/>
      <c r="EG90" s="1004"/>
      <c r="EH90" s="1004"/>
      <c r="EI90" s="1004"/>
      <c r="EJ90" s="1004"/>
      <c r="EK90" s="1004"/>
      <c r="EL90" s="1004"/>
      <c r="EM90" s="1004"/>
      <c r="EN90" s="1004"/>
      <c r="EO90" s="1004"/>
      <c r="EP90" s="1004"/>
      <c r="EQ90" s="1004"/>
      <c r="ER90" s="1004"/>
      <c r="ES90" s="1004"/>
      <c r="ET90" s="1004"/>
      <c r="EU90" s="1004"/>
      <c r="EV90" s="1004"/>
      <c r="EW90" s="1004"/>
      <c r="EX90" s="1004"/>
      <c r="EY90" s="1004"/>
      <c r="EZ90" s="1004"/>
      <c r="FA90" s="1004"/>
      <c r="FB90" s="1004"/>
      <c r="FC90" s="1004"/>
      <c r="FD90" s="1004"/>
      <c r="FE90" s="1004"/>
      <c r="FF90" s="1004"/>
      <c r="FG90" s="1004"/>
      <c r="FH90" s="1004"/>
      <c r="FI90" s="1004"/>
      <c r="FJ90" s="1004"/>
      <c r="FK90" s="1004"/>
      <c r="FL90" s="1004"/>
      <c r="FM90" s="1004"/>
      <c r="FN90" s="1004"/>
      <c r="FO90" s="1004"/>
      <c r="FP90" s="1004"/>
      <c r="FQ90" s="1004"/>
      <c r="FR90" s="1004"/>
      <c r="FS90" s="1004"/>
      <c r="FT90" s="1004"/>
      <c r="FU90" s="1004"/>
      <c r="FV90" s="1004"/>
      <c r="FW90" s="1004"/>
      <c r="FX90" s="1004"/>
      <c r="FY90" s="1004"/>
      <c r="FZ90" s="1004"/>
      <c r="GA90" s="1004"/>
      <c r="GB90" s="1004"/>
      <c r="GC90" s="1004"/>
      <c r="GD90" s="1004"/>
      <c r="GE90" s="1004"/>
      <c r="GF90" s="1004"/>
      <c r="GG90" s="1004"/>
      <c r="GH90" s="1004"/>
      <c r="GI90" s="1004"/>
      <c r="GJ90" s="1004"/>
      <c r="GK90" s="1004"/>
      <c r="GL90" s="1004"/>
      <c r="GM90" s="1004"/>
      <c r="GN90" s="1004"/>
      <c r="GO90" s="1004"/>
      <c r="GP90" s="1004"/>
      <c r="GQ90" s="1004"/>
    </row>
    <row r="91" spans="1:199" s="1005" customFormat="1">
      <c r="A91" s="999"/>
      <c r="B91" s="1000"/>
      <c r="C91" s="1072"/>
      <c r="D91" s="1004"/>
      <c r="E91" s="1075">
        <f>SUM(G4:G81)</f>
        <v>18317</v>
      </c>
      <c r="F91" s="1073">
        <f>SUM(L4:L81)</f>
        <v>7672884</v>
      </c>
      <c r="G91" s="1074">
        <f>F91/E91</f>
        <v>418.8941420538298</v>
      </c>
      <c r="H91" s="1068"/>
      <c r="I91" s="1004"/>
      <c r="J91" s="1069"/>
      <c r="K91" s="1004"/>
      <c r="L91" s="1004"/>
      <c r="M91" s="1004"/>
      <c r="N91" s="1004"/>
      <c r="O91" s="1004"/>
      <c r="P91" s="1004"/>
      <c r="Q91" s="1004"/>
      <c r="R91" s="1004"/>
      <c r="S91" s="1004"/>
      <c r="T91" s="1004"/>
      <c r="U91" s="1004"/>
      <c r="V91" s="1004"/>
      <c r="W91" s="1004"/>
      <c r="X91" s="1004"/>
      <c r="Y91" s="1004"/>
      <c r="Z91" s="1004"/>
      <c r="AA91" s="1004"/>
      <c r="AB91" s="1004"/>
      <c r="AC91" s="1004"/>
      <c r="AD91" s="1004"/>
      <c r="AE91" s="1004"/>
      <c r="AF91" s="1004"/>
      <c r="AG91" s="1004"/>
      <c r="AH91" s="1004"/>
      <c r="AI91" s="1004"/>
      <c r="AJ91" s="1004"/>
      <c r="AK91" s="1004"/>
      <c r="AL91" s="1004"/>
      <c r="AM91" s="1004"/>
      <c r="AN91" s="1004"/>
      <c r="AO91" s="1004"/>
      <c r="AP91" s="1004"/>
      <c r="AQ91" s="1004"/>
      <c r="AR91" s="1004"/>
      <c r="AS91" s="1004"/>
      <c r="AT91" s="1004"/>
      <c r="AU91" s="1004"/>
      <c r="AV91" s="1004"/>
      <c r="AW91" s="1004"/>
      <c r="AX91" s="1004"/>
      <c r="AY91" s="1004"/>
      <c r="AZ91" s="1004"/>
      <c r="BA91" s="1004"/>
      <c r="BB91" s="1004"/>
      <c r="BC91" s="1004"/>
      <c r="BD91" s="1004"/>
      <c r="BE91" s="1004"/>
      <c r="BF91" s="1004"/>
      <c r="BG91" s="1004"/>
      <c r="BH91" s="1004"/>
      <c r="BI91" s="1004"/>
      <c r="BJ91" s="1004"/>
      <c r="BK91" s="1004"/>
      <c r="BL91" s="1004"/>
      <c r="BM91" s="1004"/>
      <c r="BN91" s="1004"/>
      <c r="BO91" s="1004"/>
      <c r="BP91" s="1004"/>
      <c r="BQ91" s="1004"/>
      <c r="BR91" s="1004"/>
      <c r="BS91" s="1004"/>
      <c r="BT91" s="1004"/>
      <c r="BU91" s="1004"/>
      <c r="BV91" s="1004"/>
      <c r="BW91" s="1004"/>
      <c r="BX91" s="1004"/>
      <c r="BY91" s="1004"/>
      <c r="BZ91" s="1004"/>
      <c r="CA91" s="1004"/>
      <c r="CB91" s="1004"/>
      <c r="CC91" s="1004"/>
      <c r="CD91" s="1004"/>
      <c r="CE91" s="1004"/>
      <c r="CF91" s="1004"/>
      <c r="CG91" s="1004"/>
      <c r="CH91" s="1004"/>
      <c r="CI91" s="1004"/>
      <c r="CJ91" s="1004"/>
      <c r="CK91" s="1004"/>
      <c r="CL91" s="1004"/>
      <c r="CM91" s="1004"/>
      <c r="CN91" s="1004"/>
      <c r="CO91" s="1004"/>
      <c r="CP91" s="1004"/>
      <c r="CQ91" s="1004"/>
      <c r="CR91" s="1004"/>
      <c r="CS91" s="1004"/>
      <c r="CT91" s="1004"/>
      <c r="CU91" s="1004"/>
      <c r="CV91" s="1004"/>
      <c r="CW91" s="1004"/>
      <c r="CX91" s="1004"/>
      <c r="CY91" s="1004"/>
      <c r="CZ91" s="1004"/>
      <c r="DA91" s="1004"/>
      <c r="DB91" s="1004"/>
      <c r="DC91" s="1004"/>
      <c r="DD91" s="1004"/>
      <c r="DE91" s="1004"/>
      <c r="DF91" s="1004"/>
      <c r="DG91" s="1004"/>
      <c r="DH91" s="1004"/>
      <c r="DI91" s="1004"/>
      <c r="DJ91" s="1004"/>
      <c r="DK91" s="1004"/>
      <c r="DL91" s="1004"/>
      <c r="DM91" s="1004"/>
      <c r="DN91" s="1004"/>
      <c r="DO91" s="1004"/>
      <c r="DP91" s="1004"/>
      <c r="DQ91" s="1004"/>
      <c r="DR91" s="1004"/>
      <c r="DS91" s="1004"/>
      <c r="DT91" s="1004"/>
      <c r="DU91" s="1004"/>
      <c r="DV91" s="1004"/>
      <c r="DW91" s="1004"/>
      <c r="DX91" s="1004"/>
      <c r="DY91" s="1004"/>
      <c r="DZ91" s="1004"/>
      <c r="EA91" s="1004"/>
      <c r="EB91" s="1004"/>
      <c r="EC91" s="1004"/>
      <c r="ED91" s="1004"/>
      <c r="EE91" s="1004"/>
      <c r="EF91" s="1004"/>
      <c r="EG91" s="1004"/>
      <c r="EH91" s="1004"/>
      <c r="EI91" s="1004"/>
      <c r="EJ91" s="1004"/>
      <c r="EK91" s="1004"/>
      <c r="EL91" s="1004"/>
      <c r="EM91" s="1004"/>
      <c r="EN91" s="1004"/>
      <c r="EO91" s="1004"/>
      <c r="EP91" s="1004"/>
      <c r="EQ91" s="1004"/>
      <c r="ER91" s="1004"/>
      <c r="ES91" s="1004"/>
      <c r="ET91" s="1004"/>
      <c r="EU91" s="1004"/>
      <c r="EV91" s="1004"/>
      <c r="EW91" s="1004"/>
      <c r="EX91" s="1004"/>
      <c r="EY91" s="1004"/>
      <c r="EZ91" s="1004"/>
      <c r="FA91" s="1004"/>
      <c r="FB91" s="1004"/>
      <c r="FC91" s="1004"/>
      <c r="FD91" s="1004"/>
      <c r="FE91" s="1004"/>
      <c r="FF91" s="1004"/>
      <c r="FG91" s="1004"/>
      <c r="FH91" s="1004"/>
      <c r="FI91" s="1004"/>
      <c r="FJ91" s="1004"/>
      <c r="FK91" s="1004"/>
      <c r="FL91" s="1004"/>
      <c r="FM91" s="1004"/>
      <c r="FN91" s="1004"/>
      <c r="FO91" s="1004"/>
      <c r="FP91" s="1004"/>
      <c r="FQ91" s="1004"/>
      <c r="FR91" s="1004"/>
      <c r="FS91" s="1004"/>
      <c r="FT91" s="1004"/>
      <c r="FU91" s="1004"/>
      <c r="FV91" s="1004"/>
      <c r="FW91" s="1004"/>
      <c r="FX91" s="1004"/>
      <c r="FY91" s="1004"/>
      <c r="FZ91" s="1004"/>
      <c r="GA91" s="1004"/>
      <c r="GB91" s="1004"/>
      <c r="GC91" s="1004"/>
      <c r="GD91" s="1004"/>
      <c r="GE91" s="1004"/>
      <c r="GF91" s="1004"/>
      <c r="GG91" s="1004"/>
      <c r="GH91" s="1004"/>
      <c r="GI91" s="1004"/>
      <c r="GJ91" s="1004"/>
      <c r="GK91" s="1004"/>
      <c r="GL91" s="1004"/>
      <c r="GM91" s="1004"/>
      <c r="GN91" s="1004"/>
      <c r="GO91" s="1004"/>
      <c r="GP91" s="1004"/>
      <c r="GQ91" s="1004"/>
    </row>
    <row r="92" spans="1:199" s="1005" customFormat="1">
      <c r="A92" s="999"/>
      <c r="B92" s="1000"/>
      <c r="C92" s="1072"/>
      <c r="D92" s="1004"/>
      <c r="E92" s="1000"/>
      <c r="F92" s="1073"/>
      <c r="G92" s="1074"/>
      <c r="H92" s="1068"/>
      <c r="I92" s="1004"/>
      <c r="J92" s="1069"/>
      <c r="K92" s="1004"/>
      <c r="L92" s="1004"/>
      <c r="M92" s="1004"/>
      <c r="N92" s="1004"/>
      <c r="O92" s="1004"/>
      <c r="P92" s="1004"/>
      <c r="Q92" s="1004"/>
      <c r="R92" s="1004"/>
      <c r="S92" s="1004"/>
      <c r="T92" s="1004"/>
      <c r="U92" s="1004"/>
      <c r="V92" s="1004"/>
      <c r="W92" s="1004"/>
      <c r="X92" s="1004"/>
      <c r="Y92" s="1004"/>
      <c r="Z92" s="1004"/>
      <c r="AA92" s="1004"/>
      <c r="AB92" s="1004"/>
      <c r="AC92" s="1004"/>
      <c r="AD92" s="1004"/>
      <c r="AE92" s="1004"/>
      <c r="AF92" s="1004"/>
      <c r="AG92" s="1004"/>
      <c r="AH92" s="1004"/>
      <c r="AI92" s="1004"/>
      <c r="AJ92" s="1004"/>
      <c r="AK92" s="1004"/>
      <c r="AL92" s="1004"/>
      <c r="AM92" s="1004"/>
      <c r="AN92" s="1004"/>
      <c r="AO92" s="1004"/>
      <c r="AP92" s="1004"/>
      <c r="AQ92" s="1004"/>
      <c r="AR92" s="1004"/>
      <c r="AS92" s="1004"/>
      <c r="AT92" s="1004"/>
      <c r="AU92" s="1004"/>
      <c r="AV92" s="1004"/>
      <c r="AW92" s="1004"/>
      <c r="AX92" s="1004"/>
      <c r="AY92" s="1004"/>
      <c r="AZ92" s="1004"/>
      <c r="BA92" s="1004"/>
      <c r="BB92" s="1004"/>
      <c r="BC92" s="1004"/>
      <c r="BD92" s="1004"/>
      <c r="BE92" s="1004"/>
      <c r="BF92" s="1004"/>
      <c r="BG92" s="1004"/>
      <c r="BH92" s="1004"/>
      <c r="BI92" s="1004"/>
      <c r="BJ92" s="1004"/>
      <c r="BK92" s="1004"/>
      <c r="BL92" s="1004"/>
      <c r="BM92" s="1004"/>
      <c r="BN92" s="1004"/>
      <c r="BO92" s="1004"/>
      <c r="BP92" s="1004"/>
      <c r="BQ92" s="1004"/>
      <c r="BR92" s="1004"/>
      <c r="BS92" s="1004"/>
      <c r="BT92" s="1004"/>
      <c r="BU92" s="1004"/>
      <c r="BV92" s="1004"/>
      <c r="BW92" s="1004"/>
      <c r="BX92" s="1004"/>
      <c r="BY92" s="1004"/>
      <c r="BZ92" s="1004"/>
      <c r="CA92" s="1004"/>
      <c r="CB92" s="1004"/>
      <c r="CC92" s="1004"/>
      <c r="CD92" s="1004"/>
      <c r="CE92" s="1004"/>
      <c r="CF92" s="1004"/>
      <c r="CG92" s="1004"/>
      <c r="CH92" s="1004"/>
      <c r="CI92" s="1004"/>
      <c r="CJ92" s="1004"/>
      <c r="CK92" s="1004"/>
      <c r="CL92" s="1004"/>
      <c r="CM92" s="1004"/>
      <c r="CN92" s="1004"/>
      <c r="CO92" s="1004"/>
      <c r="CP92" s="1004"/>
      <c r="CQ92" s="1004"/>
      <c r="CR92" s="1004"/>
      <c r="CS92" s="1004"/>
      <c r="CT92" s="1004"/>
      <c r="CU92" s="1004"/>
      <c r="CV92" s="1004"/>
      <c r="CW92" s="1004"/>
      <c r="CX92" s="1004"/>
      <c r="CY92" s="1004"/>
      <c r="CZ92" s="1004"/>
      <c r="DA92" s="1004"/>
      <c r="DB92" s="1004"/>
      <c r="DC92" s="1004"/>
      <c r="DD92" s="1004"/>
      <c r="DE92" s="1004"/>
      <c r="DF92" s="1004"/>
      <c r="DG92" s="1004"/>
      <c r="DH92" s="1004"/>
      <c r="DI92" s="1004"/>
      <c r="DJ92" s="1004"/>
      <c r="DK92" s="1004"/>
      <c r="DL92" s="1004"/>
      <c r="DM92" s="1004"/>
      <c r="DN92" s="1004"/>
      <c r="DO92" s="1004"/>
      <c r="DP92" s="1004"/>
      <c r="DQ92" s="1004"/>
      <c r="DR92" s="1004"/>
      <c r="DS92" s="1004"/>
      <c r="DT92" s="1004"/>
      <c r="DU92" s="1004"/>
      <c r="DV92" s="1004"/>
      <c r="DW92" s="1004"/>
      <c r="DX92" s="1004"/>
      <c r="DY92" s="1004"/>
      <c r="DZ92" s="1004"/>
      <c r="EA92" s="1004"/>
      <c r="EB92" s="1004"/>
      <c r="EC92" s="1004"/>
      <c r="ED92" s="1004"/>
      <c r="EE92" s="1004"/>
      <c r="EF92" s="1004"/>
      <c r="EG92" s="1004"/>
      <c r="EH92" s="1004"/>
      <c r="EI92" s="1004"/>
      <c r="EJ92" s="1004"/>
      <c r="EK92" s="1004"/>
      <c r="EL92" s="1004"/>
      <c r="EM92" s="1004"/>
      <c r="EN92" s="1004"/>
      <c r="EO92" s="1004"/>
      <c r="EP92" s="1004"/>
      <c r="EQ92" s="1004"/>
      <c r="ER92" s="1004"/>
      <c r="ES92" s="1004"/>
      <c r="ET92" s="1004"/>
      <c r="EU92" s="1004"/>
      <c r="EV92" s="1004"/>
      <c r="EW92" s="1004"/>
      <c r="EX92" s="1004"/>
      <c r="EY92" s="1004"/>
      <c r="EZ92" s="1004"/>
      <c r="FA92" s="1004"/>
      <c r="FB92" s="1004"/>
      <c r="FC92" s="1004"/>
      <c r="FD92" s="1004"/>
      <c r="FE92" s="1004"/>
      <c r="FF92" s="1004"/>
      <c r="FG92" s="1004"/>
      <c r="FH92" s="1004"/>
      <c r="FI92" s="1004"/>
      <c r="FJ92" s="1004"/>
      <c r="FK92" s="1004"/>
      <c r="FL92" s="1004"/>
      <c r="FM92" s="1004"/>
      <c r="FN92" s="1004"/>
      <c r="FO92" s="1004"/>
      <c r="FP92" s="1004"/>
      <c r="FQ92" s="1004"/>
      <c r="FR92" s="1004"/>
      <c r="FS92" s="1004"/>
      <c r="FT92" s="1004"/>
      <c r="FU92" s="1004"/>
      <c r="FV92" s="1004"/>
      <c r="FW92" s="1004"/>
      <c r="FX92" s="1004"/>
      <c r="FY92" s="1004"/>
      <c r="FZ92" s="1004"/>
      <c r="GA92" s="1004"/>
      <c r="GB92" s="1004"/>
      <c r="GC92" s="1004"/>
      <c r="GD92" s="1004"/>
      <c r="GE92" s="1004"/>
      <c r="GF92" s="1004"/>
      <c r="GG92" s="1004"/>
      <c r="GH92" s="1004"/>
      <c r="GI92" s="1004"/>
      <c r="GJ92" s="1004"/>
      <c r="GK92" s="1004"/>
      <c r="GL92" s="1004"/>
      <c r="GM92" s="1004"/>
      <c r="GN92" s="1004"/>
      <c r="GO92" s="1004"/>
      <c r="GP92" s="1004"/>
      <c r="GQ92" s="1004"/>
    </row>
    <row r="93" spans="1:199" s="1005" customFormat="1">
      <c r="A93" s="999"/>
      <c r="B93" s="1000"/>
      <c r="C93" s="1072"/>
      <c r="D93" s="1004"/>
      <c r="E93" s="1000" t="s">
        <v>1342</v>
      </c>
      <c r="F93" s="1073">
        <f>N82*12+O82*12</f>
        <v>9217668</v>
      </c>
      <c r="G93" s="1074"/>
      <c r="H93" s="1068"/>
      <c r="I93" s="1004"/>
      <c r="J93" s="1069"/>
      <c r="K93" s="1004"/>
      <c r="L93" s="1004"/>
      <c r="M93" s="1004"/>
      <c r="N93" s="1004"/>
      <c r="O93" s="1004"/>
      <c r="P93" s="1004"/>
      <c r="Q93" s="1004"/>
      <c r="R93" s="1004"/>
      <c r="S93" s="1004"/>
      <c r="T93" s="1004"/>
      <c r="U93" s="1004"/>
      <c r="V93" s="1004"/>
      <c r="W93" s="1004"/>
      <c r="X93" s="1004"/>
      <c r="Y93" s="1004"/>
      <c r="Z93" s="1004"/>
      <c r="AA93" s="1004"/>
      <c r="AB93" s="1004"/>
      <c r="AC93" s="1004"/>
      <c r="AD93" s="1004"/>
      <c r="AE93" s="1004"/>
      <c r="AF93" s="1004"/>
      <c r="AG93" s="1004"/>
      <c r="AH93" s="1004"/>
      <c r="AI93" s="1004"/>
      <c r="AJ93" s="1004"/>
      <c r="AK93" s="1004"/>
      <c r="AL93" s="1004"/>
      <c r="AM93" s="1004"/>
      <c r="AN93" s="1004"/>
      <c r="AO93" s="1004"/>
      <c r="AP93" s="1004"/>
      <c r="AQ93" s="1004"/>
      <c r="AR93" s="1004"/>
      <c r="AS93" s="1004"/>
      <c r="AT93" s="1004"/>
      <c r="AU93" s="1004"/>
      <c r="AV93" s="1004"/>
      <c r="AW93" s="1004"/>
      <c r="AX93" s="1004"/>
      <c r="AY93" s="1004"/>
      <c r="AZ93" s="1004"/>
      <c r="BA93" s="1004"/>
      <c r="BB93" s="1004"/>
      <c r="BC93" s="1004"/>
      <c r="BD93" s="1004"/>
      <c r="BE93" s="1004"/>
      <c r="BF93" s="1004"/>
      <c r="BG93" s="1004"/>
      <c r="BH93" s="1004"/>
      <c r="BI93" s="1004"/>
      <c r="BJ93" s="1004"/>
      <c r="BK93" s="1004"/>
      <c r="BL93" s="1004"/>
      <c r="BM93" s="1004"/>
      <c r="BN93" s="1004"/>
      <c r="BO93" s="1004"/>
      <c r="BP93" s="1004"/>
      <c r="BQ93" s="1004"/>
      <c r="BR93" s="1004"/>
      <c r="BS93" s="1004"/>
      <c r="BT93" s="1004"/>
      <c r="BU93" s="1004"/>
      <c r="BV93" s="1004"/>
      <c r="BW93" s="1004"/>
      <c r="BX93" s="1004"/>
      <c r="BY93" s="1004"/>
      <c r="BZ93" s="1004"/>
      <c r="CA93" s="1004"/>
      <c r="CB93" s="1004"/>
      <c r="CC93" s="1004"/>
      <c r="CD93" s="1004"/>
      <c r="CE93" s="1004"/>
      <c r="CF93" s="1004"/>
      <c r="CG93" s="1004"/>
      <c r="CH93" s="1004"/>
      <c r="CI93" s="1004"/>
      <c r="CJ93" s="1004"/>
      <c r="CK93" s="1004"/>
      <c r="CL93" s="1004"/>
      <c r="CM93" s="1004"/>
      <c r="CN93" s="1004"/>
      <c r="CO93" s="1004"/>
      <c r="CP93" s="1004"/>
      <c r="CQ93" s="1004"/>
      <c r="CR93" s="1004"/>
      <c r="CS93" s="1004"/>
      <c r="CT93" s="1004"/>
      <c r="CU93" s="1004"/>
      <c r="CV93" s="1004"/>
      <c r="CW93" s="1004"/>
      <c r="CX93" s="1004"/>
      <c r="CY93" s="1004"/>
      <c r="CZ93" s="1004"/>
      <c r="DA93" s="1004"/>
      <c r="DB93" s="1004"/>
      <c r="DC93" s="1004"/>
      <c r="DD93" s="1004"/>
      <c r="DE93" s="1004"/>
      <c r="DF93" s="1004"/>
      <c r="DG93" s="1004"/>
      <c r="DH93" s="1004"/>
      <c r="DI93" s="1004"/>
      <c r="DJ93" s="1004"/>
      <c r="DK93" s="1004"/>
      <c r="DL93" s="1004"/>
      <c r="DM93" s="1004"/>
      <c r="DN93" s="1004"/>
      <c r="DO93" s="1004"/>
      <c r="DP93" s="1004"/>
      <c r="DQ93" s="1004"/>
      <c r="DR93" s="1004"/>
      <c r="DS93" s="1004"/>
      <c r="DT93" s="1004"/>
      <c r="DU93" s="1004"/>
      <c r="DV93" s="1004"/>
      <c r="DW93" s="1004"/>
      <c r="DX93" s="1004"/>
      <c r="DY93" s="1004"/>
      <c r="DZ93" s="1004"/>
      <c r="EA93" s="1004"/>
      <c r="EB93" s="1004"/>
      <c r="EC93" s="1004"/>
      <c r="ED93" s="1004"/>
      <c r="EE93" s="1004"/>
      <c r="EF93" s="1004"/>
      <c r="EG93" s="1004"/>
      <c r="EH93" s="1004"/>
      <c r="EI93" s="1004"/>
      <c r="EJ93" s="1004"/>
      <c r="EK93" s="1004"/>
      <c r="EL93" s="1004"/>
      <c r="EM93" s="1004"/>
      <c r="EN93" s="1004"/>
      <c r="EO93" s="1004"/>
      <c r="EP93" s="1004"/>
      <c r="EQ93" s="1004"/>
      <c r="ER93" s="1004"/>
      <c r="ES93" s="1004"/>
      <c r="ET93" s="1004"/>
      <c r="EU93" s="1004"/>
      <c r="EV93" s="1004"/>
      <c r="EW93" s="1004"/>
      <c r="EX93" s="1004"/>
      <c r="EY93" s="1004"/>
      <c r="EZ93" s="1004"/>
      <c r="FA93" s="1004"/>
      <c r="FB93" s="1004"/>
      <c r="FC93" s="1004"/>
      <c r="FD93" s="1004"/>
      <c r="FE93" s="1004"/>
      <c r="FF93" s="1004"/>
      <c r="FG93" s="1004"/>
      <c r="FH93" s="1004"/>
      <c r="FI93" s="1004"/>
      <c r="FJ93" s="1004"/>
      <c r="FK93" s="1004"/>
      <c r="FL93" s="1004"/>
      <c r="FM93" s="1004"/>
      <c r="FN93" s="1004"/>
      <c r="FO93" s="1004"/>
      <c r="FP93" s="1004"/>
      <c r="FQ93" s="1004"/>
      <c r="FR93" s="1004"/>
      <c r="FS93" s="1004"/>
      <c r="FT93" s="1004"/>
      <c r="FU93" s="1004"/>
      <c r="FV93" s="1004"/>
      <c r="FW93" s="1004"/>
      <c r="FX93" s="1004"/>
      <c r="FY93" s="1004"/>
      <c r="FZ93" s="1004"/>
      <c r="GA93" s="1004"/>
      <c r="GB93" s="1004"/>
      <c r="GC93" s="1004"/>
      <c r="GD93" s="1004"/>
      <c r="GE93" s="1004"/>
      <c r="GF93" s="1004"/>
      <c r="GG93" s="1004"/>
      <c r="GH93" s="1004"/>
      <c r="GI93" s="1004"/>
      <c r="GJ93" s="1004"/>
      <c r="GK93" s="1004"/>
      <c r="GL93" s="1004"/>
      <c r="GM93" s="1004"/>
      <c r="GN93" s="1004"/>
      <c r="GO93" s="1004"/>
      <c r="GP93" s="1004"/>
      <c r="GQ93" s="1004"/>
    </row>
  </sheetData>
  <mergeCells count="14">
    <mergeCell ref="N2:O2"/>
    <mergeCell ref="B4:B13"/>
    <mergeCell ref="B14:B29"/>
    <mergeCell ref="B30:B47"/>
    <mergeCell ref="B48:B65"/>
    <mergeCell ref="B74:B81"/>
    <mergeCell ref="A1:M1"/>
    <mergeCell ref="A2:A3"/>
    <mergeCell ref="B2:B3"/>
    <mergeCell ref="C2:C3"/>
    <mergeCell ref="D2:D3"/>
    <mergeCell ref="E2:I2"/>
    <mergeCell ref="J2:J3"/>
    <mergeCell ref="K2:M2"/>
  </mergeCells>
  <phoneticPr fontId="89" type="noConversion"/>
  <pageMargins left="0.7" right="0.7" top="0.75" bottom="0.75" header="0.3" footer="0.3"/>
  <pageSetup paperSize="9" scale="6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51"/>
  </sheetPr>
  <dimension ref="A1:Y50"/>
  <sheetViews>
    <sheetView view="pageBreakPreview" topLeftCell="A19" workbookViewId="0">
      <selection activeCell="N28" sqref="N28"/>
    </sheetView>
  </sheetViews>
  <sheetFormatPr defaultColWidth="9" defaultRowHeight="13.5"/>
  <cols>
    <col min="1" max="1" width="7.5" customWidth="1"/>
  </cols>
  <sheetData>
    <row r="1" spans="1:25" ht="14.25">
      <c r="A1" s="1207" t="s">
        <v>195</v>
      </c>
      <c r="B1" s="1208"/>
      <c r="C1" s="1208"/>
      <c r="D1" s="1208"/>
      <c r="E1" s="1208"/>
      <c r="F1" s="1208"/>
      <c r="G1" s="1208"/>
      <c r="H1" s="1208"/>
      <c r="I1" s="1208"/>
      <c r="J1" s="1208"/>
      <c r="K1" s="1208"/>
      <c r="L1" s="1208"/>
      <c r="M1" s="1208"/>
      <c r="N1" s="1208"/>
      <c r="O1" s="1208"/>
      <c r="P1" s="1208"/>
      <c r="Q1" s="1208"/>
      <c r="R1" s="1208"/>
      <c r="S1" s="1208"/>
      <c r="T1" s="1208"/>
      <c r="U1" s="1208"/>
      <c r="V1" s="1208"/>
      <c r="W1" s="1208"/>
      <c r="X1" s="1208"/>
      <c r="Y1" s="1209"/>
    </row>
    <row r="2" spans="1:25">
      <c r="A2" s="1210" t="s">
        <v>196</v>
      </c>
      <c r="B2" s="1210"/>
      <c r="C2" s="1210"/>
      <c r="D2" s="1210"/>
      <c r="E2" s="1210"/>
      <c r="F2" s="1210"/>
      <c r="G2" s="1210"/>
      <c r="H2" s="1210"/>
      <c r="I2" s="1210"/>
      <c r="J2" s="1210"/>
      <c r="K2" s="1221"/>
      <c r="L2" s="1210" t="s">
        <v>197</v>
      </c>
      <c r="M2" s="1210"/>
      <c r="N2" s="1210"/>
      <c r="O2" s="1210"/>
      <c r="P2" s="1210"/>
      <c r="Q2" s="1210"/>
      <c r="R2" s="1210"/>
      <c r="S2" s="1210"/>
      <c r="T2" s="1221"/>
      <c r="U2" s="1211" t="s">
        <v>198</v>
      </c>
      <c r="V2" s="1210"/>
      <c r="W2" s="1210"/>
      <c r="X2" s="1210"/>
      <c r="Y2" s="1212"/>
    </row>
    <row r="3" spans="1:25">
      <c r="A3" s="1215" t="s">
        <v>199</v>
      </c>
      <c r="B3" s="1216"/>
      <c r="C3" s="1213" t="s">
        <v>200</v>
      </c>
      <c r="D3" s="1214"/>
      <c r="E3" s="1213" t="s">
        <v>201</v>
      </c>
      <c r="F3" s="1214"/>
      <c r="G3" s="1213" t="s">
        <v>202</v>
      </c>
      <c r="H3" s="1214"/>
      <c r="I3" s="1213" t="s">
        <v>203</v>
      </c>
      <c r="J3" s="1214"/>
      <c r="K3" s="1222"/>
      <c r="L3" s="1215" t="s">
        <v>199</v>
      </c>
      <c r="M3" s="1216"/>
      <c r="N3" s="1215" t="str">
        <f>E3</f>
        <v>案例A</v>
      </c>
      <c r="O3" s="1216"/>
      <c r="P3" s="1215" t="str">
        <f>G3</f>
        <v>案例B</v>
      </c>
      <c r="Q3" s="1216"/>
      <c r="R3" s="1215" t="str">
        <f>I3</f>
        <v>案例C</v>
      </c>
      <c r="S3" s="1216"/>
      <c r="T3" s="1222"/>
      <c r="U3" s="1215" t="s">
        <v>199</v>
      </c>
      <c r="V3" s="1216"/>
      <c r="W3" s="1219" t="str">
        <f>N3</f>
        <v>案例A</v>
      </c>
      <c r="X3" s="1219" t="str">
        <f>P3</f>
        <v>案例B</v>
      </c>
      <c r="Y3" s="1219" t="str">
        <f>R3</f>
        <v>案例C</v>
      </c>
    </row>
    <row r="4" spans="1:25">
      <c r="A4" s="1217"/>
      <c r="B4" s="1218"/>
      <c r="C4" s="1213" t="s">
        <v>204</v>
      </c>
      <c r="D4" s="1214"/>
      <c r="E4" s="1213" t="s">
        <v>205</v>
      </c>
      <c r="F4" s="1214"/>
      <c r="G4" s="1213" t="s">
        <v>206</v>
      </c>
      <c r="H4" s="1214"/>
      <c r="I4" s="1213" t="s">
        <v>207</v>
      </c>
      <c r="J4" s="1214"/>
      <c r="K4" s="1222"/>
      <c r="L4" s="1217"/>
      <c r="M4" s="1218"/>
      <c r="N4" s="1227"/>
      <c r="O4" s="1228"/>
      <c r="P4" s="1217"/>
      <c r="Q4" s="1218"/>
      <c r="R4" s="1217"/>
      <c r="S4" s="1218"/>
      <c r="T4" s="1222"/>
      <c r="U4" s="1217"/>
      <c r="V4" s="1218"/>
      <c r="W4" s="1220"/>
      <c r="X4" s="1220"/>
      <c r="Y4" s="1220"/>
    </row>
    <row r="5" spans="1:25">
      <c r="A5" s="1205" t="s">
        <v>208</v>
      </c>
      <c r="B5" s="1234"/>
      <c r="C5" s="116" t="s">
        <v>209</v>
      </c>
      <c r="D5" s="117">
        <v>100</v>
      </c>
      <c r="E5" s="116" t="s">
        <v>209</v>
      </c>
      <c r="F5" s="117">
        <v>100</v>
      </c>
      <c r="G5" s="116" t="s">
        <v>209</v>
      </c>
      <c r="H5" s="117">
        <v>100</v>
      </c>
      <c r="I5" s="116" t="s">
        <v>209</v>
      </c>
      <c r="J5" s="117">
        <v>100</v>
      </c>
      <c r="K5" s="1222"/>
      <c r="L5" s="1205" t="str">
        <f>A5</f>
        <v>交易时间</v>
      </c>
      <c r="M5" s="1206"/>
      <c r="N5" s="135" t="s">
        <v>210</v>
      </c>
      <c r="O5" s="136">
        <f>F5</f>
        <v>100</v>
      </c>
      <c r="P5" s="135" t="s">
        <v>210</v>
      </c>
      <c r="Q5" s="136">
        <f>H5</f>
        <v>100</v>
      </c>
      <c r="R5" s="135" t="s">
        <v>210</v>
      </c>
      <c r="S5" s="136">
        <f>J5</f>
        <v>100</v>
      </c>
      <c r="T5" s="1222"/>
      <c r="U5" s="1205" t="str">
        <f>L5</f>
        <v>交易时间</v>
      </c>
      <c r="V5" s="1234"/>
      <c r="W5" s="117">
        <f>D5/F5</f>
        <v>1</v>
      </c>
      <c r="X5" s="117">
        <f>D5/H5</f>
        <v>1</v>
      </c>
      <c r="Y5" s="117">
        <f>D5/J5</f>
        <v>1</v>
      </c>
    </row>
    <row r="6" spans="1:25">
      <c r="A6" s="1205" t="s">
        <v>211</v>
      </c>
      <c r="B6" s="1234"/>
      <c r="C6" s="116" t="s">
        <v>212</v>
      </c>
      <c r="D6" s="117">
        <v>100</v>
      </c>
      <c r="E6" s="116" t="s">
        <v>212</v>
      </c>
      <c r="F6" s="117">
        <v>100</v>
      </c>
      <c r="G6" s="116" t="s">
        <v>212</v>
      </c>
      <c r="H6" s="117">
        <v>100</v>
      </c>
      <c r="I6" s="116" t="s">
        <v>212</v>
      </c>
      <c r="J6" s="117">
        <v>100</v>
      </c>
      <c r="K6" s="1222"/>
      <c r="L6" s="1205" t="str">
        <f>A6</f>
        <v>交易情况</v>
      </c>
      <c r="M6" s="1206"/>
      <c r="N6" s="135" t="s">
        <v>210</v>
      </c>
      <c r="O6" s="136">
        <f>F6</f>
        <v>100</v>
      </c>
      <c r="P6" s="135" t="s">
        <v>210</v>
      </c>
      <c r="Q6" s="136">
        <f>H6</f>
        <v>100</v>
      </c>
      <c r="R6" s="135" t="s">
        <v>210</v>
      </c>
      <c r="S6" s="136">
        <f>J6</f>
        <v>100</v>
      </c>
      <c r="T6" s="1222"/>
      <c r="U6" s="1205" t="str">
        <f>L6</f>
        <v>交易情况</v>
      </c>
      <c r="V6" s="1234"/>
      <c r="W6" s="117">
        <f>D6/F6</f>
        <v>1</v>
      </c>
      <c r="X6" s="117">
        <f>D6/H6</f>
        <v>1</v>
      </c>
      <c r="Y6" s="117">
        <f>D6/J6</f>
        <v>1</v>
      </c>
    </row>
    <row r="7" spans="1:25">
      <c r="A7" s="1247" t="s">
        <v>213</v>
      </c>
      <c r="B7" s="720" t="s">
        <v>214</v>
      </c>
      <c r="C7" s="119" t="s">
        <v>215</v>
      </c>
      <c r="D7" s="117">
        <v>100</v>
      </c>
      <c r="E7" s="119" t="s">
        <v>215</v>
      </c>
      <c r="F7" s="117">
        <v>100</v>
      </c>
      <c r="G7" s="119" t="s">
        <v>215</v>
      </c>
      <c r="H7" s="117">
        <v>100</v>
      </c>
      <c r="I7" s="119" t="s">
        <v>215</v>
      </c>
      <c r="J7" s="117">
        <v>100</v>
      </c>
      <c r="K7" s="1222"/>
      <c r="L7" s="1225" t="str">
        <f>A7</f>
        <v>权益状况</v>
      </c>
      <c r="M7" s="732" t="str">
        <f>B7</f>
        <v>土地用途</v>
      </c>
      <c r="N7" s="135" t="s">
        <v>210</v>
      </c>
      <c r="O7" s="136">
        <f>F7</f>
        <v>100</v>
      </c>
      <c r="P7" s="135" t="s">
        <v>210</v>
      </c>
      <c r="Q7" s="136">
        <f>H7</f>
        <v>100</v>
      </c>
      <c r="R7" s="135" t="s">
        <v>210</v>
      </c>
      <c r="S7" s="136">
        <f>J7</f>
        <v>100</v>
      </c>
      <c r="T7" s="1222"/>
      <c r="U7" s="1225" t="str">
        <f>L7</f>
        <v>权益状况</v>
      </c>
      <c r="V7" s="732" t="str">
        <f>M7</f>
        <v>土地用途</v>
      </c>
      <c r="W7" s="117">
        <f>D7/F7</f>
        <v>1</v>
      </c>
      <c r="X7" s="117">
        <f>D7/H7</f>
        <v>1</v>
      </c>
      <c r="Y7" s="117">
        <f>D7/J7</f>
        <v>1</v>
      </c>
    </row>
    <row r="8" spans="1:25" s="114" customFormat="1">
      <c r="A8" s="1248"/>
      <c r="B8" s="721" t="s">
        <v>216</v>
      </c>
      <c r="C8" s="121" t="s">
        <v>217</v>
      </c>
      <c r="D8" s="122">
        <v>100</v>
      </c>
      <c r="E8" s="121" t="s">
        <v>218</v>
      </c>
      <c r="F8" s="122">
        <v>102</v>
      </c>
      <c r="G8" s="121" t="s">
        <v>218</v>
      </c>
      <c r="H8" s="122">
        <v>102</v>
      </c>
      <c r="I8" s="121" t="s">
        <v>218</v>
      </c>
      <c r="J8" s="122">
        <v>102</v>
      </c>
      <c r="K8" s="1222"/>
      <c r="L8" s="1226"/>
      <c r="M8" s="733" t="str">
        <f>B8</f>
        <v>土地使用年限</v>
      </c>
      <c r="N8" s="139" t="s">
        <v>210</v>
      </c>
      <c r="O8" s="140">
        <f t="shared" ref="O8:O21" si="0">F8</f>
        <v>102</v>
      </c>
      <c r="P8" s="139" t="s">
        <v>210</v>
      </c>
      <c r="Q8" s="140">
        <f t="shared" ref="Q8:Q21" si="1">H8</f>
        <v>102</v>
      </c>
      <c r="R8" s="139" t="s">
        <v>210</v>
      </c>
      <c r="S8" s="140">
        <f t="shared" ref="S8:S21" si="2">J8</f>
        <v>102</v>
      </c>
      <c r="T8" s="1222"/>
      <c r="U8" s="1226"/>
      <c r="V8" s="733" t="str">
        <f t="shared" ref="V8:V21" si="3">M8</f>
        <v>土地使用年限</v>
      </c>
      <c r="W8" s="122">
        <f>D8/F8</f>
        <v>0.98039215686274506</v>
      </c>
      <c r="X8" s="122">
        <f>D8/H8</f>
        <v>0.98039215686274506</v>
      </c>
      <c r="Y8" s="122">
        <f>D8/J8</f>
        <v>0.98039215686274506</v>
      </c>
    </row>
    <row r="9" spans="1:25">
      <c r="A9" s="1249" t="s">
        <v>219</v>
      </c>
      <c r="B9" s="722" t="s">
        <v>220</v>
      </c>
      <c r="C9" s="119" t="s">
        <v>221</v>
      </c>
      <c r="D9" s="117">
        <v>100</v>
      </c>
      <c r="E9" s="119" t="s">
        <v>221</v>
      </c>
      <c r="F9" s="117">
        <v>100</v>
      </c>
      <c r="G9" s="119" t="s">
        <v>221</v>
      </c>
      <c r="H9" s="117">
        <v>100</v>
      </c>
      <c r="I9" s="119" t="s">
        <v>221</v>
      </c>
      <c r="J9" s="117">
        <v>100</v>
      </c>
      <c r="K9" s="1222"/>
      <c r="L9" s="1229" t="str">
        <f>A9</f>
        <v>区位状况</v>
      </c>
      <c r="M9" s="732" t="str">
        <f t="shared" ref="M9:M21" si="4">B9</f>
        <v>土地级别</v>
      </c>
      <c r="N9" s="135" t="s">
        <v>210</v>
      </c>
      <c r="O9" s="136">
        <f t="shared" si="0"/>
        <v>100</v>
      </c>
      <c r="P9" s="135" t="s">
        <v>210</v>
      </c>
      <c r="Q9" s="136">
        <f t="shared" si="1"/>
        <v>100</v>
      </c>
      <c r="R9" s="135" t="s">
        <v>210</v>
      </c>
      <c r="S9" s="136">
        <f t="shared" si="2"/>
        <v>100</v>
      </c>
      <c r="T9" s="1222"/>
      <c r="U9" s="1229" t="str">
        <f>A9</f>
        <v>区位状况</v>
      </c>
      <c r="V9" s="732" t="str">
        <f t="shared" si="3"/>
        <v>土地级别</v>
      </c>
      <c r="W9" s="117">
        <f t="shared" ref="W9:W15" si="5">D9/F9</f>
        <v>1</v>
      </c>
      <c r="X9" s="117">
        <f t="shared" ref="X9:X15" si="6">D9/H9</f>
        <v>1</v>
      </c>
      <c r="Y9" s="117">
        <f t="shared" ref="Y9:Y15" si="7">D9/J9</f>
        <v>1</v>
      </c>
    </row>
    <row r="10" spans="1:25">
      <c r="A10" s="1250"/>
      <c r="B10" s="723" t="s">
        <v>222</v>
      </c>
      <c r="C10" s="119" t="s">
        <v>223</v>
      </c>
      <c r="D10" s="117">
        <v>100</v>
      </c>
      <c r="E10" s="119" t="s">
        <v>223</v>
      </c>
      <c r="F10" s="117">
        <v>100</v>
      </c>
      <c r="G10" s="119" t="s">
        <v>223</v>
      </c>
      <c r="H10" s="117">
        <v>100</v>
      </c>
      <c r="I10" s="119" t="s">
        <v>223</v>
      </c>
      <c r="J10" s="117">
        <v>100</v>
      </c>
      <c r="K10" s="1222"/>
      <c r="L10" s="1230"/>
      <c r="M10" s="732" t="str">
        <f t="shared" si="4"/>
        <v>居住社区成熟度</v>
      </c>
      <c r="N10" s="135" t="s">
        <v>210</v>
      </c>
      <c r="O10" s="136">
        <f t="shared" si="0"/>
        <v>100</v>
      </c>
      <c r="P10" s="135" t="s">
        <v>210</v>
      </c>
      <c r="Q10" s="136">
        <f t="shared" si="1"/>
        <v>100</v>
      </c>
      <c r="R10" s="135" t="s">
        <v>210</v>
      </c>
      <c r="S10" s="136">
        <f t="shared" si="2"/>
        <v>100</v>
      </c>
      <c r="T10" s="1222"/>
      <c r="U10" s="1230"/>
      <c r="V10" s="732" t="str">
        <f t="shared" si="3"/>
        <v>居住社区成熟度</v>
      </c>
      <c r="W10" s="117">
        <f t="shared" si="5"/>
        <v>1</v>
      </c>
      <c r="X10" s="117">
        <f t="shared" si="6"/>
        <v>1</v>
      </c>
      <c r="Y10" s="117">
        <f t="shared" si="7"/>
        <v>1</v>
      </c>
    </row>
    <row r="11" spans="1:25">
      <c r="A11" s="1250"/>
      <c r="B11" s="723" t="s">
        <v>224</v>
      </c>
      <c r="C11" s="119" t="s">
        <v>223</v>
      </c>
      <c r="D11" s="117">
        <v>100</v>
      </c>
      <c r="E11" s="119" t="s">
        <v>223</v>
      </c>
      <c r="F11" s="117">
        <v>100</v>
      </c>
      <c r="G11" s="119" t="s">
        <v>223</v>
      </c>
      <c r="H11" s="117">
        <v>100</v>
      </c>
      <c r="I11" s="119" t="s">
        <v>223</v>
      </c>
      <c r="J11" s="117">
        <v>100</v>
      </c>
      <c r="K11" s="1222"/>
      <c r="L11" s="1230"/>
      <c r="M11" s="732" t="str">
        <f t="shared" si="4"/>
        <v>交通便捷度</v>
      </c>
      <c r="N11" s="135" t="s">
        <v>210</v>
      </c>
      <c r="O11" s="136">
        <f t="shared" si="0"/>
        <v>100</v>
      </c>
      <c r="P11" s="135" t="s">
        <v>210</v>
      </c>
      <c r="Q11" s="136">
        <f t="shared" si="1"/>
        <v>100</v>
      </c>
      <c r="R11" s="135" t="s">
        <v>210</v>
      </c>
      <c r="S11" s="136">
        <f t="shared" si="2"/>
        <v>100</v>
      </c>
      <c r="T11" s="1222"/>
      <c r="U11" s="1230"/>
      <c r="V11" s="732" t="str">
        <f t="shared" si="3"/>
        <v>交通便捷度</v>
      </c>
      <c r="W11" s="117">
        <f t="shared" si="5"/>
        <v>1</v>
      </c>
      <c r="X11" s="117">
        <f t="shared" si="6"/>
        <v>1</v>
      </c>
      <c r="Y11" s="117">
        <f t="shared" si="7"/>
        <v>1</v>
      </c>
    </row>
    <row r="12" spans="1:25" s="114" customFormat="1">
      <c r="A12" s="1250"/>
      <c r="B12" s="724" t="s">
        <v>225</v>
      </c>
      <c r="C12" s="121" t="s">
        <v>226</v>
      </c>
      <c r="D12" s="122">
        <v>100</v>
      </c>
      <c r="E12" s="121" t="s">
        <v>226</v>
      </c>
      <c r="F12" s="122">
        <v>100</v>
      </c>
      <c r="G12" s="121" t="s">
        <v>227</v>
      </c>
      <c r="H12" s="122">
        <v>102</v>
      </c>
      <c r="I12" s="121" t="s">
        <v>226</v>
      </c>
      <c r="J12" s="122">
        <v>100</v>
      </c>
      <c r="K12" s="1222"/>
      <c r="L12" s="1230"/>
      <c r="M12" s="733" t="str">
        <f t="shared" si="4"/>
        <v>临路状况</v>
      </c>
      <c r="N12" s="139" t="s">
        <v>210</v>
      </c>
      <c r="O12" s="140">
        <f t="shared" si="0"/>
        <v>100</v>
      </c>
      <c r="P12" s="139" t="s">
        <v>210</v>
      </c>
      <c r="Q12" s="140">
        <f t="shared" si="1"/>
        <v>102</v>
      </c>
      <c r="R12" s="139" t="s">
        <v>210</v>
      </c>
      <c r="S12" s="140">
        <f t="shared" si="2"/>
        <v>100</v>
      </c>
      <c r="T12" s="1222"/>
      <c r="U12" s="1230"/>
      <c r="V12" s="733" t="str">
        <f t="shared" si="3"/>
        <v>临路状况</v>
      </c>
      <c r="W12" s="122">
        <f t="shared" si="5"/>
        <v>1</v>
      </c>
      <c r="X12" s="122">
        <f t="shared" si="6"/>
        <v>0.98039215686274506</v>
      </c>
      <c r="Y12" s="122">
        <f t="shared" si="7"/>
        <v>1</v>
      </c>
    </row>
    <row r="13" spans="1:25">
      <c r="A13" s="1250"/>
      <c r="B13" s="723" t="s">
        <v>228</v>
      </c>
      <c r="C13" s="119" t="s">
        <v>223</v>
      </c>
      <c r="D13" s="117">
        <v>100</v>
      </c>
      <c r="E13" s="119" t="s">
        <v>223</v>
      </c>
      <c r="F13" s="117">
        <v>100</v>
      </c>
      <c r="G13" s="119" t="s">
        <v>223</v>
      </c>
      <c r="H13" s="117">
        <v>100</v>
      </c>
      <c r="I13" s="119" t="s">
        <v>223</v>
      </c>
      <c r="J13" s="117">
        <v>100</v>
      </c>
      <c r="K13" s="1222"/>
      <c r="L13" s="1230"/>
      <c r="M13" s="732" t="str">
        <f t="shared" si="4"/>
        <v>自然及人文环境</v>
      </c>
      <c r="N13" s="135" t="s">
        <v>210</v>
      </c>
      <c r="O13" s="136">
        <f t="shared" si="0"/>
        <v>100</v>
      </c>
      <c r="P13" s="135" t="s">
        <v>210</v>
      </c>
      <c r="Q13" s="136">
        <f t="shared" si="1"/>
        <v>100</v>
      </c>
      <c r="R13" s="135" t="s">
        <v>210</v>
      </c>
      <c r="S13" s="136">
        <f t="shared" si="2"/>
        <v>100</v>
      </c>
      <c r="T13" s="1222"/>
      <c r="U13" s="1230"/>
      <c r="V13" s="732" t="str">
        <f t="shared" si="3"/>
        <v>自然及人文环境</v>
      </c>
      <c r="W13" s="117">
        <f t="shared" si="5"/>
        <v>1</v>
      </c>
      <c r="X13" s="117">
        <f t="shared" si="6"/>
        <v>1</v>
      </c>
      <c r="Y13" s="117">
        <f t="shared" si="7"/>
        <v>1</v>
      </c>
    </row>
    <row r="14" spans="1:25">
      <c r="A14" s="1251"/>
      <c r="B14" s="723" t="s">
        <v>229</v>
      </c>
      <c r="C14" s="119" t="s">
        <v>223</v>
      </c>
      <c r="D14" s="117">
        <v>100</v>
      </c>
      <c r="E14" s="119" t="s">
        <v>223</v>
      </c>
      <c r="F14" s="117">
        <v>100</v>
      </c>
      <c r="G14" s="119" t="s">
        <v>223</v>
      </c>
      <c r="H14" s="117">
        <v>100</v>
      </c>
      <c r="I14" s="119" t="s">
        <v>223</v>
      </c>
      <c r="J14" s="117">
        <v>100</v>
      </c>
      <c r="K14" s="1222"/>
      <c r="L14" s="1231"/>
      <c r="M14" s="732" t="str">
        <f t="shared" si="4"/>
        <v>基础设施情况及公共服务设施状况</v>
      </c>
      <c r="N14" s="135" t="s">
        <v>210</v>
      </c>
      <c r="O14" s="136">
        <f t="shared" si="0"/>
        <v>100</v>
      </c>
      <c r="P14" s="135" t="s">
        <v>210</v>
      </c>
      <c r="Q14" s="136">
        <f t="shared" si="1"/>
        <v>100</v>
      </c>
      <c r="R14" s="135" t="s">
        <v>210</v>
      </c>
      <c r="S14" s="136">
        <f t="shared" si="2"/>
        <v>100</v>
      </c>
      <c r="T14" s="1222"/>
      <c r="U14" s="1231"/>
      <c r="V14" s="732" t="str">
        <f t="shared" si="3"/>
        <v>基础设施情况及公共服务设施状况</v>
      </c>
      <c r="W14" s="117">
        <f t="shared" si="5"/>
        <v>1</v>
      </c>
      <c r="X14" s="117">
        <f t="shared" si="6"/>
        <v>1</v>
      </c>
      <c r="Y14" s="117">
        <f t="shared" si="7"/>
        <v>1</v>
      </c>
    </row>
    <row r="15" spans="1:25">
      <c r="A15" s="1252" t="s">
        <v>230</v>
      </c>
      <c r="B15" s="723" t="s">
        <v>231</v>
      </c>
      <c r="C15" s="130" t="s">
        <v>232</v>
      </c>
      <c r="D15" s="117">
        <v>100</v>
      </c>
      <c r="E15" s="130" t="s">
        <v>232</v>
      </c>
      <c r="F15" s="117">
        <v>100</v>
      </c>
      <c r="G15" s="130" t="s">
        <v>232</v>
      </c>
      <c r="H15" s="117">
        <v>100</v>
      </c>
      <c r="I15" s="130" t="s">
        <v>232</v>
      </c>
      <c r="J15" s="117">
        <v>100</v>
      </c>
      <c r="K15" s="1222"/>
      <c r="L15" s="1229" t="str">
        <f>A15</f>
        <v>实物状况</v>
      </c>
      <c r="M15" s="732" t="str">
        <f t="shared" si="4"/>
        <v>建筑物结构</v>
      </c>
      <c r="N15" s="135" t="s">
        <v>210</v>
      </c>
      <c r="O15" s="136">
        <f t="shared" si="0"/>
        <v>100</v>
      </c>
      <c r="P15" s="135" t="s">
        <v>210</v>
      </c>
      <c r="Q15" s="136">
        <f t="shared" si="1"/>
        <v>100</v>
      </c>
      <c r="R15" s="135" t="s">
        <v>210</v>
      </c>
      <c r="S15" s="136">
        <f t="shared" si="2"/>
        <v>100</v>
      </c>
      <c r="T15" s="1223"/>
      <c r="U15" s="1232" t="str">
        <f>A15</f>
        <v>实物状况</v>
      </c>
      <c r="V15" s="732" t="str">
        <f t="shared" si="3"/>
        <v>建筑物结构</v>
      </c>
      <c r="W15" s="117">
        <f t="shared" si="5"/>
        <v>1</v>
      </c>
      <c r="X15" s="117">
        <f t="shared" si="6"/>
        <v>1</v>
      </c>
      <c r="Y15" s="117">
        <f t="shared" si="7"/>
        <v>1</v>
      </c>
    </row>
    <row r="16" spans="1:25" s="114" customFormat="1">
      <c r="A16" s="1253"/>
      <c r="B16" s="725" t="s">
        <v>233</v>
      </c>
      <c r="C16" s="121" t="s">
        <v>234</v>
      </c>
      <c r="D16" s="122">
        <v>100</v>
      </c>
      <c r="E16" s="121" t="s">
        <v>234</v>
      </c>
      <c r="F16" s="122">
        <v>100</v>
      </c>
      <c r="G16" s="121" t="s">
        <v>235</v>
      </c>
      <c r="H16" s="122">
        <v>102</v>
      </c>
      <c r="I16" s="121" t="s">
        <v>236</v>
      </c>
      <c r="J16" s="122">
        <v>104</v>
      </c>
      <c r="K16" s="1222"/>
      <c r="L16" s="1230"/>
      <c r="M16" s="733" t="str">
        <f t="shared" si="4"/>
        <v>建筑类型</v>
      </c>
      <c r="N16" s="139" t="s">
        <v>210</v>
      </c>
      <c r="O16" s="140">
        <f t="shared" si="0"/>
        <v>100</v>
      </c>
      <c r="P16" s="139" t="s">
        <v>210</v>
      </c>
      <c r="Q16" s="140">
        <f t="shared" si="1"/>
        <v>102</v>
      </c>
      <c r="R16" s="139" t="s">
        <v>210</v>
      </c>
      <c r="S16" s="140">
        <f t="shared" si="2"/>
        <v>104</v>
      </c>
      <c r="T16" s="1223"/>
      <c r="U16" s="1232"/>
      <c r="V16" s="733" t="str">
        <f t="shared" si="3"/>
        <v>建筑类型</v>
      </c>
      <c r="W16" s="122">
        <f t="shared" ref="W16:W21" si="8">D16/F16</f>
        <v>1</v>
      </c>
      <c r="X16" s="122">
        <f t="shared" ref="X16:X21" si="9">D16/H16</f>
        <v>0.98039215686274506</v>
      </c>
      <c r="Y16" s="122">
        <f t="shared" ref="Y16:Y21" si="10">D16/J16</f>
        <v>0.96153846153846156</v>
      </c>
    </row>
    <row r="17" spans="1:25" s="114" customFormat="1">
      <c r="A17" s="1253"/>
      <c r="B17" s="725" t="s">
        <v>237</v>
      </c>
      <c r="C17" s="726">
        <v>1999</v>
      </c>
      <c r="D17" s="122">
        <v>100</v>
      </c>
      <c r="E17" s="726">
        <v>2012</v>
      </c>
      <c r="F17" s="122">
        <v>103.25</v>
      </c>
      <c r="G17" s="726">
        <v>2005</v>
      </c>
      <c r="H17" s="122">
        <v>101.5</v>
      </c>
      <c r="I17" s="726">
        <v>2013</v>
      </c>
      <c r="J17" s="122">
        <v>103.5</v>
      </c>
      <c r="K17" s="1222"/>
      <c r="L17" s="1230"/>
      <c r="M17" s="733" t="str">
        <f t="shared" si="4"/>
        <v>建成年代</v>
      </c>
      <c r="N17" s="139" t="s">
        <v>210</v>
      </c>
      <c r="O17" s="140">
        <f t="shared" si="0"/>
        <v>103.25</v>
      </c>
      <c r="P17" s="139" t="s">
        <v>210</v>
      </c>
      <c r="Q17" s="140">
        <f t="shared" si="1"/>
        <v>101.5</v>
      </c>
      <c r="R17" s="139" t="s">
        <v>210</v>
      </c>
      <c r="S17" s="140">
        <f t="shared" si="2"/>
        <v>103.5</v>
      </c>
      <c r="T17" s="1223"/>
      <c r="U17" s="1232"/>
      <c r="V17" s="733" t="str">
        <f t="shared" si="3"/>
        <v>建成年代</v>
      </c>
      <c r="W17" s="122">
        <f t="shared" si="8"/>
        <v>0.96852300242130751</v>
      </c>
      <c r="X17" s="122">
        <f t="shared" si="9"/>
        <v>0.98522167487684731</v>
      </c>
      <c r="Y17" s="122">
        <f t="shared" si="10"/>
        <v>0.96618357487922701</v>
      </c>
    </row>
    <row r="18" spans="1:25">
      <c r="A18" s="1224"/>
      <c r="B18" s="727" t="s">
        <v>238</v>
      </c>
      <c r="C18" s="119" t="s">
        <v>239</v>
      </c>
      <c r="D18" s="117">
        <v>100</v>
      </c>
      <c r="E18" s="119" t="s">
        <v>239</v>
      </c>
      <c r="F18" s="117">
        <v>100</v>
      </c>
      <c r="G18" s="119" t="s">
        <v>239</v>
      </c>
      <c r="H18" s="117">
        <v>100</v>
      </c>
      <c r="I18" s="119" t="s">
        <v>239</v>
      </c>
      <c r="J18" s="117">
        <v>100</v>
      </c>
      <c r="K18" s="1224"/>
      <c r="L18" s="1224"/>
      <c r="M18" s="732" t="str">
        <f t="shared" si="4"/>
        <v>套均面积</v>
      </c>
      <c r="N18" s="135" t="s">
        <v>210</v>
      </c>
      <c r="O18" s="136">
        <f t="shared" si="0"/>
        <v>100</v>
      </c>
      <c r="P18" s="135" t="s">
        <v>210</v>
      </c>
      <c r="Q18" s="136">
        <f t="shared" si="1"/>
        <v>100</v>
      </c>
      <c r="R18" s="135" t="s">
        <v>210</v>
      </c>
      <c r="S18" s="136">
        <f t="shared" si="2"/>
        <v>100</v>
      </c>
      <c r="T18" s="1224"/>
      <c r="U18" s="1233"/>
      <c r="V18" s="732" t="str">
        <f t="shared" si="3"/>
        <v>套均面积</v>
      </c>
      <c r="W18" s="117">
        <f t="shared" si="8"/>
        <v>1</v>
      </c>
      <c r="X18" s="117">
        <f t="shared" si="9"/>
        <v>1</v>
      </c>
      <c r="Y18" s="117">
        <f t="shared" si="10"/>
        <v>1</v>
      </c>
    </row>
    <row r="19" spans="1:25">
      <c r="A19" s="1253"/>
      <c r="B19" s="727" t="s">
        <v>240</v>
      </c>
      <c r="C19" s="115" t="s">
        <v>241</v>
      </c>
      <c r="D19" s="117">
        <v>100</v>
      </c>
      <c r="E19" s="115" t="s">
        <v>241</v>
      </c>
      <c r="F19" s="117">
        <v>100</v>
      </c>
      <c r="G19" s="115" t="s">
        <v>241</v>
      </c>
      <c r="H19" s="117">
        <v>100</v>
      </c>
      <c r="I19" s="115" t="s">
        <v>241</v>
      </c>
      <c r="J19" s="117">
        <v>100</v>
      </c>
      <c r="K19" s="1222"/>
      <c r="L19" s="1230"/>
      <c r="M19" s="732" t="str">
        <f t="shared" si="4"/>
        <v>公共部分装修</v>
      </c>
      <c r="N19" s="135" t="s">
        <v>210</v>
      </c>
      <c r="O19" s="136">
        <f t="shared" si="0"/>
        <v>100</v>
      </c>
      <c r="P19" s="135" t="s">
        <v>210</v>
      </c>
      <c r="Q19" s="136">
        <f t="shared" si="1"/>
        <v>100</v>
      </c>
      <c r="R19" s="135" t="s">
        <v>210</v>
      </c>
      <c r="S19" s="136">
        <f t="shared" si="2"/>
        <v>100</v>
      </c>
      <c r="T19" s="1223"/>
      <c r="U19" s="1232"/>
      <c r="V19" s="732" t="str">
        <f t="shared" si="3"/>
        <v>公共部分装修</v>
      </c>
      <c r="W19" s="117">
        <f t="shared" si="8"/>
        <v>1</v>
      </c>
      <c r="X19" s="117">
        <f t="shared" si="9"/>
        <v>1</v>
      </c>
      <c r="Y19" s="117">
        <f t="shared" si="10"/>
        <v>1</v>
      </c>
    </row>
    <row r="20" spans="1:25">
      <c r="A20" s="1253"/>
      <c r="B20" s="723" t="s">
        <v>242</v>
      </c>
      <c r="C20" s="115" t="s">
        <v>241</v>
      </c>
      <c r="D20" s="117">
        <v>100</v>
      </c>
      <c r="E20" s="115" t="s">
        <v>241</v>
      </c>
      <c r="F20" s="117">
        <v>100</v>
      </c>
      <c r="G20" s="115" t="s">
        <v>241</v>
      </c>
      <c r="H20" s="117">
        <v>100</v>
      </c>
      <c r="I20" s="115" t="s">
        <v>241</v>
      </c>
      <c r="J20" s="117">
        <v>100</v>
      </c>
      <c r="K20" s="1222"/>
      <c r="L20" s="1230"/>
      <c r="M20" s="732" t="str">
        <f t="shared" si="4"/>
        <v>室内装修</v>
      </c>
      <c r="N20" s="135" t="s">
        <v>210</v>
      </c>
      <c r="O20" s="136">
        <f t="shared" si="0"/>
        <v>100</v>
      </c>
      <c r="P20" s="135" t="s">
        <v>210</v>
      </c>
      <c r="Q20" s="136">
        <f t="shared" si="1"/>
        <v>100</v>
      </c>
      <c r="R20" s="135" t="s">
        <v>210</v>
      </c>
      <c r="S20" s="136">
        <f t="shared" si="2"/>
        <v>100</v>
      </c>
      <c r="T20" s="1223"/>
      <c r="U20" s="1232"/>
      <c r="V20" s="732" t="str">
        <f t="shared" si="3"/>
        <v>室内装修</v>
      </c>
      <c r="W20" s="117">
        <f t="shared" si="8"/>
        <v>1</v>
      </c>
      <c r="X20" s="117">
        <f t="shared" si="9"/>
        <v>1</v>
      </c>
      <c r="Y20" s="117">
        <f t="shared" si="10"/>
        <v>1</v>
      </c>
    </row>
    <row r="21" spans="1:25">
      <c r="A21" s="1254"/>
      <c r="B21" s="723" t="s">
        <v>243</v>
      </c>
      <c r="C21" s="119" t="s">
        <v>223</v>
      </c>
      <c r="D21" s="117">
        <v>100</v>
      </c>
      <c r="E21" s="119" t="s">
        <v>223</v>
      </c>
      <c r="F21" s="117">
        <v>100</v>
      </c>
      <c r="G21" s="119" t="s">
        <v>223</v>
      </c>
      <c r="H21" s="117">
        <v>100</v>
      </c>
      <c r="I21" s="119" t="s">
        <v>223</v>
      </c>
      <c r="J21" s="117">
        <v>100</v>
      </c>
      <c r="K21" s="1222"/>
      <c r="L21" s="1230"/>
      <c r="M21" s="732" t="str">
        <f t="shared" si="4"/>
        <v>物业服务条件</v>
      </c>
      <c r="N21" s="135" t="s">
        <v>210</v>
      </c>
      <c r="O21" s="136">
        <f t="shared" si="0"/>
        <v>100</v>
      </c>
      <c r="P21" s="135" t="s">
        <v>210</v>
      </c>
      <c r="Q21" s="136">
        <f t="shared" si="1"/>
        <v>100</v>
      </c>
      <c r="R21" s="135" t="s">
        <v>210</v>
      </c>
      <c r="S21" s="136">
        <f t="shared" si="2"/>
        <v>100</v>
      </c>
      <c r="T21" s="1223"/>
      <c r="U21" s="1232"/>
      <c r="V21" s="732" t="str">
        <f t="shared" si="3"/>
        <v>物业服务条件</v>
      </c>
      <c r="W21" s="117">
        <f t="shared" si="8"/>
        <v>1</v>
      </c>
      <c r="X21" s="117">
        <f t="shared" si="9"/>
        <v>1</v>
      </c>
      <c r="Y21" s="117">
        <f t="shared" si="10"/>
        <v>1</v>
      </c>
    </row>
    <row r="22" spans="1:25">
      <c r="A22" s="128"/>
      <c r="B22" s="128"/>
      <c r="C22" s="128"/>
      <c r="D22" s="128"/>
      <c r="E22" s="128"/>
      <c r="F22" s="128"/>
      <c r="G22" s="128"/>
      <c r="H22" s="128"/>
      <c r="I22" s="128"/>
      <c r="J22" s="128"/>
      <c r="K22" s="128"/>
      <c r="L22" s="1205" t="s">
        <v>244</v>
      </c>
      <c r="M22" s="1234"/>
      <c r="N22" s="1213">
        <f>ROUND(N26/M26,0)</f>
        <v>55000</v>
      </c>
      <c r="O22" s="1214"/>
      <c r="P22" s="1213">
        <v>55500</v>
      </c>
      <c r="Q22" s="1214"/>
      <c r="R22" s="1213">
        <v>66909</v>
      </c>
      <c r="S22" s="1214"/>
      <c r="T22" s="128"/>
      <c r="U22" s="128"/>
      <c r="V22" s="128"/>
      <c r="W22" s="128"/>
      <c r="X22" s="128"/>
      <c r="Y22" s="128"/>
    </row>
    <row r="23" spans="1:25">
      <c r="A23" s="1235" t="s">
        <v>220</v>
      </c>
      <c r="B23" s="1235"/>
      <c r="C23" s="728"/>
      <c r="D23" s="1236" t="s">
        <v>245</v>
      </c>
      <c r="E23" s="1236"/>
      <c r="F23" s="729"/>
      <c r="G23" s="1236" t="s">
        <v>224</v>
      </c>
      <c r="H23" s="1236"/>
      <c r="I23" s="729"/>
      <c r="J23" s="729" t="s">
        <v>225</v>
      </c>
      <c r="K23" s="729"/>
      <c r="L23" s="1205" t="s">
        <v>246</v>
      </c>
      <c r="M23" s="1234"/>
      <c r="N23" s="1237">
        <f>ROUND(N22*W5*W6*W7*W8*W9*W10*W11*W12*W13*W14*W15*W16*W17*W18*W19*W20*W21,0)</f>
        <v>52224</v>
      </c>
      <c r="O23" s="1238"/>
      <c r="P23" s="1237">
        <f>ROUND(P22*X5*X6*X7*X8*X9*X10*X11*X12*X13*X14*X15*X16*X17*X18*X19*X20*X21,0)</f>
        <v>51526</v>
      </c>
      <c r="Q23" s="1238"/>
      <c r="R23" s="1237">
        <f>ROUND(R22*Y5*Y6*Y7*Y8*Y9*Y10*Y11*Y12*Y13*Y14*Y15*Y16*Y17*Y18*Y19*Y20*Y21,0)</f>
        <v>60941</v>
      </c>
      <c r="S23" s="1238"/>
      <c r="T23" s="128"/>
      <c r="U23" s="128"/>
      <c r="V23" s="128"/>
      <c r="W23" s="128"/>
      <c r="X23" s="128"/>
      <c r="Y23" s="128"/>
    </row>
    <row r="24" spans="1:25">
      <c r="A24" s="729" t="s">
        <v>247</v>
      </c>
      <c r="B24" s="728"/>
      <c r="C24" s="728"/>
      <c r="D24" s="729" t="s">
        <v>248</v>
      </c>
      <c r="E24" s="728"/>
      <c r="F24" s="729"/>
      <c r="G24" s="729" t="s">
        <v>248</v>
      </c>
      <c r="H24" s="729"/>
      <c r="I24" s="729"/>
      <c r="J24" s="729" t="s">
        <v>249</v>
      </c>
      <c r="K24" s="729"/>
      <c r="L24" s="1239" t="s">
        <v>250</v>
      </c>
      <c r="M24" s="1240"/>
      <c r="N24" s="1241">
        <f>ROUND(AVERAGE(N23:S23),0)</f>
        <v>54897</v>
      </c>
      <c r="O24" s="1242"/>
      <c r="P24" s="1242"/>
      <c r="Q24" s="1242"/>
      <c r="R24" s="1242"/>
      <c r="S24" s="1243"/>
      <c r="T24" s="128"/>
      <c r="U24" s="128"/>
      <c r="V24" s="128"/>
      <c r="W24" s="128"/>
      <c r="X24" s="128"/>
      <c r="Y24" s="128"/>
    </row>
    <row r="25" spans="1:25">
      <c r="A25" s="729" t="s">
        <v>251</v>
      </c>
      <c r="B25" s="728"/>
      <c r="C25" s="728"/>
      <c r="D25" s="729" t="s">
        <v>223</v>
      </c>
      <c r="E25" s="728"/>
      <c r="F25" s="729"/>
      <c r="G25" s="729" t="s">
        <v>223</v>
      </c>
      <c r="H25" s="729"/>
      <c r="I25" s="729"/>
      <c r="J25" s="729" t="s">
        <v>252</v>
      </c>
      <c r="K25" s="729"/>
      <c r="L25" s="1244" t="s">
        <v>253</v>
      </c>
      <c r="M25" s="1245"/>
      <c r="N25" s="1244" t="e">
        <f>ROUND(N24*#REF!/10000,0)</f>
        <v>#REF!</v>
      </c>
      <c r="O25" s="1246"/>
      <c r="P25" s="1246"/>
      <c r="Q25" s="1246"/>
      <c r="R25" s="1246"/>
      <c r="S25" s="1245"/>
      <c r="T25" s="128"/>
      <c r="U25" s="128"/>
      <c r="V25" s="128"/>
      <c r="W25" s="128"/>
      <c r="X25" s="128"/>
      <c r="Y25" s="128"/>
    </row>
    <row r="26" spans="1:25">
      <c r="A26" s="729" t="s">
        <v>254</v>
      </c>
      <c r="B26" s="728"/>
      <c r="C26" s="728"/>
      <c r="D26" s="729" t="s">
        <v>255</v>
      </c>
      <c r="E26" s="728"/>
      <c r="F26" s="729"/>
      <c r="G26" s="729" t="s">
        <v>255</v>
      </c>
      <c r="H26" s="729"/>
      <c r="I26" s="729"/>
      <c r="J26" s="729" t="s">
        <v>256</v>
      </c>
      <c r="K26" s="729"/>
      <c r="L26" s="128"/>
      <c r="M26" s="734">
        <v>1</v>
      </c>
      <c r="N26" s="1213">
        <v>55000</v>
      </c>
      <c r="O26" s="1214"/>
      <c r="P26" s="1213">
        <v>55973</v>
      </c>
      <c r="Q26" s="1214"/>
      <c r="R26" s="1213">
        <v>54297</v>
      </c>
      <c r="S26" s="1214"/>
      <c r="T26" s="128"/>
      <c r="U26" s="128"/>
      <c r="V26" s="128"/>
      <c r="W26" s="128"/>
      <c r="X26" s="128"/>
      <c r="Y26" s="128"/>
    </row>
    <row r="27" spans="1:25">
      <c r="A27" s="729" t="s">
        <v>257</v>
      </c>
      <c r="B27" s="728"/>
      <c r="C27" s="728"/>
      <c r="D27" s="729" t="s">
        <v>258</v>
      </c>
      <c r="E27" s="728"/>
      <c r="F27" s="729"/>
      <c r="G27" s="729" t="s">
        <v>258</v>
      </c>
      <c r="H27" s="729"/>
      <c r="I27" s="729"/>
      <c r="J27" s="729" t="s">
        <v>259</v>
      </c>
      <c r="K27" s="729"/>
      <c r="L27" s="128"/>
      <c r="M27" s="128"/>
      <c r="N27" s="128"/>
      <c r="O27" s="128"/>
      <c r="P27" s="128"/>
      <c r="Q27" s="141"/>
      <c r="R27" s="128"/>
      <c r="S27" s="128"/>
      <c r="T27" s="128"/>
      <c r="U27" s="128"/>
      <c r="V27" s="128"/>
      <c r="W27" s="128"/>
      <c r="X27" s="128"/>
      <c r="Y27" s="128"/>
    </row>
    <row r="28" spans="1:25">
      <c r="A28" s="729" t="s">
        <v>260</v>
      </c>
      <c r="B28" s="728"/>
      <c r="C28" s="728"/>
      <c r="D28" s="729" t="s">
        <v>261</v>
      </c>
      <c r="E28" s="728"/>
      <c r="F28" s="729"/>
      <c r="G28" s="729" t="s">
        <v>261</v>
      </c>
      <c r="H28" s="729"/>
      <c r="I28" s="729"/>
      <c r="J28" s="729" t="s">
        <v>262</v>
      </c>
      <c r="K28" s="729"/>
      <c r="L28" s="128"/>
      <c r="M28" s="128"/>
      <c r="N28" s="128"/>
      <c r="O28" s="128"/>
      <c r="P28" s="128"/>
      <c r="Q28" s="141"/>
      <c r="R28" s="128"/>
      <c r="S28" s="128"/>
      <c r="T28" s="128"/>
      <c r="U28" s="128"/>
      <c r="V28" s="128"/>
      <c r="W28" s="128"/>
      <c r="X28" s="128"/>
      <c r="Y28" s="128"/>
    </row>
    <row r="29" spans="1:25">
      <c r="A29" s="729" t="s">
        <v>263</v>
      </c>
      <c r="B29" s="729"/>
      <c r="C29" s="728"/>
      <c r="D29" s="729"/>
      <c r="E29" s="729"/>
      <c r="F29" s="729"/>
      <c r="G29" s="729"/>
      <c r="H29" s="729"/>
      <c r="I29" s="729"/>
      <c r="J29" s="729"/>
      <c r="K29" s="729"/>
      <c r="L29" s="128"/>
      <c r="M29" s="128"/>
      <c r="N29" s="128"/>
      <c r="O29" s="128"/>
      <c r="P29" s="128"/>
      <c r="Q29" s="141"/>
      <c r="R29" s="128"/>
      <c r="S29" s="128"/>
      <c r="T29" s="128"/>
      <c r="U29" s="128"/>
      <c r="V29" s="128"/>
      <c r="W29" s="128"/>
      <c r="X29" s="128"/>
      <c r="Y29" s="128"/>
    </row>
    <row r="30" spans="1:25">
      <c r="A30" s="729" t="s">
        <v>264</v>
      </c>
      <c r="B30" s="729"/>
      <c r="C30" s="729"/>
      <c r="D30" s="729"/>
      <c r="E30" s="729"/>
      <c r="F30" s="729"/>
      <c r="G30" s="729"/>
      <c r="H30" s="729"/>
      <c r="I30" s="729"/>
      <c r="J30" s="729"/>
      <c r="K30" s="729"/>
      <c r="L30" s="128"/>
      <c r="M30" s="128"/>
      <c r="N30" s="128"/>
      <c r="O30" s="128"/>
      <c r="P30" s="128"/>
      <c r="Q30" s="141"/>
      <c r="R30" s="128"/>
      <c r="S30" s="128"/>
      <c r="T30" s="128"/>
      <c r="U30" s="128"/>
      <c r="V30" s="128"/>
      <c r="W30" s="128"/>
      <c r="X30" s="128"/>
      <c r="Y30" s="128"/>
    </row>
    <row r="31" spans="1:25">
      <c r="A31" s="729"/>
      <c r="B31" s="729"/>
      <c r="C31" s="729"/>
      <c r="D31" s="729"/>
      <c r="E31" s="729"/>
      <c r="F31" s="730"/>
      <c r="G31" s="729"/>
      <c r="H31" s="729"/>
      <c r="I31" s="729"/>
      <c r="J31" s="729"/>
      <c r="K31" s="730"/>
      <c r="L31" s="132"/>
      <c r="M31" s="128"/>
      <c r="N31" s="128"/>
      <c r="O31" s="128"/>
      <c r="P31" s="128"/>
      <c r="Q31" s="141"/>
      <c r="R31" s="128"/>
      <c r="S31" s="128"/>
      <c r="T31" s="128"/>
      <c r="U31" s="128"/>
      <c r="V31" s="128"/>
      <c r="W31" s="128"/>
      <c r="X31" s="128"/>
      <c r="Y31" s="128"/>
    </row>
    <row r="32" spans="1:25">
      <c r="A32" s="1236" t="s">
        <v>228</v>
      </c>
      <c r="B32" s="1236"/>
      <c r="C32" s="729"/>
      <c r="D32" s="1236" t="s">
        <v>265</v>
      </c>
      <c r="E32" s="1236"/>
      <c r="F32" s="731"/>
      <c r="G32" s="1236" t="s">
        <v>231</v>
      </c>
      <c r="H32" s="1236"/>
      <c r="I32" s="729"/>
      <c r="J32" s="1236" t="s">
        <v>266</v>
      </c>
      <c r="K32" s="1236"/>
      <c r="L32" s="131"/>
      <c r="M32" s="128"/>
      <c r="N32" s="128"/>
      <c r="O32" s="128"/>
      <c r="P32" s="128"/>
      <c r="Q32" s="141"/>
      <c r="R32" s="128"/>
      <c r="S32" s="128"/>
      <c r="T32" s="128"/>
      <c r="U32" s="128"/>
      <c r="V32" s="128"/>
      <c r="W32" s="128"/>
      <c r="X32" s="128"/>
      <c r="Y32" s="128"/>
    </row>
    <row r="33" spans="1:25">
      <c r="A33" s="729" t="s">
        <v>248</v>
      </c>
      <c r="B33" s="729"/>
      <c r="C33" s="729"/>
      <c r="D33" s="729" t="s">
        <v>248</v>
      </c>
      <c r="E33" s="729"/>
      <c r="F33" s="729"/>
      <c r="G33" s="729" t="s">
        <v>232</v>
      </c>
      <c r="H33" s="729"/>
      <c r="I33" s="729"/>
      <c r="J33" s="729" t="s">
        <v>234</v>
      </c>
      <c r="K33" s="729"/>
      <c r="L33" s="128"/>
      <c r="M33" s="128"/>
      <c r="N33" s="128"/>
      <c r="O33" s="128"/>
      <c r="P33" s="128"/>
      <c r="Q33" s="141"/>
      <c r="R33" s="128"/>
      <c r="S33" s="128"/>
      <c r="T33" s="128"/>
      <c r="U33" s="128"/>
      <c r="V33" s="128"/>
      <c r="W33" s="128"/>
      <c r="X33" s="128"/>
      <c r="Y33" s="128"/>
    </row>
    <row r="34" spans="1:25">
      <c r="A34" s="729" t="s">
        <v>223</v>
      </c>
      <c r="B34" s="729"/>
      <c r="C34" s="729"/>
      <c r="D34" s="729" t="s">
        <v>223</v>
      </c>
      <c r="E34" s="729"/>
      <c r="F34" s="729"/>
      <c r="G34" s="729" t="s">
        <v>267</v>
      </c>
      <c r="H34" s="729"/>
      <c r="I34" s="729"/>
      <c r="J34" s="729" t="s">
        <v>235</v>
      </c>
      <c r="K34" s="729"/>
      <c r="L34" s="128"/>
      <c r="M34" s="128"/>
      <c r="N34" s="128"/>
      <c r="O34" s="128"/>
      <c r="P34" s="128"/>
      <c r="Q34" s="141"/>
      <c r="R34" s="128"/>
      <c r="S34" s="128"/>
      <c r="T34" s="128"/>
      <c r="U34" s="128"/>
      <c r="V34" s="128"/>
      <c r="W34" s="128"/>
      <c r="X34" s="128"/>
      <c r="Y34" s="128"/>
    </row>
    <row r="35" spans="1:25">
      <c r="A35" s="729" t="s">
        <v>255</v>
      </c>
      <c r="B35" s="729"/>
      <c r="C35" s="729"/>
      <c r="D35" s="729" t="s">
        <v>255</v>
      </c>
      <c r="E35" s="729"/>
      <c r="F35" s="729"/>
      <c r="G35" s="729"/>
      <c r="H35" s="729"/>
      <c r="I35" s="729"/>
      <c r="J35" s="729" t="s">
        <v>268</v>
      </c>
      <c r="K35" s="729"/>
      <c r="L35" s="128"/>
      <c r="M35" s="128"/>
      <c r="N35" s="128"/>
      <c r="O35" s="128"/>
      <c r="P35" s="128"/>
      <c r="Q35" s="141"/>
      <c r="R35" s="128"/>
      <c r="S35" s="128"/>
      <c r="T35" s="128"/>
      <c r="U35" s="128"/>
      <c r="V35" s="128"/>
      <c r="W35" s="128"/>
      <c r="X35" s="128"/>
      <c r="Y35" s="128"/>
    </row>
    <row r="36" spans="1:25">
      <c r="A36" s="729" t="s">
        <v>258</v>
      </c>
      <c r="B36" s="729"/>
      <c r="C36" s="729"/>
      <c r="D36" s="729" t="s">
        <v>258</v>
      </c>
      <c r="E36" s="729"/>
      <c r="F36" s="729"/>
      <c r="G36" s="729"/>
      <c r="H36" s="729"/>
      <c r="I36" s="729"/>
      <c r="J36" s="729"/>
      <c r="K36" s="729"/>
      <c r="L36" s="128"/>
      <c r="M36" s="128"/>
      <c r="N36" s="128"/>
      <c r="O36" s="128"/>
      <c r="P36" s="128"/>
      <c r="Q36" s="141"/>
      <c r="R36" s="128"/>
      <c r="S36" s="128"/>
      <c r="T36" s="128"/>
      <c r="U36" s="128"/>
      <c r="V36" s="128"/>
      <c r="W36" s="128"/>
      <c r="X36" s="128"/>
      <c r="Y36" s="128"/>
    </row>
    <row r="37" spans="1:25">
      <c r="A37" s="729" t="s">
        <v>261</v>
      </c>
      <c r="B37" s="729"/>
      <c r="C37" s="729"/>
      <c r="D37" s="729" t="s">
        <v>261</v>
      </c>
      <c r="E37" s="729"/>
      <c r="F37" s="729"/>
      <c r="G37" s="729"/>
      <c r="H37" s="729"/>
      <c r="I37" s="729"/>
      <c r="J37" s="729"/>
      <c r="K37" s="729"/>
      <c r="L37" s="128"/>
      <c r="M37" s="128"/>
      <c r="N37" s="128"/>
      <c r="O37" s="128"/>
      <c r="P37" s="128"/>
      <c r="Q37" s="141"/>
      <c r="R37" s="128"/>
      <c r="S37" s="128"/>
      <c r="T37" s="128"/>
      <c r="U37" s="128"/>
      <c r="V37" s="128"/>
      <c r="W37" s="128"/>
      <c r="X37" s="128"/>
      <c r="Y37" s="128"/>
    </row>
    <row r="38" spans="1:25">
      <c r="A38" s="729"/>
      <c r="B38" s="729"/>
      <c r="C38" s="729"/>
      <c r="D38" s="729"/>
      <c r="E38" s="729"/>
      <c r="F38" s="729"/>
      <c r="G38" s="729"/>
      <c r="H38" s="729"/>
      <c r="I38" s="729"/>
      <c r="J38" s="729"/>
      <c r="K38" s="729"/>
      <c r="L38" s="128"/>
      <c r="M38" s="128"/>
      <c r="N38" s="128"/>
      <c r="O38" s="128"/>
      <c r="P38" s="128"/>
      <c r="Q38" s="141"/>
      <c r="R38" s="128"/>
      <c r="S38" s="128"/>
      <c r="T38" s="128"/>
      <c r="U38" s="128"/>
      <c r="V38" s="128"/>
      <c r="W38" s="128"/>
      <c r="X38" s="128"/>
      <c r="Y38" s="128"/>
    </row>
    <row r="39" spans="1:25">
      <c r="A39" s="1236" t="s">
        <v>237</v>
      </c>
      <c r="B39" s="1236"/>
      <c r="C39" s="729"/>
      <c r="D39" s="729" t="s">
        <v>238</v>
      </c>
      <c r="E39" s="729"/>
      <c r="F39" s="729"/>
      <c r="G39" s="1236" t="s">
        <v>240</v>
      </c>
      <c r="H39" s="1236"/>
      <c r="I39" s="729"/>
      <c r="J39" s="1236" t="s">
        <v>269</v>
      </c>
      <c r="K39" s="1236"/>
      <c r="L39" s="128"/>
      <c r="M39" s="128"/>
      <c r="N39" s="128"/>
      <c r="O39" s="128"/>
      <c r="P39" s="128"/>
      <c r="Q39" s="141"/>
      <c r="R39" s="128"/>
      <c r="S39" s="128"/>
      <c r="T39" s="128"/>
      <c r="U39" s="128"/>
      <c r="V39" s="128"/>
      <c r="W39" s="128"/>
      <c r="X39" s="128"/>
      <c r="Y39" s="128"/>
    </row>
    <row r="40" spans="1:25">
      <c r="A40" s="729"/>
      <c r="B40" s="729"/>
      <c r="C40" s="729"/>
      <c r="D40" s="729"/>
      <c r="E40" s="729"/>
      <c r="F40" s="729"/>
      <c r="G40" s="729" t="s">
        <v>241</v>
      </c>
      <c r="H40" s="729"/>
      <c r="I40" s="729"/>
      <c r="J40" s="729" t="s">
        <v>241</v>
      </c>
      <c r="K40" s="729"/>
      <c r="L40" s="128"/>
      <c r="M40" s="128"/>
      <c r="N40" s="128"/>
      <c r="O40" s="128"/>
      <c r="P40" s="128"/>
      <c r="Q40" s="141"/>
      <c r="R40" s="128"/>
      <c r="S40" s="128"/>
      <c r="T40" s="128"/>
      <c r="U40" s="128"/>
      <c r="V40" s="128"/>
      <c r="W40" s="128"/>
      <c r="X40" s="128"/>
      <c r="Y40" s="128"/>
    </row>
    <row r="41" spans="1:25">
      <c r="A41" s="729"/>
      <c r="B41" s="729"/>
      <c r="C41" s="729"/>
      <c r="D41" s="729"/>
      <c r="E41" s="729"/>
      <c r="F41" s="729"/>
      <c r="G41" s="729" t="s">
        <v>270</v>
      </c>
      <c r="H41" s="729"/>
      <c r="I41" s="729"/>
      <c r="J41" s="729" t="s">
        <v>270</v>
      </c>
      <c r="K41" s="729"/>
      <c r="L41" s="128"/>
      <c r="M41" s="128"/>
      <c r="N41" s="128"/>
      <c r="O41" s="128"/>
      <c r="P41" s="128"/>
      <c r="Q41" s="141"/>
      <c r="R41" s="128"/>
      <c r="S41" s="128"/>
      <c r="T41" s="128"/>
      <c r="U41" s="128"/>
      <c r="V41" s="128"/>
      <c r="W41" s="128"/>
      <c r="X41" s="128"/>
      <c r="Y41" s="128"/>
    </row>
    <row r="42" spans="1:25">
      <c r="A42" s="728"/>
      <c r="B42" s="728"/>
      <c r="C42" s="728"/>
      <c r="D42" s="728"/>
      <c r="E42" s="728"/>
      <c r="F42" s="728"/>
      <c r="G42" s="729" t="s">
        <v>271</v>
      </c>
      <c r="H42" s="728"/>
      <c r="I42" s="728"/>
      <c r="J42" s="729" t="s">
        <v>271</v>
      </c>
      <c r="K42" s="728"/>
    </row>
    <row r="43" spans="1:25">
      <c r="A43" s="728"/>
      <c r="B43" s="728"/>
      <c r="C43" s="728"/>
      <c r="D43" s="728"/>
      <c r="E43" s="728"/>
      <c r="F43" s="728"/>
      <c r="G43" s="729" t="s">
        <v>272</v>
      </c>
      <c r="H43" s="728"/>
      <c r="I43" s="728"/>
      <c r="J43" s="729" t="s">
        <v>272</v>
      </c>
      <c r="K43" s="728"/>
    </row>
    <row r="44" spans="1:25">
      <c r="A44" s="728"/>
      <c r="B44" s="728"/>
      <c r="C44" s="728"/>
      <c r="D44" s="728"/>
      <c r="E44" s="728"/>
      <c r="F44" s="728"/>
      <c r="G44" s="728"/>
      <c r="H44" s="728"/>
      <c r="I44" s="728"/>
      <c r="J44" s="728"/>
      <c r="K44" s="728"/>
    </row>
    <row r="45" spans="1:25">
      <c r="A45" s="1235" t="s">
        <v>243</v>
      </c>
      <c r="B45" s="1235"/>
      <c r="C45" s="728"/>
      <c r="D45" s="728"/>
      <c r="E45" s="728"/>
      <c r="F45" s="728"/>
      <c r="G45" s="728"/>
      <c r="H45" s="728"/>
      <c r="I45" s="728"/>
      <c r="J45" s="728"/>
      <c r="K45" s="728"/>
    </row>
    <row r="46" spans="1:25">
      <c r="A46" s="729" t="s">
        <v>248</v>
      </c>
      <c r="B46" s="728"/>
      <c r="C46" s="728"/>
      <c r="D46" s="728"/>
      <c r="E46" s="728"/>
      <c r="F46" s="728"/>
      <c r="G46" s="728"/>
      <c r="H46" s="728"/>
      <c r="I46" s="728"/>
      <c r="J46" s="728"/>
      <c r="K46" s="728"/>
    </row>
    <row r="47" spans="1:25">
      <c r="A47" s="729" t="s">
        <v>223</v>
      </c>
      <c r="B47" s="728"/>
      <c r="C47" s="728"/>
      <c r="D47" s="728"/>
      <c r="E47" s="728"/>
      <c r="F47" s="728"/>
      <c r="G47" s="728"/>
      <c r="H47" s="728"/>
      <c r="I47" s="728"/>
      <c r="J47" s="728"/>
      <c r="K47" s="728"/>
    </row>
    <row r="48" spans="1:25">
      <c r="A48" s="729" t="s">
        <v>255</v>
      </c>
      <c r="B48" s="728"/>
      <c r="C48" s="728"/>
      <c r="D48" s="728"/>
      <c r="E48" s="728"/>
      <c r="F48" s="728"/>
      <c r="G48" s="728"/>
      <c r="H48" s="728"/>
      <c r="I48" s="728"/>
      <c r="J48" s="728"/>
      <c r="K48" s="728"/>
    </row>
    <row r="49" spans="1:11">
      <c r="A49" s="729" t="s">
        <v>258</v>
      </c>
      <c r="B49" s="728"/>
      <c r="C49" s="728"/>
      <c r="D49" s="728"/>
      <c r="E49" s="728"/>
      <c r="F49" s="728"/>
      <c r="G49" s="728"/>
      <c r="H49" s="728"/>
      <c r="I49" s="728"/>
      <c r="J49" s="728"/>
      <c r="K49" s="728"/>
    </row>
    <row r="50" spans="1:11">
      <c r="A50" s="729" t="s">
        <v>261</v>
      </c>
      <c r="B50" s="728"/>
      <c r="C50" s="728"/>
      <c r="D50" s="728"/>
      <c r="E50" s="728"/>
      <c r="F50" s="728"/>
      <c r="G50" s="728"/>
      <c r="H50" s="728"/>
      <c r="I50" s="728"/>
      <c r="J50" s="728"/>
      <c r="K50" s="728"/>
    </row>
  </sheetData>
  <mergeCells count="64">
    <mergeCell ref="A45:B45"/>
    <mergeCell ref="A7:A8"/>
    <mergeCell ref="A9:A14"/>
    <mergeCell ref="A15:A21"/>
    <mergeCell ref="K2:K21"/>
    <mergeCell ref="A39:B39"/>
    <mergeCell ref="G39:H39"/>
    <mergeCell ref="J39:K39"/>
    <mergeCell ref="L7:L8"/>
    <mergeCell ref="L9:L14"/>
    <mergeCell ref="L15:L21"/>
    <mergeCell ref="A3:B4"/>
    <mergeCell ref="A32:B32"/>
    <mergeCell ref="D32:E32"/>
    <mergeCell ref="G32:H32"/>
    <mergeCell ref="J32:K32"/>
    <mergeCell ref="A6:B6"/>
    <mergeCell ref="L6:M6"/>
    <mergeCell ref="L22:M22"/>
    <mergeCell ref="C4:D4"/>
    <mergeCell ref="E4:F4"/>
    <mergeCell ref="G4:H4"/>
    <mergeCell ref="I4:J4"/>
    <mergeCell ref="A5:B5"/>
    <mergeCell ref="N26:O26"/>
    <mergeCell ref="P26:Q26"/>
    <mergeCell ref="R26:S26"/>
    <mergeCell ref="A23:B23"/>
    <mergeCell ref="D23:E23"/>
    <mergeCell ref="G23:H23"/>
    <mergeCell ref="L23:M23"/>
    <mergeCell ref="N23:O23"/>
    <mergeCell ref="P23:Q23"/>
    <mergeCell ref="R23:S23"/>
    <mergeCell ref="L24:M24"/>
    <mergeCell ref="N24:S24"/>
    <mergeCell ref="L25:M25"/>
    <mergeCell ref="N25:S25"/>
    <mergeCell ref="N22:O22"/>
    <mergeCell ref="P22:Q22"/>
    <mergeCell ref="R22:S22"/>
    <mergeCell ref="T2:T21"/>
    <mergeCell ref="U7:U8"/>
    <mergeCell ref="N3:O4"/>
    <mergeCell ref="P3:Q4"/>
    <mergeCell ref="R3:S4"/>
    <mergeCell ref="U3:V4"/>
    <mergeCell ref="U9:U14"/>
    <mergeCell ref="U15:U21"/>
    <mergeCell ref="U5:V5"/>
    <mergeCell ref="U6:V6"/>
    <mergeCell ref="L5:M5"/>
    <mergeCell ref="A1:Y1"/>
    <mergeCell ref="A2:J2"/>
    <mergeCell ref="L2:S2"/>
    <mergeCell ref="U2:Y2"/>
    <mergeCell ref="C3:D3"/>
    <mergeCell ref="E3:F3"/>
    <mergeCell ref="G3:H3"/>
    <mergeCell ref="I3:J3"/>
    <mergeCell ref="L3:M4"/>
    <mergeCell ref="W3:W4"/>
    <mergeCell ref="X3:X4"/>
    <mergeCell ref="Y3:Y4"/>
  </mergeCells>
  <phoneticPr fontId="93" type="noConversion"/>
  <pageMargins left="0.69861111111111107" right="0.69861111111111107" top="0.75" bottom="0.75" header="0.3" footer="0.3"/>
  <pageSetup paperSize="9" scale="6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51"/>
  </sheetPr>
  <dimension ref="A1:X46"/>
  <sheetViews>
    <sheetView view="pageBreakPreview" topLeftCell="A13" workbookViewId="0">
      <selection activeCell="A24" sqref="A24:IV24"/>
    </sheetView>
  </sheetViews>
  <sheetFormatPr defaultRowHeight="13.5"/>
  <cols>
    <col min="1" max="1" width="9" style="302"/>
    <col min="2" max="2" width="11" style="302" customWidth="1"/>
    <col min="3" max="3" width="10.75" style="302" customWidth="1"/>
    <col min="4" max="4" width="12" style="302" customWidth="1"/>
    <col min="5" max="6" width="12.25" style="302" customWidth="1"/>
    <col min="7" max="7" width="11.875" style="302" hidden="1" customWidth="1"/>
    <col min="8" max="11" width="12" style="302" hidden="1" customWidth="1"/>
    <col min="12" max="16" width="12" style="302" customWidth="1"/>
    <col min="17" max="17" width="10.125" style="302" customWidth="1"/>
    <col min="18" max="18" width="10.5" style="302" bestFit="1" customWidth="1"/>
    <col min="19" max="19" width="26.5" style="302" customWidth="1"/>
    <col min="20" max="20" width="25.625" style="302" customWidth="1"/>
    <col min="21" max="16384" width="9" style="302"/>
  </cols>
  <sheetData>
    <row r="1" spans="1:18" ht="14.25">
      <c r="A1" s="1255" t="s">
        <v>273</v>
      </c>
      <c r="B1" s="1255"/>
      <c r="C1" s="302">
        <v>2013</v>
      </c>
      <c r="D1" s="302">
        <v>11</v>
      </c>
      <c r="E1" s="302">
        <v>20</v>
      </c>
      <c r="N1" s="341"/>
      <c r="O1" s="342" t="s">
        <v>237</v>
      </c>
      <c r="P1" s="342">
        <v>1999</v>
      </c>
      <c r="Q1" s="341" t="s">
        <v>274</v>
      </c>
      <c r="R1" s="361">
        <v>0</v>
      </c>
    </row>
    <row r="2" spans="1:18" ht="14.25">
      <c r="A2" s="1267" t="s">
        <v>275</v>
      </c>
      <c r="B2" s="1255"/>
      <c r="N2" s="341"/>
      <c r="O2" s="342" t="s">
        <v>276</v>
      </c>
      <c r="P2" s="342">
        <v>60</v>
      </c>
      <c r="Q2" s="341" t="s">
        <v>277</v>
      </c>
      <c r="R2" s="302">
        <v>14</v>
      </c>
    </row>
    <row r="3" spans="1:18" ht="14.25">
      <c r="A3" s="1255"/>
      <c r="B3" s="1255"/>
      <c r="K3" s="302">
        <f>1-14/60</f>
        <v>0.76666666666666661</v>
      </c>
      <c r="N3" s="343"/>
      <c r="O3" s="197" t="s">
        <v>278</v>
      </c>
      <c r="P3" s="197" t="s">
        <v>279</v>
      </c>
    </row>
    <row r="4" spans="1:18" ht="14.25">
      <c r="A4" s="1255" t="s">
        <v>280</v>
      </c>
      <c r="B4" s="1255"/>
      <c r="D4" s="302" t="s">
        <v>281</v>
      </c>
      <c r="E4" s="303"/>
      <c r="F4" s="304"/>
      <c r="N4" s="197" t="s">
        <v>282</v>
      </c>
      <c r="O4" s="344">
        <f>ROUND(1-(1-$R$1)*14/$P$2,2)</f>
        <v>0.77</v>
      </c>
      <c r="P4" s="345">
        <f>ROUND('建筑（住）'!$D$22*'收（住租约）'!O4,0)</f>
        <v>5726</v>
      </c>
    </row>
    <row r="5" spans="1:18" ht="14.25">
      <c r="A5" s="1256" t="s">
        <v>283</v>
      </c>
      <c r="B5" s="1256"/>
      <c r="D5" s="302" t="s">
        <v>281</v>
      </c>
      <c r="E5" s="304"/>
      <c r="N5" s="197" t="s">
        <v>284</v>
      </c>
      <c r="O5" s="344">
        <f>ROUND(1-(1-$R$1)*15/$P$2,2)</f>
        <v>0.75</v>
      </c>
      <c r="P5" s="345">
        <f>ROUND('建筑（住）'!$D$22*'收（住租约）'!O5,0)</f>
        <v>5577</v>
      </c>
    </row>
    <row r="6" spans="1:18" ht="14.25">
      <c r="A6" s="1255" t="s">
        <v>285</v>
      </c>
      <c r="B6" s="1255"/>
      <c r="C6" s="301"/>
      <c r="D6" s="302" t="s">
        <v>281</v>
      </c>
      <c r="N6" s="197" t="s">
        <v>286</v>
      </c>
      <c r="O6" s="344">
        <f>ROUND(1-(1-$R$1)*16/$P$2,2)</f>
        <v>0.73</v>
      </c>
      <c r="P6" s="345">
        <f>ROUND('建筑（住）'!$D$22*'收（住租约）'!O6,0)</f>
        <v>5428</v>
      </c>
    </row>
    <row r="7" spans="1:18" ht="14.25">
      <c r="B7" s="305"/>
      <c r="N7" s="197" t="s">
        <v>287</v>
      </c>
      <c r="O7" s="344">
        <f>ROUND(1-(1-$R$1)*17/$P$2,2)</f>
        <v>0.72</v>
      </c>
      <c r="P7" s="345">
        <f>ROUND('建筑（住）'!$D$22*'收（住租约）'!O7,0)</f>
        <v>5354</v>
      </c>
    </row>
    <row r="8" spans="1:18" ht="42">
      <c r="A8" s="306" t="s">
        <v>288</v>
      </c>
      <c r="B8" s="307" t="s">
        <v>289</v>
      </c>
      <c r="C8" s="307" t="s">
        <v>290</v>
      </c>
      <c r="D8" s="308" t="s">
        <v>291</v>
      </c>
      <c r="E8" s="308" t="s">
        <v>292</v>
      </c>
      <c r="F8" s="309"/>
      <c r="G8" s="309"/>
      <c r="H8" s="310"/>
      <c r="I8" s="310"/>
      <c r="J8" s="346"/>
      <c r="K8" s="346"/>
      <c r="L8" s="347" t="s">
        <v>293</v>
      </c>
      <c r="N8" s="197" t="s">
        <v>294</v>
      </c>
      <c r="O8" s="344">
        <f>ROUND(1-(1-$R$1)*18/$P$2,2)</f>
        <v>0.7</v>
      </c>
      <c r="P8" s="345">
        <f>ROUND('建筑（住）'!$D$22*'收（住租约）'!O8,0)</f>
        <v>5205</v>
      </c>
    </row>
    <row r="9" spans="1:18" ht="14.25">
      <c r="A9" s="306" t="s">
        <v>88</v>
      </c>
      <c r="B9" s="311">
        <f>ROUND(B11*10000/B10/365,2)</f>
        <v>5.68</v>
      </c>
      <c r="C9" s="311">
        <f>ROUND(L9+L9*D33,2)</f>
        <v>5.72</v>
      </c>
      <c r="D9" s="311">
        <f>ROUND(D11*10000/D10/365,2)</f>
        <v>4.18</v>
      </c>
      <c r="E9" s="311">
        <f>ROUND(C9+C9*D33,2)</f>
        <v>5.95</v>
      </c>
      <c r="F9" s="311"/>
      <c r="G9" s="311"/>
      <c r="H9" s="311"/>
      <c r="I9" s="311"/>
      <c r="J9" s="311"/>
      <c r="K9" s="311"/>
      <c r="L9" s="315">
        <v>5.5</v>
      </c>
      <c r="N9" s="197" t="s">
        <v>295</v>
      </c>
      <c r="O9" s="344">
        <f>ROUND(1-(1-$R$1)*15/$P$2,2)</f>
        <v>0.75</v>
      </c>
      <c r="P9" s="345">
        <f>ROUND('建筑（住）'!$D$22*'收（住租约）'!O9,0)</f>
        <v>5577</v>
      </c>
    </row>
    <row r="10" spans="1:18" ht="14.25">
      <c r="A10" s="306" t="s">
        <v>296</v>
      </c>
      <c r="B10" s="311">
        <f>住租约!C97</f>
        <v>14914.640000000009</v>
      </c>
      <c r="C10" s="311">
        <f>B10</f>
        <v>14914.640000000009</v>
      </c>
      <c r="D10" s="311">
        <f>住租约!C100</f>
        <v>380.41999999999996</v>
      </c>
      <c r="E10" s="311">
        <f>D10</f>
        <v>380.41999999999996</v>
      </c>
      <c r="F10" s="311"/>
      <c r="G10" s="311"/>
      <c r="H10" s="311"/>
      <c r="I10" s="311"/>
      <c r="J10" s="311"/>
      <c r="K10" s="311"/>
      <c r="L10" s="315" t="e">
        <f>#REF!-住租约!C97-住租约!C100</f>
        <v>#REF!</v>
      </c>
      <c r="N10" s="197"/>
      <c r="O10" s="349"/>
      <c r="P10" s="345">
        <f>ROUND('建筑（住）'!$D$22*'收（住租约）'!O10,0)</f>
        <v>0</v>
      </c>
    </row>
    <row r="11" spans="1:18" ht="14.25">
      <c r="A11" s="306" t="s">
        <v>297</v>
      </c>
      <c r="B11" s="312">
        <f>ROUND(住租约!L97*12/10000,0)</f>
        <v>3094</v>
      </c>
      <c r="C11" s="312">
        <f>ROUND(C9*C10*365*(1-D21)/10000,0)</f>
        <v>2802</v>
      </c>
      <c r="D11" s="313">
        <f>ROUND(住租约!L100*12/10000,0)</f>
        <v>58</v>
      </c>
      <c r="E11" s="312">
        <f>ROUND(E9*365*E10*(1-F21)/10000,0)</f>
        <v>74</v>
      </c>
      <c r="F11" s="312"/>
      <c r="G11" s="312"/>
      <c r="H11" s="312"/>
      <c r="I11" s="312"/>
      <c r="J11" s="312"/>
      <c r="K11" s="312"/>
      <c r="L11" s="314" t="e">
        <f>ROUND(L9*L10*(1-M21)*365/10000,0)</f>
        <v>#REF!</v>
      </c>
      <c r="N11" s="197"/>
      <c r="O11" s="349"/>
      <c r="P11" s="345">
        <f>ROUND('建筑（住）'!$D$22*'收（住租约）'!O11,0)</f>
        <v>0</v>
      </c>
    </row>
    <row r="12" spans="1:18" ht="14.25">
      <c r="A12" s="306" t="s">
        <v>298</v>
      </c>
      <c r="B12" s="314">
        <v>0.69</v>
      </c>
      <c r="C12" s="314">
        <f>L12-B12</f>
        <v>49.43</v>
      </c>
      <c r="D12" s="314">
        <v>1.27</v>
      </c>
      <c r="E12" s="314">
        <f>L12-D12</f>
        <v>48.849999999999994</v>
      </c>
      <c r="F12" s="312"/>
      <c r="G12" s="312"/>
      <c r="H12" s="312"/>
      <c r="I12" s="312"/>
      <c r="J12" s="312"/>
      <c r="K12" s="312"/>
      <c r="L12" s="314">
        <v>50.12</v>
      </c>
      <c r="N12" s="197" t="s">
        <v>299</v>
      </c>
      <c r="O12" s="349">
        <v>0.78</v>
      </c>
      <c r="P12" s="345">
        <f>ROUND('建筑（住）'!$D$22*'收（住租约）'!O12,0)</f>
        <v>5800</v>
      </c>
    </row>
    <row r="13" spans="1:18" ht="14.25">
      <c r="A13" s="306" t="s">
        <v>71</v>
      </c>
      <c r="B13" s="311" t="e">
        <f>ROUND(B10/#REF!*(权属依据!B10+权属依据!E10),2)</f>
        <v>#REF!</v>
      </c>
      <c r="C13" s="315" t="e">
        <f>B13</f>
        <v>#REF!</v>
      </c>
      <c r="D13" s="315" t="e">
        <f>ROUND(D10/#REF!*(权属依据!B10+权属依据!E10),2)</f>
        <v>#REF!</v>
      </c>
      <c r="E13" s="315" t="e">
        <f>D13</f>
        <v>#REF!</v>
      </c>
      <c r="F13" s="315"/>
      <c r="G13" s="315"/>
      <c r="H13" s="315"/>
      <c r="I13" s="315"/>
      <c r="J13" s="315"/>
      <c r="K13" s="315"/>
      <c r="L13" s="315" t="e">
        <f>ROUND(L10/#REF!*(权属依据!B10+权属依据!E10),2)</f>
        <v>#REF!</v>
      </c>
      <c r="N13" s="197" t="s">
        <v>300</v>
      </c>
      <c r="O13" s="349">
        <v>0.77</v>
      </c>
      <c r="P13" s="345">
        <f>ROUND('建筑（住）'!$D$22*'收（住租约）'!O13,0)</f>
        <v>5726</v>
      </c>
    </row>
    <row r="14" spans="1:18" ht="14.25">
      <c r="A14" s="316"/>
      <c r="N14" s="197" t="s">
        <v>301</v>
      </c>
      <c r="O14" s="349">
        <v>0.75</v>
      </c>
      <c r="P14" s="345">
        <f>ROUND('建筑（住）'!$D$22*'收（住租约）'!O14,0)</f>
        <v>5577</v>
      </c>
    </row>
    <row r="15" spans="1:18">
      <c r="A15" s="316"/>
      <c r="B15" s="311"/>
      <c r="C15" s="311"/>
      <c r="D15" s="317"/>
    </row>
    <row r="16" spans="1:18" ht="14.25">
      <c r="A16" s="316"/>
      <c r="B16" s="318"/>
      <c r="C16" s="318"/>
      <c r="D16" s="317">
        <f>B10+D10+F10+H10+J10</f>
        <v>15295.060000000009</v>
      </c>
      <c r="N16" s="197" t="s">
        <v>302</v>
      </c>
      <c r="O16" s="349">
        <v>0.72</v>
      </c>
      <c r="P16" s="345" t="e">
        <f>ROUND([1]建筑物部分!$C$18*'[1]收益法（公寓用房）'!O16,0)</f>
        <v>#REF!</v>
      </c>
    </row>
    <row r="17" spans="1:17" ht="14.25">
      <c r="A17" s="316"/>
      <c r="B17" s="316"/>
      <c r="N17" s="197"/>
      <c r="O17" s="349"/>
      <c r="P17" s="345"/>
    </row>
    <row r="18" spans="1:17" ht="42" customHeight="1">
      <c r="A18" s="319" t="s">
        <v>69</v>
      </c>
      <c r="B18" s="320" t="s">
        <v>87</v>
      </c>
      <c r="C18" s="321" t="str">
        <f>B8</f>
        <v>2014年租期租约期内（2013.11.20至2014.7.30）</v>
      </c>
      <c r="D18" s="321" t="str">
        <f>C8</f>
        <v>2014年租期租约期外（2014.7.31至2064.1.3）</v>
      </c>
      <c r="E18" s="321" t="str">
        <f>D8</f>
        <v>2015租约期内（2013.11.20至2015.2.28）</v>
      </c>
      <c r="F18" s="321" t="str">
        <f>E8</f>
        <v>2015租约期外（2015.3.1至2064.1.3）</v>
      </c>
      <c r="G18" s="321"/>
      <c r="H18" s="321"/>
      <c r="I18" s="321"/>
      <c r="J18" s="321"/>
      <c r="K18" s="321"/>
      <c r="L18" s="321"/>
      <c r="M18" s="321" t="str">
        <f>L8</f>
        <v>租约期外</v>
      </c>
      <c r="N18" s="321"/>
      <c r="O18" s="230" t="s">
        <v>303</v>
      </c>
      <c r="P18" s="230" t="s">
        <v>304</v>
      </c>
    </row>
    <row r="19" spans="1:17">
      <c r="A19" s="229" t="s">
        <v>305</v>
      </c>
      <c r="B19" s="230" t="s">
        <v>306</v>
      </c>
      <c r="C19" s="231">
        <f>B10</f>
        <v>14914.640000000009</v>
      </c>
      <c r="D19" s="231">
        <f>C10</f>
        <v>14914.640000000009</v>
      </c>
      <c r="E19" s="231">
        <f>D10</f>
        <v>380.41999999999996</v>
      </c>
      <c r="F19" s="231">
        <f>E10</f>
        <v>380.41999999999996</v>
      </c>
      <c r="G19" s="231"/>
      <c r="H19" s="231"/>
      <c r="I19" s="231"/>
      <c r="J19" s="231"/>
      <c r="K19" s="231"/>
      <c r="L19" s="231"/>
      <c r="M19" s="231" t="e">
        <f>L10</f>
        <v>#REF!</v>
      </c>
      <c r="N19" s="231"/>
      <c r="O19" s="230"/>
      <c r="P19" s="350"/>
    </row>
    <row r="20" spans="1:17">
      <c r="A20" s="229" t="s">
        <v>307</v>
      </c>
      <c r="B20" s="232" t="s">
        <v>88</v>
      </c>
      <c r="C20" s="322">
        <f>B9</f>
        <v>5.68</v>
      </c>
      <c r="D20" s="322">
        <f>C9</f>
        <v>5.72</v>
      </c>
      <c r="E20" s="322">
        <f>D9</f>
        <v>4.18</v>
      </c>
      <c r="F20" s="322">
        <f>E9</f>
        <v>5.95</v>
      </c>
      <c r="G20" s="322"/>
      <c r="H20" s="322"/>
      <c r="I20" s="322"/>
      <c r="J20" s="322"/>
      <c r="K20" s="322"/>
      <c r="L20" s="322"/>
      <c r="M20" s="322">
        <f>L9</f>
        <v>5.5</v>
      </c>
      <c r="N20" s="322"/>
      <c r="O20" s="230"/>
      <c r="P20" s="350"/>
    </row>
    <row r="21" spans="1:17">
      <c r="A21" s="229" t="s">
        <v>308</v>
      </c>
      <c r="B21" s="232" t="s">
        <v>309</v>
      </c>
      <c r="C21" s="323" t="s">
        <v>239</v>
      </c>
      <c r="D21" s="324">
        <v>0.1</v>
      </c>
      <c r="E21" s="323" t="s">
        <v>239</v>
      </c>
      <c r="F21" s="324">
        <f>D21</f>
        <v>0.1</v>
      </c>
      <c r="G21" s="324"/>
      <c r="H21" s="324"/>
      <c r="I21" s="324"/>
      <c r="J21" s="324"/>
      <c r="K21" s="324"/>
      <c r="L21" s="324"/>
      <c r="M21" s="324">
        <f>F21</f>
        <v>0.1</v>
      </c>
      <c r="N21" s="324"/>
      <c r="O21" s="230"/>
      <c r="P21" s="350"/>
    </row>
    <row r="22" spans="1:17" s="300" customFormat="1" ht="21.75" customHeight="1">
      <c r="A22" s="325">
        <v>1</v>
      </c>
      <c r="B22" s="233" t="s">
        <v>310</v>
      </c>
      <c r="C22" s="326">
        <f>B11</f>
        <v>3094</v>
      </c>
      <c r="D22" s="326">
        <f>C11</f>
        <v>2802</v>
      </c>
      <c r="E22" s="326">
        <f>D11</f>
        <v>58</v>
      </c>
      <c r="F22" s="326">
        <f>E11</f>
        <v>74</v>
      </c>
      <c r="G22" s="326"/>
      <c r="H22" s="326"/>
      <c r="I22" s="326"/>
      <c r="J22" s="326"/>
      <c r="K22" s="326"/>
      <c r="L22" s="326"/>
      <c r="M22" s="326" t="e">
        <f>L11</f>
        <v>#REF!</v>
      </c>
      <c r="N22" s="326"/>
      <c r="O22" s="1257" t="s">
        <v>311</v>
      </c>
      <c r="P22" s="1258"/>
    </row>
    <row r="23" spans="1:17" ht="22.5" customHeight="1">
      <c r="A23" s="229" t="s">
        <v>312</v>
      </c>
      <c r="B23" s="234" t="s">
        <v>313</v>
      </c>
      <c r="C23" s="327">
        <f>ROUND(C22*$O$23,2)</f>
        <v>173.26</v>
      </c>
      <c r="D23" s="327">
        <f>ROUND(D22*$O$23,2)</f>
        <v>156.91</v>
      </c>
      <c r="E23" s="327">
        <f>ROUND(E22*$O$23,2)</f>
        <v>3.25</v>
      </c>
      <c r="F23" s="327">
        <f>ROUND(F22*$O$23,2)</f>
        <v>4.1399999999999997</v>
      </c>
      <c r="G23" s="327"/>
      <c r="H23" s="327"/>
      <c r="I23" s="327"/>
      <c r="J23" s="327"/>
      <c r="K23" s="327"/>
      <c r="L23" s="327"/>
      <c r="M23" s="327" t="e">
        <f>ROUND(M22*$O$23,2)</f>
        <v>#REF!</v>
      </c>
      <c r="N23" s="327"/>
      <c r="O23" s="243">
        <v>5.6000000000000001E-2</v>
      </c>
      <c r="P23" s="240" t="s">
        <v>314</v>
      </c>
    </row>
    <row r="24" spans="1:17" ht="22.9" customHeight="1">
      <c r="A24" s="229" t="s">
        <v>315</v>
      </c>
      <c r="B24" s="328" t="s">
        <v>316</v>
      </c>
      <c r="C24" s="329">
        <f>ROUND(('建筑（住）'!$D$22*(1-'建筑（住）'!$D$20)-'建筑（住）'!$D$19)*70%*1.2%*C19/10000,2)</f>
        <v>76.78</v>
      </c>
      <c r="D24" s="329">
        <f>ROUND(('建筑（住）'!$D$22*(1-'建筑（住）'!$D$20)-'建筑（住）'!$D$19)*70%*1.2%*D19/10000,2)</f>
        <v>76.78</v>
      </c>
      <c r="E24" s="329">
        <f>ROUND(('建筑（住）'!$D$22*(1-'建筑（住）'!$D$20)-'建筑（住）'!$D$19)*70%*1.2%*E19/10000,2)</f>
        <v>1.96</v>
      </c>
      <c r="F24" s="329">
        <f>ROUND(('建筑（住）'!$D$22*(1-'建筑（住）'!$D$20)-'建筑（住）'!$D$19)*70%*1.2%*F19/10000,2)</f>
        <v>1.96</v>
      </c>
      <c r="G24" s="329">
        <f>ROUND(('建筑（住）'!$D$22*(1-'建筑（住）'!$D$20)-'建筑（住）'!$D$19)*70%*1.2%*G19/10000,2)</f>
        <v>0</v>
      </c>
      <c r="H24" s="329">
        <f>ROUND(('建筑（住）'!$D$22*(1-'建筑（住）'!$D$20)-'建筑（住）'!$D$19)*70%*1.2%*H19/10000,2)</f>
        <v>0</v>
      </c>
      <c r="I24" s="329">
        <f>ROUND(('建筑（住）'!$D$22*(1-'建筑（住）'!$D$20)-'建筑（住）'!$D$19)*70%*1.2%*I19/10000,2)</f>
        <v>0</v>
      </c>
      <c r="J24" s="329">
        <f>ROUND(('建筑（住）'!$D$22*(1-'建筑（住）'!$D$20)-'建筑（住）'!$D$19)*70%*1.2%*J19/10000,2)</f>
        <v>0</v>
      </c>
      <c r="K24" s="329">
        <f>ROUND(('建筑（住）'!$D$22*(1-'建筑（住）'!$D$20)-'建筑（住）'!$D$19)*70%*1.2%*K19/10000,2)</f>
        <v>0</v>
      </c>
      <c r="L24" s="329"/>
      <c r="M24" s="329" t="e">
        <f>ROUND(('建筑（住）'!$D$22*(1-'建筑（住）'!$D$20)-'建筑（住）'!$D$19)*70%*1.2%*M19/10000,2)</f>
        <v>#REF!</v>
      </c>
      <c r="N24" s="329"/>
      <c r="O24" s="243">
        <v>1.2E-2</v>
      </c>
      <c r="P24" s="240" t="s">
        <v>317</v>
      </c>
    </row>
    <row r="25" spans="1:17" ht="22.9" customHeight="1">
      <c r="A25" s="229" t="s">
        <v>318</v>
      </c>
      <c r="B25" s="328" t="s">
        <v>319</v>
      </c>
      <c r="C25" s="329" t="e">
        <f>ROUND(B13*$O$25/10000,2)</f>
        <v>#REF!</v>
      </c>
      <c r="D25" s="329" t="e">
        <f>ROUND(C13*$O$25/10000,2)</f>
        <v>#REF!</v>
      </c>
      <c r="E25" s="329" t="e">
        <f>ROUND(D13*$O$25/10000,2)</f>
        <v>#REF!</v>
      </c>
      <c r="F25" s="329" t="e">
        <f>ROUND(E13*$O$25/10000,2)</f>
        <v>#REF!</v>
      </c>
      <c r="G25" s="329"/>
      <c r="H25" s="329"/>
      <c r="I25" s="329"/>
      <c r="J25" s="329"/>
      <c r="K25" s="329"/>
      <c r="L25" s="329"/>
      <c r="M25" s="329" t="e">
        <f>ROUND(L13*$O$25/10000,2)</f>
        <v>#REF!</v>
      </c>
      <c r="N25" s="352"/>
      <c r="O25" s="244">
        <v>24</v>
      </c>
      <c r="P25" s="353" t="s">
        <v>320</v>
      </c>
    </row>
    <row r="26" spans="1:17" ht="24" customHeight="1">
      <c r="A26" s="235" t="s">
        <v>321</v>
      </c>
      <c r="B26" s="330" t="s">
        <v>322</v>
      </c>
      <c r="C26" s="326" t="e">
        <f>ROUND(SUM(C23:C25,0),0)</f>
        <v>#REF!</v>
      </c>
      <c r="D26" s="326" t="e">
        <f>ROUND(SUM(D23:D25,0),0)</f>
        <v>#REF!</v>
      </c>
      <c r="E26" s="326" t="e">
        <f>ROUND(SUM(E23:E25),0)</f>
        <v>#REF!</v>
      </c>
      <c r="F26" s="326" t="e">
        <f>ROUND(SUM(F23:F25,0),0)</f>
        <v>#REF!</v>
      </c>
      <c r="G26" s="326"/>
      <c r="H26" s="326"/>
      <c r="I26" s="326"/>
      <c r="J26" s="326"/>
      <c r="K26" s="326"/>
      <c r="L26" s="326"/>
      <c r="M26" s="326" t="e">
        <f>ROUND(SUM(M23:M25),0)</f>
        <v>#REF!</v>
      </c>
      <c r="N26" s="326"/>
      <c r="O26" s="354"/>
      <c r="P26" s="355" t="s">
        <v>323</v>
      </c>
    </row>
    <row r="27" spans="1:17" ht="19.899999999999999" customHeight="1">
      <c r="A27" s="229" t="s">
        <v>324</v>
      </c>
      <c r="B27" s="236" t="s">
        <v>325</v>
      </c>
      <c r="C27" s="327">
        <f>ROUND('建筑（住）'!$D$22*'收（住租约）'!C19*$O$27/10000,2)</f>
        <v>22.18</v>
      </c>
      <c r="D27" s="327">
        <f>ROUND('建筑（住）'!$D$22*'收（住租约）'!D19*$O$27/10000,2)</f>
        <v>22.18</v>
      </c>
      <c r="E27" s="327">
        <f>ROUND('建筑（住）'!$D$22*'收（住租约）'!E19*$O$27/10000,2)</f>
        <v>0.56999999999999995</v>
      </c>
      <c r="F27" s="327">
        <f>ROUND('建筑（住）'!$D$22*'收（住租约）'!F19*$O$27/10000,2)</f>
        <v>0.56999999999999995</v>
      </c>
      <c r="G27" s="327">
        <f>ROUND('建筑（住）'!$D$22*'收（住租约）'!G19*$O$27/10000,2)</f>
        <v>0</v>
      </c>
      <c r="H27" s="327">
        <f>ROUND('建筑（住）'!$D$22*'收（住租约）'!H19*$O$27/10000,2)</f>
        <v>0</v>
      </c>
      <c r="I27" s="327">
        <f>ROUND('建筑（住）'!$D$22*'收（住租约）'!I19*$O$27/10000,2)</f>
        <v>0</v>
      </c>
      <c r="J27" s="327">
        <f>ROUND('建筑（住）'!$D$22*'收（住租约）'!J19*$O$27/10000,2)</f>
        <v>0</v>
      </c>
      <c r="K27" s="327">
        <f>ROUND('建筑（住）'!$D$22*'收（住租约）'!K19*$O$27/10000,2)</f>
        <v>0</v>
      </c>
      <c r="L27" s="327"/>
      <c r="M27" s="327" t="e">
        <f>ROUND('建筑（住）'!$D$22*'收（住租约）'!M19*$O$27/10000,2)</f>
        <v>#REF!</v>
      </c>
      <c r="N27" s="327"/>
      <c r="O27" s="245">
        <v>2E-3</v>
      </c>
      <c r="P27" s="353" t="s">
        <v>326</v>
      </c>
    </row>
    <row r="28" spans="1:17" ht="19.899999999999999" customHeight="1">
      <c r="A28" s="229" t="s">
        <v>327</v>
      </c>
      <c r="B28" s="236" t="s">
        <v>328</v>
      </c>
      <c r="C28" s="327">
        <f>ROUND(P4*C19*$O$28/10000,2)</f>
        <v>2.14</v>
      </c>
      <c r="D28" s="327">
        <f>ROUND(P5*D19*$O$28/10000,2)</f>
        <v>2.08</v>
      </c>
      <c r="E28" s="327">
        <f>ROUND(P4*E19*$O$28/10000,5)</f>
        <v>5.4460000000000001E-2</v>
      </c>
      <c r="F28" s="327">
        <f>ROUND(P6*F19*$O$28/10000,2)</f>
        <v>0.05</v>
      </c>
      <c r="G28" s="327"/>
      <c r="H28" s="327"/>
      <c r="I28" s="327"/>
      <c r="J28" s="327"/>
      <c r="K28" s="327"/>
      <c r="L28" s="327"/>
      <c r="M28" s="327" t="e">
        <f>ROUND(P4*M19*$O$28/10000,2)</f>
        <v>#REF!</v>
      </c>
      <c r="N28" s="327"/>
      <c r="O28" s="246">
        <v>2.5000000000000001E-4</v>
      </c>
      <c r="P28" s="247" t="s">
        <v>329</v>
      </c>
    </row>
    <row r="29" spans="1:17" ht="19.899999999999999" customHeight="1">
      <c r="A29" s="229" t="s">
        <v>330</v>
      </c>
      <c r="B29" s="236" t="s">
        <v>331</v>
      </c>
      <c r="C29" s="327">
        <f>ROUND(C22*$O$29,2)</f>
        <v>61.88</v>
      </c>
      <c r="D29" s="327">
        <f>ROUND(D22*$O$29,2)</f>
        <v>56.04</v>
      </c>
      <c r="E29" s="327">
        <f>ROUND(E22*$O$29,2)</f>
        <v>1.1599999999999999</v>
      </c>
      <c r="F29" s="327">
        <f>ROUND(F22*$O$29,2)</f>
        <v>1.48</v>
      </c>
      <c r="G29" s="327"/>
      <c r="H29" s="327"/>
      <c r="I29" s="327"/>
      <c r="J29" s="327"/>
      <c r="K29" s="327"/>
      <c r="L29" s="327"/>
      <c r="M29" s="327" t="e">
        <f>ROUND(M22*$O$29,2)</f>
        <v>#REF!</v>
      </c>
      <c r="N29" s="327"/>
      <c r="O29" s="248">
        <v>0.02</v>
      </c>
      <c r="P29" s="242" t="s">
        <v>314</v>
      </c>
      <c r="Q29" s="302">
        <f>('建筑（住）'!D22*(1-'建筑（住）'!D20)-'建筑（住）'!D16)</f>
        <v>6918.2300000000005</v>
      </c>
    </row>
    <row r="30" spans="1:17" ht="24">
      <c r="A30" s="229">
        <v>2</v>
      </c>
      <c r="B30" s="232" t="s">
        <v>332</v>
      </c>
      <c r="C30" s="331" t="e">
        <f>ROUND(SUM(C26:C29),0)</f>
        <v>#REF!</v>
      </c>
      <c r="D30" s="331" t="e">
        <f>ROUND(SUM(D26:D29),0)</f>
        <v>#REF!</v>
      </c>
      <c r="E30" s="331" t="e">
        <f>ROUND(SUM(E26:E29),0)</f>
        <v>#REF!</v>
      </c>
      <c r="F30" s="331" t="e">
        <f>ROUND(SUM(F26:F29),0)</f>
        <v>#REF!</v>
      </c>
      <c r="G30" s="331"/>
      <c r="H30" s="331"/>
      <c r="I30" s="331"/>
      <c r="J30" s="331"/>
      <c r="K30" s="331"/>
      <c r="L30" s="331"/>
      <c r="M30" s="331" t="e">
        <f>ROUND(SUM(M26:M29),0)</f>
        <v>#REF!</v>
      </c>
      <c r="N30" s="331"/>
      <c r="O30" s="232"/>
      <c r="P30" s="356" t="s">
        <v>333</v>
      </c>
    </row>
    <row r="31" spans="1:17" ht="24">
      <c r="A31" s="229" t="s">
        <v>334</v>
      </c>
      <c r="B31" s="232" t="s">
        <v>335</v>
      </c>
      <c r="C31" s="331" t="e">
        <f>ROUND(C22-C30,0)</f>
        <v>#REF!</v>
      </c>
      <c r="D31" s="331" t="e">
        <f>ROUND(D22-D30,0)</f>
        <v>#REF!</v>
      </c>
      <c r="E31" s="331" t="e">
        <f>ROUND(E22-E30,0)</f>
        <v>#REF!</v>
      </c>
      <c r="F31" s="331" t="e">
        <f>ROUND(F22-F30,0)</f>
        <v>#REF!</v>
      </c>
      <c r="G31" s="331"/>
      <c r="H31" s="331"/>
      <c r="I31" s="331"/>
      <c r="J31" s="331"/>
      <c r="K31" s="331"/>
      <c r="L31" s="331"/>
      <c r="M31" s="331" t="e">
        <f>ROUND(M22-M30,0)</f>
        <v>#REF!</v>
      </c>
      <c r="N31" s="331"/>
      <c r="O31" s="232"/>
      <c r="P31" s="249" t="s">
        <v>307</v>
      </c>
    </row>
    <row r="32" spans="1:17" ht="60">
      <c r="A32" s="229" t="s">
        <v>336</v>
      </c>
      <c r="B32" s="237" t="s">
        <v>337</v>
      </c>
      <c r="C32" s="332">
        <v>0.06</v>
      </c>
      <c r="D32" s="332">
        <f>C32</f>
        <v>0.06</v>
      </c>
      <c r="E32" s="332">
        <f>D32</f>
        <v>0.06</v>
      </c>
      <c r="F32" s="332">
        <f>E32</f>
        <v>0.06</v>
      </c>
      <c r="G32" s="332"/>
      <c r="H32" s="332"/>
      <c r="I32" s="332"/>
      <c r="J32" s="332"/>
      <c r="K32" s="332"/>
      <c r="L32" s="332"/>
      <c r="M32" s="332">
        <f>F32</f>
        <v>0.06</v>
      </c>
      <c r="N32" s="332"/>
      <c r="O32" s="250"/>
      <c r="P32" s="357" t="s">
        <v>338</v>
      </c>
    </row>
    <row r="33" spans="1:24" ht="19.5" customHeight="1">
      <c r="A33" s="229" t="s">
        <v>339</v>
      </c>
      <c r="B33" s="237" t="s">
        <v>340</v>
      </c>
      <c r="C33" s="332" t="s">
        <v>239</v>
      </c>
      <c r="D33" s="332">
        <v>0.04</v>
      </c>
      <c r="E33" s="332" t="s">
        <v>239</v>
      </c>
      <c r="F33" s="332">
        <f>D33</f>
        <v>0.04</v>
      </c>
      <c r="G33" s="717"/>
      <c r="H33" s="332"/>
      <c r="I33" s="717"/>
      <c r="J33" s="332"/>
      <c r="K33" s="717"/>
      <c r="L33" s="332"/>
      <c r="M33" s="332">
        <f>F33</f>
        <v>0.04</v>
      </c>
      <c r="N33" s="332"/>
      <c r="O33" s="238" t="s">
        <v>239</v>
      </c>
      <c r="P33" s="238"/>
      <c r="Q33" s="250"/>
      <c r="R33" s="362"/>
    </row>
    <row r="34" spans="1:24" ht="24">
      <c r="A34" s="229" t="s">
        <v>341</v>
      </c>
      <c r="B34" s="237" t="s">
        <v>342</v>
      </c>
      <c r="C34" s="333">
        <f>B12</f>
        <v>0.69</v>
      </c>
      <c r="D34" s="333">
        <f>C12</f>
        <v>49.43</v>
      </c>
      <c r="E34" s="333">
        <f>D12</f>
        <v>1.27</v>
      </c>
      <c r="F34" s="333">
        <f>E12</f>
        <v>48.849999999999994</v>
      </c>
      <c r="G34" s="333"/>
      <c r="H34" s="333"/>
      <c r="I34" s="333"/>
      <c r="J34" s="333"/>
      <c r="K34" s="333"/>
      <c r="L34" s="333"/>
      <c r="M34" s="333">
        <f>L12</f>
        <v>50.12</v>
      </c>
      <c r="N34" s="333"/>
      <c r="O34" s="237"/>
      <c r="P34" s="237"/>
      <c r="Q34" s="251"/>
      <c r="R34" s="362"/>
    </row>
    <row r="35" spans="1:24">
      <c r="A35" s="229" t="s">
        <v>343</v>
      </c>
      <c r="B35" s="230" t="s">
        <v>81</v>
      </c>
      <c r="C35" s="334" t="e">
        <f>ROUND(C31/C32*(1-1/(1+C32)^C34),0)</f>
        <v>#REF!</v>
      </c>
      <c r="D35" s="334" t="e">
        <f>ROUND(D31/(D32-D33)*(1-((1+D33)/(1+D32))^D34),0)</f>
        <v>#REF!</v>
      </c>
      <c r="E35" s="334" t="e">
        <f>ROUND(E31/E32*(1-1/(1+E32)^E34),0)</f>
        <v>#REF!</v>
      </c>
      <c r="F35" s="334" t="e">
        <f>ROUND(F31/(F32-F33)*(1-((1+F33)/(1+F32))^F34),0)</f>
        <v>#REF!</v>
      </c>
      <c r="G35" s="334"/>
      <c r="H35" s="334"/>
      <c r="I35" s="334"/>
      <c r="J35" s="334"/>
      <c r="K35" s="334"/>
      <c r="L35" s="334"/>
      <c r="M35" s="334" t="e">
        <f>ROUND(M31/(M32-M33)*(1-((1+M33)/(1+M32))^M34),0)</f>
        <v>#REF!</v>
      </c>
      <c r="N35" s="334"/>
      <c r="O35" s="358"/>
      <c r="P35" s="358"/>
      <c r="Q35" s="363"/>
      <c r="R35" s="364"/>
    </row>
    <row r="36" spans="1:24">
      <c r="A36" s="229"/>
      <c r="B36" s="230" t="s">
        <v>344</v>
      </c>
      <c r="C36" s="334"/>
      <c r="D36" s="718">
        <f>C34</f>
        <v>0.69</v>
      </c>
      <c r="E36" s="327"/>
      <c r="F36" s="718">
        <f>E34</f>
        <v>1.27</v>
      </c>
      <c r="G36" s="718"/>
      <c r="H36" s="718"/>
      <c r="I36" s="718"/>
      <c r="J36" s="718"/>
      <c r="K36" s="718"/>
      <c r="L36" s="718"/>
      <c r="M36" s="718"/>
      <c r="N36" s="718"/>
      <c r="O36" s="358"/>
      <c r="P36" s="358"/>
      <c r="Q36" s="363"/>
      <c r="R36" s="364"/>
    </row>
    <row r="37" spans="1:24">
      <c r="A37" s="229" t="s">
        <v>345</v>
      </c>
      <c r="B37" s="230" t="s">
        <v>346</v>
      </c>
      <c r="C37" s="334" t="e">
        <f>C35</f>
        <v>#REF!</v>
      </c>
      <c r="D37" s="719" t="e">
        <f>ROUND(D35/(1+C32)^D36,0)</f>
        <v>#REF!</v>
      </c>
      <c r="E37" s="334" t="e">
        <f>ROUND(E35/(1+E32)^E36,0)</f>
        <v>#REF!</v>
      </c>
      <c r="F37" s="719" t="e">
        <f>ROUND(F35/(1+E32)^F36,0)</f>
        <v>#REF!</v>
      </c>
      <c r="G37" s="334"/>
      <c r="H37" s="334"/>
      <c r="I37" s="334"/>
      <c r="J37" s="334"/>
      <c r="K37" s="334"/>
      <c r="L37" s="334"/>
      <c r="M37" s="334" t="e">
        <f>ROUND(M35/(1+M32)^M36,0)</f>
        <v>#REF!</v>
      </c>
      <c r="N37" s="334">
        <f>ROUND(N35/(1+N32)^N36,0)</f>
        <v>0</v>
      </c>
      <c r="O37" s="358"/>
      <c r="P37" s="358"/>
      <c r="Q37" s="363"/>
      <c r="R37" s="241"/>
      <c r="S37" s="367"/>
    </row>
    <row r="38" spans="1:24">
      <c r="A38" s="229" t="s">
        <v>347</v>
      </c>
      <c r="B38" s="232" t="s">
        <v>77</v>
      </c>
      <c r="C38" s="1268" t="e">
        <f>ROUND(SUM(C37:P37),0)</f>
        <v>#REF!</v>
      </c>
      <c r="D38" s="1269"/>
      <c r="E38" s="1269"/>
      <c r="F38" s="1269"/>
      <c r="G38" s="1269"/>
      <c r="H38" s="1269"/>
      <c r="I38" s="1269"/>
      <c r="J38" s="1269"/>
      <c r="K38" s="1269"/>
      <c r="L38" s="1269"/>
      <c r="M38" s="359"/>
      <c r="N38" s="359"/>
      <c r="O38" s="359"/>
      <c r="P38" s="359"/>
      <c r="Q38" s="359"/>
      <c r="R38" s="359"/>
      <c r="S38" s="359"/>
      <c r="T38" s="359"/>
      <c r="U38" s="359"/>
      <c r="V38" s="368"/>
      <c r="W38" s="363"/>
      <c r="X38" s="367"/>
    </row>
    <row r="39" spans="1:24">
      <c r="A39" s="229" t="s">
        <v>348</v>
      </c>
      <c r="B39" s="230" t="s">
        <v>76</v>
      </c>
      <c r="C39" s="1259" t="e">
        <f>ROUND(C38/#REF!*10000,0)</f>
        <v>#REF!</v>
      </c>
      <c r="D39" s="1260"/>
      <c r="E39" s="1260"/>
      <c r="F39" s="1260"/>
      <c r="G39" s="1260"/>
      <c r="H39" s="1260"/>
      <c r="I39" s="1260"/>
      <c r="J39" s="1260"/>
      <c r="K39" s="1260"/>
      <c r="L39" s="1260"/>
      <c r="M39" s="360"/>
      <c r="N39" s="360"/>
      <c r="O39" s="360"/>
      <c r="P39" s="360"/>
      <c r="Q39" s="360"/>
      <c r="R39" s="360"/>
      <c r="S39" s="360"/>
      <c r="T39" s="360"/>
      <c r="U39" s="360"/>
      <c r="V39" s="370"/>
      <c r="W39" s="363"/>
      <c r="X39" s="367"/>
    </row>
    <row r="41" spans="1:24">
      <c r="C41" s="95" t="s">
        <v>349</v>
      </c>
      <c r="D41" s="96">
        <f>ROUND(P4*C19/10000*D42,0)</f>
        <v>683</v>
      </c>
      <c r="E41" s="97"/>
      <c r="F41" s="97"/>
    </row>
    <row r="42" spans="1:24" ht="24">
      <c r="C42" s="98" t="s">
        <v>350</v>
      </c>
      <c r="D42" s="99">
        <v>0.08</v>
      </c>
      <c r="E42" s="98" t="s">
        <v>351</v>
      </c>
      <c r="F42" s="99"/>
    </row>
    <row r="43" spans="1:24">
      <c r="C43" s="1261" t="s">
        <v>352</v>
      </c>
      <c r="D43" s="1262"/>
      <c r="E43" s="1262"/>
      <c r="F43" s="1263"/>
    </row>
    <row r="44" spans="1:24">
      <c r="C44" s="1264" t="s">
        <v>353</v>
      </c>
      <c r="D44" s="1264"/>
      <c r="E44" s="1265" t="s">
        <v>354</v>
      </c>
      <c r="F44" s="1266"/>
    </row>
    <row r="45" spans="1:24">
      <c r="C45" s="95" t="s">
        <v>355</v>
      </c>
      <c r="D45" s="100" t="e">
        <f>D41/C31</f>
        <v>#REF!</v>
      </c>
      <c r="E45" s="101"/>
      <c r="F45" s="100"/>
    </row>
    <row r="46" spans="1:24">
      <c r="C46" s="95" t="s">
        <v>356</v>
      </c>
      <c r="D46" s="100" t="e">
        <f>1-D45</f>
        <v>#REF!</v>
      </c>
      <c r="E46" s="101"/>
      <c r="F46" s="102"/>
    </row>
  </sheetData>
  <mergeCells count="11">
    <mergeCell ref="C39:L39"/>
    <mergeCell ref="C43:F43"/>
    <mergeCell ref="C44:D44"/>
    <mergeCell ref="E44:F44"/>
    <mergeCell ref="A2:B3"/>
    <mergeCell ref="C38:L38"/>
    <mergeCell ref="A1:B1"/>
    <mergeCell ref="A4:B4"/>
    <mergeCell ref="A5:B5"/>
    <mergeCell ref="A6:B6"/>
    <mergeCell ref="O22:P22"/>
  </mergeCells>
  <phoneticPr fontId="93" type="noConversion"/>
  <pageMargins left="0.70833333333333337" right="0.70833333333333337" top="0.74791666666666667" bottom="0.74791666666666667" header="0.31458333333333333" footer="0.31458333333333333"/>
  <pageSetup paperSize="9" scale="56" orientation="landscape" r:id="rId1"/>
  <headerFooter alignWithMargins="0"/>
  <colBreaks count="1" manualBreakCount="1">
    <brk id="18"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51"/>
  </sheetPr>
  <dimension ref="B1:N24"/>
  <sheetViews>
    <sheetView view="pageBreakPreview" workbookViewId="0">
      <selection activeCell="A25" sqref="A25:IV40"/>
    </sheetView>
  </sheetViews>
  <sheetFormatPr defaultRowHeight="13.5"/>
  <cols>
    <col min="1" max="1" width="2.625" style="45" customWidth="1"/>
    <col min="2" max="2" width="6.125" style="46" customWidth="1"/>
    <col min="3" max="3" width="17.875" style="45" customWidth="1"/>
    <col min="4" max="4" width="11.625" style="45" bestFit="1" customWidth="1"/>
    <col min="5" max="5" width="13.25" style="45" customWidth="1"/>
    <col min="6" max="6" width="13" style="45" customWidth="1"/>
    <col min="7" max="7" width="11.875" style="45" customWidth="1"/>
    <col min="8" max="8" width="25" style="45" bestFit="1" customWidth="1"/>
    <col min="9" max="9" width="9" style="45"/>
    <col min="10" max="10" width="10.5" style="45" bestFit="1" customWidth="1"/>
    <col min="11" max="16384" width="9" style="45"/>
  </cols>
  <sheetData>
    <row r="1" spans="2:12">
      <c r="B1" s="1275" t="s">
        <v>357</v>
      </c>
      <c r="C1" s="1276"/>
      <c r="D1" s="1276"/>
      <c r="E1" s="1276"/>
      <c r="F1" s="1276"/>
      <c r="G1" s="1276"/>
      <c r="H1" s="1277"/>
    </row>
    <row r="2" spans="2:12">
      <c r="B2" s="1278" t="s">
        <v>358</v>
      </c>
      <c r="C2" s="1278"/>
      <c r="D2" s="1278"/>
      <c r="E2" s="1278"/>
      <c r="F2" s="1278"/>
      <c r="G2" s="1278"/>
      <c r="H2" s="1278"/>
    </row>
    <row r="3" spans="2:12" customFormat="1">
      <c r="B3" s="58" t="s">
        <v>69</v>
      </c>
      <c r="C3" s="59" t="s">
        <v>87</v>
      </c>
      <c r="D3" s="60" t="s">
        <v>75</v>
      </c>
      <c r="E3" s="61" t="s">
        <v>41</v>
      </c>
      <c r="F3" s="61" t="s">
        <v>359</v>
      </c>
      <c r="G3" s="61" t="s">
        <v>360</v>
      </c>
      <c r="H3" s="62"/>
    </row>
    <row r="4" spans="2:12" customFormat="1">
      <c r="B4" s="58">
        <v>1.1000000000000001</v>
      </c>
      <c r="C4" s="63" t="s">
        <v>361</v>
      </c>
      <c r="D4" s="60">
        <f>SUM(D5:D7)</f>
        <v>4000</v>
      </c>
      <c r="E4" s="64">
        <f>SUM(E5:E7)</f>
        <v>1</v>
      </c>
      <c r="F4" s="61"/>
      <c r="G4" s="65"/>
      <c r="H4" s="66"/>
    </row>
    <row r="5" spans="2:12" customFormat="1">
      <c r="B5" s="58" t="str">
        <f>[2]成本法!B42</f>
        <v>1.1.1</v>
      </c>
      <c r="C5" s="66" t="s">
        <v>215</v>
      </c>
      <c r="D5" s="60">
        <f>ROUND(F5*E5,0)</f>
        <v>4000</v>
      </c>
      <c r="E5" s="64">
        <v>1</v>
      </c>
      <c r="F5" s="64">
        <v>4000</v>
      </c>
      <c r="G5" s="65"/>
      <c r="H5" s="66"/>
    </row>
    <row r="6" spans="2:12" customFormat="1">
      <c r="B6" s="58" t="str">
        <f>[2]成本法!B43</f>
        <v>1.1.2</v>
      </c>
      <c r="C6" s="66" t="str">
        <f>[2]成本法!C43</f>
        <v>地下非配套公建</v>
      </c>
      <c r="D6" s="60">
        <f>ROUND(F6*E6/10000,0)</f>
        <v>0</v>
      </c>
      <c r="E6" s="64">
        <f>[2]成本法!E43</f>
        <v>0</v>
      </c>
      <c r="F6" s="64">
        <f>[2]成本法!F43</f>
        <v>0</v>
      </c>
      <c r="G6" s="65"/>
      <c r="H6" s="66"/>
    </row>
    <row r="7" spans="2:12" customFormat="1">
      <c r="B7" s="58" t="str">
        <f>[2]成本法!B44</f>
        <v>1.1.3</v>
      </c>
      <c r="C7" s="66" t="str">
        <f>[2]成本法!C44</f>
        <v>地下车库及其他用房</v>
      </c>
      <c r="D7" s="60">
        <f>ROUND(F7*E7/10000,0)</f>
        <v>0</v>
      </c>
      <c r="E7" s="64">
        <f>[2]成本法!E44</f>
        <v>0</v>
      </c>
      <c r="F7" s="64">
        <f>[2]成本法!F44</f>
        <v>0</v>
      </c>
      <c r="G7" s="65"/>
      <c r="H7" s="66"/>
    </row>
    <row r="8" spans="2:12" customFormat="1">
      <c r="B8" s="58">
        <v>1.2</v>
      </c>
      <c r="C8" s="63" t="s">
        <v>362</v>
      </c>
      <c r="D8" s="60">
        <f>ROUND(D4*G8,0)</f>
        <v>200</v>
      </c>
      <c r="E8" s="67"/>
      <c r="F8" s="67"/>
      <c r="G8" s="65">
        <v>0.05</v>
      </c>
      <c r="H8" s="66" t="s">
        <v>363</v>
      </c>
    </row>
    <row r="9" spans="2:12" customFormat="1">
      <c r="B9" s="58">
        <v>1.3</v>
      </c>
      <c r="C9" s="63" t="s">
        <v>364</v>
      </c>
      <c r="D9" s="60">
        <f>ROUND(D4*G9,0)</f>
        <v>400</v>
      </c>
      <c r="E9" s="67"/>
      <c r="F9" s="67"/>
      <c r="G9" s="65">
        <v>0.1</v>
      </c>
      <c r="H9" s="66" t="s">
        <v>365</v>
      </c>
    </row>
    <row r="10" spans="2:12" customFormat="1">
      <c r="B10" s="58">
        <v>1.4</v>
      </c>
      <c r="C10" s="63" t="s">
        <v>366</v>
      </c>
      <c r="D10" s="60">
        <f>ROUND(F10*E10,0)</f>
        <v>200</v>
      </c>
      <c r="E10" s="64">
        <f>E4</f>
        <v>1</v>
      </c>
      <c r="F10" s="61">
        <v>200</v>
      </c>
      <c r="G10" s="63"/>
      <c r="H10" s="66" t="s">
        <v>367</v>
      </c>
    </row>
    <row r="11" spans="2:12" customFormat="1">
      <c r="B11" s="58">
        <v>1.5</v>
      </c>
      <c r="C11" s="63" t="s">
        <v>368</v>
      </c>
      <c r="D11" s="60">
        <f>ROUND(D4*G11,0)</f>
        <v>60</v>
      </c>
      <c r="E11" s="67"/>
      <c r="F11" s="67"/>
      <c r="G11" s="68">
        <v>1.4999999999999999E-2</v>
      </c>
      <c r="H11" s="66" t="s">
        <v>369</v>
      </c>
    </row>
    <row r="12" spans="2:12" customFormat="1">
      <c r="B12" s="58">
        <v>1</v>
      </c>
      <c r="C12" s="63" t="s">
        <v>370</v>
      </c>
      <c r="D12" s="60">
        <f>SUM(D5:D11)</f>
        <v>4860</v>
      </c>
      <c r="E12" s="63"/>
      <c r="F12" s="67"/>
      <c r="G12" s="67"/>
      <c r="H12" s="69" t="s">
        <v>371</v>
      </c>
    </row>
    <row r="13" spans="2:12" customFormat="1">
      <c r="B13" s="58">
        <v>2</v>
      </c>
      <c r="C13" s="63" t="s">
        <v>331</v>
      </c>
      <c r="D13" s="60">
        <f>ROUND(D12*G13,0)</f>
        <v>146</v>
      </c>
      <c r="E13" s="70"/>
      <c r="F13" s="70"/>
      <c r="G13" s="71">
        <v>0.03</v>
      </c>
      <c r="H13" s="66" t="s">
        <v>372</v>
      </c>
    </row>
    <row r="14" spans="2:12" customFormat="1">
      <c r="B14" s="58">
        <v>3</v>
      </c>
      <c r="C14" s="63" t="s">
        <v>373</v>
      </c>
      <c r="D14" s="60" t="s">
        <v>239</v>
      </c>
      <c r="E14" s="67"/>
      <c r="F14" s="67"/>
      <c r="G14" s="71">
        <v>0.03</v>
      </c>
      <c r="H14" s="66" t="s">
        <v>374</v>
      </c>
    </row>
    <row r="15" spans="2:12" customFormat="1">
      <c r="B15" s="58">
        <v>4</v>
      </c>
      <c r="C15" s="72" t="s">
        <v>375</v>
      </c>
      <c r="D15" s="1279"/>
      <c r="E15" s="1280"/>
      <c r="F15" s="1280"/>
      <c r="G15" s="1280"/>
      <c r="H15" s="1281"/>
      <c r="J15" s="103" t="s">
        <v>376</v>
      </c>
      <c r="K15" s="104">
        <v>0</v>
      </c>
      <c r="L15" s="1272" t="s">
        <v>377</v>
      </c>
    </row>
    <row r="16" spans="2:12" customFormat="1" ht="24">
      <c r="B16" s="58">
        <v>4.0999999999999996</v>
      </c>
      <c r="C16" s="63" t="s">
        <v>378</v>
      </c>
      <c r="D16" s="60">
        <f>ROUND((D12+D13)*G16*G17/2,0)</f>
        <v>462</v>
      </c>
      <c r="E16" s="63"/>
      <c r="F16" s="67"/>
      <c r="G16" s="149">
        <f>[2]成本法!G53</f>
        <v>6.1499999999999999E-2</v>
      </c>
      <c r="H16" s="67" t="s">
        <v>379</v>
      </c>
      <c r="J16" s="103" t="s">
        <v>380</v>
      </c>
      <c r="K16" s="106">
        <v>14</v>
      </c>
      <c r="L16" s="1273"/>
    </row>
    <row r="17" spans="2:14" customFormat="1" ht="24">
      <c r="B17" s="58">
        <v>4.2</v>
      </c>
      <c r="C17" s="63" t="s">
        <v>381</v>
      </c>
      <c r="D17" s="74">
        <f>ROUND(G14*G17*G16/2,4)</f>
        <v>2.8E-3</v>
      </c>
      <c r="E17" s="63"/>
      <c r="F17" s="67"/>
      <c r="G17" s="150">
        <v>3</v>
      </c>
      <c r="H17" s="67" t="s">
        <v>382</v>
      </c>
      <c r="J17" s="103" t="s">
        <v>383</v>
      </c>
      <c r="K17" s="106">
        <v>60</v>
      </c>
      <c r="L17" s="1273"/>
    </row>
    <row r="18" spans="2:14" customFormat="1">
      <c r="B18" s="58">
        <v>5</v>
      </c>
      <c r="C18" s="72" t="s">
        <v>384</v>
      </c>
      <c r="D18" s="1279"/>
      <c r="E18" s="1280"/>
      <c r="F18" s="1280"/>
      <c r="G18" s="1280"/>
      <c r="H18" s="1281"/>
      <c r="J18" s="108" t="s">
        <v>385</v>
      </c>
      <c r="K18" s="109">
        <f>ROUND(1-(1-K15)*K16/K17,2)</f>
        <v>0.77</v>
      </c>
      <c r="L18" s="1274"/>
    </row>
    <row r="19" spans="2:14" customFormat="1">
      <c r="B19" s="58">
        <v>5.0999999999999996</v>
      </c>
      <c r="C19" s="63" t="s">
        <v>386</v>
      </c>
      <c r="D19" s="60">
        <f>ROUND((D12+D13)*G19,0)</f>
        <v>1252</v>
      </c>
      <c r="E19" s="63"/>
      <c r="F19" s="67"/>
      <c r="G19" s="1270">
        <v>0.25</v>
      </c>
      <c r="H19" s="67" t="s">
        <v>387</v>
      </c>
    </row>
    <row r="20" spans="2:14" customFormat="1">
      <c r="B20" s="58">
        <v>5.2</v>
      </c>
      <c r="C20" s="63" t="s">
        <v>388</v>
      </c>
      <c r="D20" s="74">
        <f>ROUND(G14*G19,4)</f>
        <v>7.4999999999999997E-3</v>
      </c>
      <c r="E20" s="63"/>
      <c r="F20" s="67"/>
      <c r="G20" s="1271"/>
      <c r="H20" s="67" t="s">
        <v>389</v>
      </c>
    </row>
    <row r="21" spans="2:14" customFormat="1">
      <c r="B21" s="58">
        <v>6</v>
      </c>
      <c r="C21" s="72" t="s">
        <v>390</v>
      </c>
      <c r="D21" s="60" t="s">
        <v>239</v>
      </c>
      <c r="E21" s="59"/>
      <c r="F21" s="59"/>
      <c r="G21" s="71">
        <v>5.6000000000000001E-2</v>
      </c>
      <c r="H21" s="66" t="s">
        <v>391</v>
      </c>
    </row>
    <row r="22" spans="2:14" customFormat="1">
      <c r="B22" s="58">
        <v>7</v>
      </c>
      <c r="C22" s="72" t="s">
        <v>392</v>
      </c>
      <c r="D22" s="60">
        <f>ROUND((D12+D13+D16+D19)/(1-G14-D17-D20-G21),0)</f>
        <v>7436</v>
      </c>
      <c r="E22" s="72"/>
      <c r="F22" s="72"/>
      <c r="G22" s="76"/>
      <c r="H22" s="66" t="s">
        <v>393</v>
      </c>
    </row>
    <row r="23" spans="2:14" customFormat="1">
      <c r="B23" s="58">
        <v>8</v>
      </c>
      <c r="C23" s="72" t="s">
        <v>394</v>
      </c>
      <c r="D23" s="60" t="s">
        <v>239</v>
      </c>
      <c r="E23" s="59"/>
      <c r="F23" s="59"/>
      <c r="G23" s="77">
        <f>K18</f>
        <v>0.77</v>
      </c>
      <c r="H23" s="66"/>
      <c r="J23" s="45"/>
      <c r="K23" s="45"/>
      <c r="L23" s="45"/>
      <c r="N23" s="105"/>
    </row>
    <row r="24" spans="2:14" customFormat="1">
      <c r="B24" s="58">
        <v>9</v>
      </c>
      <c r="C24" s="72" t="s">
        <v>80</v>
      </c>
      <c r="D24" s="60">
        <f>ROUND(D22*G23,0)</f>
        <v>5726</v>
      </c>
      <c r="E24" s="59"/>
      <c r="F24" s="59"/>
      <c r="G24" s="71"/>
      <c r="H24" s="66" t="s">
        <v>395</v>
      </c>
      <c r="J24" s="45"/>
      <c r="K24" s="45"/>
      <c r="L24" s="45"/>
      <c r="N24" s="107"/>
    </row>
  </sheetData>
  <mergeCells count="6">
    <mergeCell ref="G19:G20"/>
    <mergeCell ref="L15:L18"/>
    <mergeCell ref="B1:H1"/>
    <mergeCell ref="B2:H2"/>
    <mergeCell ref="D15:H15"/>
    <mergeCell ref="D18:H18"/>
  </mergeCells>
  <phoneticPr fontId="93" type="noConversion"/>
  <pageMargins left="0.69861111111111107" right="0.69861111111111107" top="0.75" bottom="0.75" header="0.3" footer="0.3"/>
  <pageSetup paperSize="9" scale="64"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indexed="50"/>
  </sheetPr>
  <dimension ref="A1:AR143"/>
  <sheetViews>
    <sheetView topLeftCell="A32" workbookViewId="0">
      <selection activeCell="R7" sqref="R7"/>
    </sheetView>
  </sheetViews>
  <sheetFormatPr defaultRowHeight="12.75" outlineLevelRow="1"/>
  <cols>
    <col min="1" max="2" width="10.5" style="447" customWidth="1"/>
    <col min="3" max="3" width="9.875" style="448" customWidth="1"/>
    <col min="4" max="4" width="9.75" style="448" customWidth="1"/>
    <col min="5" max="5" width="12.375" style="448" bestFit="1" customWidth="1"/>
    <col min="6" max="6" width="9.5" style="448" customWidth="1"/>
    <col min="7" max="7" width="10.5" style="448" customWidth="1"/>
    <col min="8" max="8" width="10" style="448" customWidth="1"/>
    <col min="9" max="9" width="10.375" style="448" customWidth="1"/>
    <col min="10" max="10" width="7.625" style="448" customWidth="1"/>
    <col min="11" max="11" width="10.875" style="448" customWidth="1"/>
    <col min="12" max="12" width="12.375" style="448" customWidth="1"/>
    <col min="13" max="13" width="10.375" style="448" customWidth="1"/>
    <col min="14" max="14" width="13" style="448" customWidth="1"/>
    <col min="15" max="15" width="9.875" style="448" customWidth="1"/>
    <col min="16" max="16" width="11.5" style="448" customWidth="1"/>
    <col min="17" max="17" width="11.125" style="448" customWidth="1"/>
    <col min="18" max="18" width="13.75" style="449" customWidth="1"/>
    <col min="19" max="19" width="13.75" style="438" customWidth="1"/>
    <col min="20" max="20" width="9.75" style="448" customWidth="1"/>
    <col min="21" max="21" width="10.875" style="448" hidden="1" customWidth="1"/>
    <col min="22" max="22" width="7.25" style="448" customWidth="1"/>
    <col min="23" max="23" width="12" style="448" customWidth="1"/>
    <col min="24" max="24" width="11.5" style="448" customWidth="1"/>
    <col min="25" max="25" width="11.375" style="448" customWidth="1"/>
    <col min="26" max="26" width="10.5" style="448" customWidth="1"/>
    <col min="27" max="27" width="9" style="449"/>
    <col min="28" max="28" width="31.25" style="449" customWidth="1"/>
    <col min="29" max="31" width="9" style="449"/>
    <col min="32" max="32" width="26.125" style="449" customWidth="1"/>
    <col min="33" max="36" width="9" style="449"/>
    <col min="37" max="37" width="12.875" style="449" customWidth="1"/>
    <col min="38" max="16384" width="9" style="449"/>
  </cols>
  <sheetData>
    <row r="1" spans="1:41" s="434" customFormat="1" ht="16.5" customHeight="1">
      <c r="A1" s="450" t="s">
        <v>396</v>
      </c>
      <c r="B1" s="450"/>
      <c r="C1" s="451"/>
      <c r="D1" s="451"/>
      <c r="E1" s="451"/>
      <c r="F1" s="451"/>
      <c r="G1" s="451"/>
      <c r="H1" s="372"/>
      <c r="I1" s="372"/>
      <c r="J1" s="372"/>
      <c r="K1" s="372"/>
      <c r="L1" s="372"/>
      <c r="M1" s="372"/>
      <c r="N1" s="372"/>
      <c r="O1" s="372"/>
      <c r="P1" s="372"/>
      <c r="Q1" s="372"/>
      <c r="R1" s="373"/>
      <c r="S1" s="375"/>
      <c r="T1" s="372"/>
      <c r="U1" s="372"/>
      <c r="V1" s="372"/>
      <c r="W1" s="451"/>
      <c r="X1" s="451"/>
      <c r="Y1" s="452"/>
      <c r="Z1" s="487"/>
    </row>
    <row r="2" spans="1:41" s="434" customFormat="1" ht="17.25" customHeight="1">
      <c r="A2" s="450" t="s">
        <v>397</v>
      </c>
      <c r="B2" s="450"/>
      <c r="C2" s="452"/>
      <c r="D2" s="452"/>
      <c r="E2" s="452"/>
      <c r="F2" s="451"/>
      <c r="G2" s="451"/>
      <c r="H2" s="372"/>
      <c r="I2" s="372"/>
      <c r="J2" s="487"/>
      <c r="K2" s="487"/>
      <c r="L2" s="487"/>
      <c r="M2" s="487"/>
      <c r="N2" s="487"/>
      <c r="O2" s="487"/>
      <c r="P2" s="487"/>
      <c r="Q2" s="487"/>
      <c r="R2" s="497"/>
      <c r="S2" s="498"/>
      <c r="T2" s="487"/>
      <c r="U2" s="487"/>
      <c r="V2" s="487"/>
      <c r="W2" s="499"/>
      <c r="X2" s="499"/>
      <c r="Y2" s="452"/>
      <c r="Z2" s="452"/>
    </row>
    <row r="3" spans="1:41" s="434" customFormat="1" ht="13.5" customHeight="1">
      <c r="A3" s="453"/>
      <c r="B3" s="453"/>
      <c r="C3" s="454"/>
      <c r="D3" s="454"/>
      <c r="E3" s="454"/>
      <c r="F3" s="454"/>
      <c r="G3" s="454"/>
      <c r="H3" s="455"/>
      <c r="I3" s="455"/>
      <c r="J3" s="455"/>
      <c r="K3" s="455"/>
      <c r="L3" s="455"/>
      <c r="M3" s="455"/>
      <c r="N3" s="455"/>
      <c r="O3" s="455"/>
      <c r="P3" s="455"/>
      <c r="Q3" s="455"/>
      <c r="R3" s="500"/>
      <c r="S3" s="501"/>
      <c r="T3" s="455"/>
      <c r="U3" s="455"/>
      <c r="V3" s="455"/>
      <c r="W3" s="502"/>
      <c r="X3" s="502"/>
      <c r="Y3" s="454"/>
      <c r="Z3" s="454"/>
    </row>
    <row r="4" spans="1:41" s="435" customFormat="1" ht="24.6" customHeight="1">
      <c r="A4" s="456"/>
      <c r="B4" s="377" t="s">
        <v>398</v>
      </c>
      <c r="C4" s="378" t="s">
        <v>399</v>
      </c>
      <c r="D4" s="378" t="s">
        <v>400</v>
      </c>
      <c r="E4" s="378" t="s">
        <v>401</v>
      </c>
      <c r="F4" s="378" t="s">
        <v>402</v>
      </c>
      <c r="G4" s="378" t="s">
        <v>402</v>
      </c>
      <c r="H4" s="1285" t="s">
        <v>403</v>
      </c>
      <c r="I4" s="1283" t="s">
        <v>404</v>
      </c>
      <c r="J4" s="1285" t="s">
        <v>405</v>
      </c>
      <c r="K4" s="1285" t="s">
        <v>97</v>
      </c>
      <c r="L4" s="1283" t="s">
        <v>97</v>
      </c>
      <c r="M4" s="1285" t="s">
        <v>406</v>
      </c>
      <c r="N4" s="1285" t="s">
        <v>407</v>
      </c>
      <c r="O4" s="1285" t="s">
        <v>408</v>
      </c>
      <c r="P4" s="1283" t="s">
        <v>408</v>
      </c>
      <c r="Q4" s="1285" t="s">
        <v>409</v>
      </c>
      <c r="R4" s="1285" t="s">
        <v>409</v>
      </c>
      <c r="S4" s="503" t="s">
        <v>410</v>
      </c>
      <c r="T4" s="1285" t="s">
        <v>411</v>
      </c>
      <c r="U4" s="1184" t="s">
        <v>412</v>
      </c>
      <c r="V4" s="417" t="s">
        <v>413</v>
      </c>
      <c r="W4" s="1186" t="s">
        <v>105</v>
      </c>
      <c r="X4" s="1187"/>
      <c r="Y4" s="1287" t="s">
        <v>414</v>
      </c>
      <c r="Z4" s="1288"/>
    </row>
    <row r="5" spans="1:41" s="434" customFormat="1" ht="30" customHeight="1">
      <c r="A5" s="457"/>
      <c r="B5" s="457"/>
      <c r="C5" s="383" t="s">
        <v>415</v>
      </c>
      <c r="D5" s="383" t="s">
        <v>416</v>
      </c>
      <c r="E5" s="458" t="s">
        <v>417</v>
      </c>
      <c r="F5" s="383" t="s">
        <v>416</v>
      </c>
      <c r="G5" s="383" t="s">
        <v>418</v>
      </c>
      <c r="H5" s="1286"/>
      <c r="I5" s="1284"/>
      <c r="J5" s="1286"/>
      <c r="K5" s="1286"/>
      <c r="L5" s="1284"/>
      <c r="M5" s="1286"/>
      <c r="N5" s="1286"/>
      <c r="O5" s="1286"/>
      <c r="P5" s="1284"/>
      <c r="Q5" s="1286"/>
      <c r="R5" s="1286"/>
      <c r="S5" s="504"/>
      <c r="T5" s="1286"/>
      <c r="U5" s="1185"/>
      <c r="V5" s="421" t="s">
        <v>109</v>
      </c>
      <c r="W5" s="505" t="s">
        <v>110</v>
      </c>
      <c r="X5" s="506" t="s">
        <v>111</v>
      </c>
      <c r="Y5" s="506" t="s">
        <v>419</v>
      </c>
      <c r="Z5" s="506" t="s">
        <v>420</v>
      </c>
    </row>
    <row r="6" spans="1:41" s="436" customFormat="1" ht="27" customHeight="1">
      <c r="A6" s="459"/>
      <c r="B6" s="460"/>
      <c r="C6" s="387" t="s">
        <v>112</v>
      </c>
      <c r="D6" s="387" t="s">
        <v>112</v>
      </c>
      <c r="E6" s="387" t="s">
        <v>112</v>
      </c>
      <c r="F6" s="387" t="s">
        <v>112</v>
      </c>
      <c r="G6" s="387" t="s">
        <v>112</v>
      </c>
      <c r="H6" s="387" t="s">
        <v>113</v>
      </c>
      <c r="I6" s="387" t="s">
        <v>114</v>
      </c>
      <c r="J6" s="387" t="s">
        <v>113</v>
      </c>
      <c r="K6" s="387" t="s">
        <v>113</v>
      </c>
      <c r="L6" s="387" t="s">
        <v>114</v>
      </c>
      <c r="M6" s="387" t="s">
        <v>113</v>
      </c>
      <c r="N6" s="387" t="s">
        <v>113</v>
      </c>
      <c r="O6" s="387" t="s">
        <v>113</v>
      </c>
      <c r="P6" s="387" t="s">
        <v>114</v>
      </c>
      <c r="Q6" s="387" t="s">
        <v>113</v>
      </c>
      <c r="R6" s="387" t="s">
        <v>114</v>
      </c>
      <c r="S6" s="507"/>
      <c r="T6" s="387" t="s">
        <v>113</v>
      </c>
      <c r="U6" s="508"/>
      <c r="V6" s="509"/>
      <c r="W6" s="508"/>
      <c r="X6" s="508"/>
      <c r="Y6" s="387" t="s">
        <v>113</v>
      </c>
      <c r="Z6" s="387" t="s">
        <v>113</v>
      </c>
    </row>
    <row r="7" spans="1:41" ht="14.25" customHeight="1">
      <c r="A7" s="461" t="s">
        <v>421</v>
      </c>
      <c r="B7" s="461" t="s">
        <v>422</v>
      </c>
      <c r="C7" s="462">
        <v>22.15</v>
      </c>
      <c r="D7" s="462">
        <f>C7</f>
        <v>22.15</v>
      </c>
      <c r="E7" s="462">
        <f>D7/0.8651</f>
        <v>25.603976418911106</v>
      </c>
      <c r="F7" s="462">
        <v>25.6</v>
      </c>
      <c r="G7" s="463"/>
      <c r="H7" s="464">
        <f>I7/6.2</f>
        <v>33.36774193548387</v>
      </c>
      <c r="I7" s="464">
        <v>206.88</v>
      </c>
      <c r="J7" s="464">
        <f>64/8</f>
        <v>8</v>
      </c>
      <c r="K7" s="464">
        <f>H7*C7</f>
        <v>739.09548387096766</v>
      </c>
      <c r="L7" s="488"/>
      <c r="M7" s="464">
        <f>K7/D7</f>
        <v>33.36774193548387</v>
      </c>
      <c r="N7" s="464">
        <f>Q7/D7</f>
        <v>33.36774193548387</v>
      </c>
      <c r="O7" s="464">
        <f>Q7/F7</f>
        <v>28.870917338709674</v>
      </c>
      <c r="P7" s="464">
        <f>R7/F7</f>
        <v>178.99968749999999</v>
      </c>
      <c r="Q7" s="464">
        <f>K7</f>
        <v>739.09548387096766</v>
      </c>
      <c r="R7" s="464">
        <f>Q7*6.2</f>
        <v>4582.3919999999998</v>
      </c>
      <c r="S7" s="480">
        <f>R7/30/E7</f>
        <v>5.9657296000000004</v>
      </c>
      <c r="T7" s="464">
        <f>C7*J7</f>
        <v>177.2</v>
      </c>
      <c r="U7" s="510"/>
      <c r="V7" s="511" t="s">
        <v>423</v>
      </c>
      <c r="W7" s="512">
        <v>40909</v>
      </c>
      <c r="X7" s="512">
        <v>42004</v>
      </c>
      <c r="Y7" s="462">
        <f>K7*3</f>
        <v>2217.286451612903</v>
      </c>
      <c r="Z7" s="462">
        <f>T7*3</f>
        <v>531.59999999999991</v>
      </c>
      <c r="AA7" s="439">
        <v>18000</v>
      </c>
      <c r="AB7" s="449" t="s">
        <v>424</v>
      </c>
      <c r="AC7" s="545" t="s">
        <v>425</v>
      </c>
      <c r="AK7" s="551" t="s">
        <v>426</v>
      </c>
    </row>
    <row r="8" spans="1:41" ht="14.25" customHeight="1">
      <c r="A8" s="461" t="s">
        <v>427</v>
      </c>
      <c r="B8" s="461" t="s">
        <v>428</v>
      </c>
      <c r="C8" s="462">
        <v>26.28</v>
      </c>
      <c r="D8" s="462">
        <f>C8</f>
        <v>26.28</v>
      </c>
      <c r="E8" s="462">
        <f>D8/0.8651</f>
        <v>30.377990983701309</v>
      </c>
      <c r="F8" s="462">
        <v>30.38</v>
      </c>
      <c r="G8" s="463"/>
      <c r="H8" s="464">
        <f>I8/6.2</f>
        <v>21.93548387096774</v>
      </c>
      <c r="I8" s="464">
        <v>136</v>
      </c>
      <c r="J8" s="464">
        <f>64/8</f>
        <v>8</v>
      </c>
      <c r="K8" s="464">
        <f>H8*C8</f>
        <v>576.46451612903229</v>
      </c>
      <c r="L8" s="489">
        <f>I8*C8</f>
        <v>3574.08</v>
      </c>
      <c r="M8" s="464">
        <f>K8/D8</f>
        <v>21.935483870967744</v>
      </c>
      <c r="N8" s="464">
        <f>Q8/D8</f>
        <v>21.935483870967744</v>
      </c>
      <c r="O8" s="464">
        <f>Q8/F8</f>
        <v>18.975132196479009</v>
      </c>
      <c r="P8" s="464">
        <f>R8/F8</f>
        <v>117.64581961816987</v>
      </c>
      <c r="Q8" s="464">
        <f>K8</f>
        <v>576.46451612903229</v>
      </c>
      <c r="R8" s="464">
        <f>Q8*6.2</f>
        <v>3574.0800000000004</v>
      </c>
      <c r="S8" s="480">
        <f t="shared" ref="S8:S72" si="0">R8/30/E8</f>
        <v>3.9217866666666668</v>
      </c>
      <c r="T8" s="464">
        <f>C8*J8</f>
        <v>210.24</v>
      </c>
      <c r="U8" s="510"/>
      <c r="V8" s="511" t="s">
        <v>144</v>
      </c>
      <c r="W8" s="512">
        <v>40940</v>
      </c>
      <c r="X8" s="512">
        <v>41670</v>
      </c>
      <c r="Y8" s="462">
        <f>K8*3</f>
        <v>1729.3935483870969</v>
      </c>
      <c r="Z8" s="462">
        <f>T8*3</f>
        <v>630.72</v>
      </c>
      <c r="AB8" s="449" t="s">
        <v>424</v>
      </c>
      <c r="AC8" s="449" t="s">
        <v>429</v>
      </c>
      <c r="AK8" s="545" t="s">
        <v>430</v>
      </c>
    </row>
    <row r="9" spans="1:41" ht="14.25" hidden="1" customHeight="1">
      <c r="A9" s="461"/>
      <c r="B9" s="461"/>
      <c r="C9" s="462"/>
      <c r="D9" s="462"/>
      <c r="E9" s="462"/>
      <c r="F9" s="462"/>
      <c r="G9" s="463"/>
      <c r="H9" s="464"/>
      <c r="I9" s="464"/>
      <c r="J9" s="464"/>
      <c r="K9" s="464"/>
      <c r="L9" s="489"/>
      <c r="M9" s="464"/>
      <c r="N9" s="464"/>
      <c r="O9" s="464"/>
      <c r="P9" s="464"/>
      <c r="Q9" s="464"/>
      <c r="R9" s="464"/>
      <c r="S9" s="480" t="e">
        <f t="shared" si="0"/>
        <v>#DIV/0!</v>
      </c>
      <c r="T9" s="464"/>
      <c r="U9" s="510"/>
      <c r="V9" s="511"/>
      <c r="W9" s="512"/>
      <c r="X9" s="512"/>
      <c r="Y9" s="462"/>
      <c r="Z9" s="462"/>
      <c r="AK9" s="545"/>
    </row>
    <row r="10" spans="1:41" s="437" customFormat="1" ht="15" hidden="1" customHeight="1">
      <c r="A10" s="465"/>
      <c r="B10" s="466"/>
      <c r="C10" s="467"/>
      <c r="D10" s="467"/>
      <c r="E10" s="467"/>
      <c r="F10" s="467"/>
      <c r="G10" s="467"/>
      <c r="H10" s="468"/>
      <c r="I10" s="468"/>
      <c r="J10" s="468"/>
      <c r="K10" s="468"/>
      <c r="L10" s="490"/>
      <c r="M10" s="468"/>
      <c r="N10" s="468"/>
      <c r="O10" s="468"/>
      <c r="P10" s="468"/>
      <c r="Q10" s="468"/>
      <c r="R10" s="468"/>
      <c r="S10" s="480" t="e">
        <f t="shared" si="0"/>
        <v>#DIV/0!</v>
      </c>
      <c r="T10" s="468"/>
      <c r="U10" s="513"/>
      <c r="V10" s="514"/>
      <c r="W10" s="515"/>
      <c r="X10" s="515"/>
      <c r="Y10" s="467"/>
      <c r="Z10" s="467"/>
    </row>
    <row r="11" spans="1:41" s="436" customFormat="1" hidden="1">
      <c r="A11" s="469"/>
      <c r="B11" s="469"/>
      <c r="C11" s="470"/>
      <c r="D11" s="470"/>
      <c r="E11" s="470"/>
      <c r="F11" s="470"/>
      <c r="G11" s="470"/>
      <c r="H11" s="471"/>
      <c r="I11" s="471"/>
      <c r="J11" s="471"/>
      <c r="K11" s="471"/>
      <c r="L11" s="491"/>
      <c r="M11" s="471"/>
      <c r="N11" s="471"/>
      <c r="O11" s="471"/>
      <c r="P11" s="471"/>
      <c r="Q11" s="471"/>
      <c r="R11" s="471"/>
      <c r="S11" s="480" t="e">
        <f t="shared" si="0"/>
        <v>#DIV/0!</v>
      </c>
      <c r="T11" s="471"/>
      <c r="U11" s="516"/>
      <c r="V11" s="517"/>
      <c r="W11" s="512"/>
      <c r="X11" s="518"/>
      <c r="Y11" s="470"/>
      <c r="Z11" s="470"/>
    </row>
    <row r="12" spans="1:41" ht="14.25" hidden="1" customHeight="1">
      <c r="A12" s="461"/>
      <c r="B12" s="461"/>
      <c r="C12" s="462"/>
      <c r="D12" s="462"/>
      <c r="E12" s="462"/>
      <c r="F12" s="462"/>
      <c r="G12" s="463"/>
      <c r="H12" s="464"/>
      <c r="I12" s="464"/>
      <c r="J12" s="464"/>
      <c r="K12" s="464"/>
      <c r="L12" s="489"/>
      <c r="M12" s="464"/>
      <c r="N12" s="464"/>
      <c r="O12" s="464"/>
      <c r="P12" s="464"/>
      <c r="Q12" s="464"/>
      <c r="R12" s="464"/>
      <c r="S12" s="480" t="e">
        <f t="shared" si="0"/>
        <v>#DIV/0!</v>
      </c>
      <c r="T12" s="464"/>
      <c r="U12" s="510"/>
      <c r="V12" s="511"/>
      <c r="W12" s="512"/>
      <c r="X12" s="512"/>
      <c r="Y12" s="462"/>
      <c r="Z12" s="462"/>
      <c r="AK12" s="545"/>
    </row>
    <row r="13" spans="1:41" ht="25.5" hidden="1" customHeight="1">
      <c r="A13" s="461"/>
      <c r="B13" s="461"/>
      <c r="C13" s="462"/>
      <c r="D13" s="462"/>
      <c r="E13" s="462"/>
      <c r="F13" s="462"/>
      <c r="G13" s="463"/>
      <c r="H13" s="464"/>
      <c r="I13" s="464"/>
      <c r="J13" s="464"/>
      <c r="K13" s="464"/>
      <c r="L13" s="489"/>
      <c r="M13" s="464"/>
      <c r="N13" s="464"/>
      <c r="O13" s="464"/>
      <c r="P13" s="464"/>
      <c r="Q13" s="464"/>
      <c r="R13" s="464"/>
      <c r="S13" s="480" t="e">
        <f t="shared" si="0"/>
        <v>#DIV/0!</v>
      </c>
      <c r="T13" s="464"/>
      <c r="U13" s="519"/>
      <c r="V13" s="520"/>
      <c r="W13" s="512"/>
      <c r="X13" s="521"/>
      <c r="Y13" s="546"/>
      <c r="Z13" s="546"/>
      <c r="AK13" s="545"/>
    </row>
    <row r="14" spans="1:41" s="436" customFormat="1" hidden="1">
      <c r="A14" s="461"/>
      <c r="B14" s="461"/>
      <c r="C14" s="462"/>
      <c r="D14" s="462"/>
      <c r="E14" s="462"/>
      <c r="F14" s="462"/>
      <c r="G14" s="462"/>
      <c r="H14" s="472"/>
      <c r="I14" s="472"/>
      <c r="J14" s="472"/>
      <c r="K14" s="472"/>
      <c r="L14" s="492"/>
      <c r="M14" s="472"/>
      <c r="N14" s="472"/>
      <c r="O14" s="472"/>
      <c r="P14" s="472"/>
      <c r="Q14" s="472"/>
      <c r="R14" s="472"/>
      <c r="S14" s="480" t="e">
        <f t="shared" si="0"/>
        <v>#DIV/0!</v>
      </c>
      <c r="T14" s="472"/>
      <c r="U14" s="522"/>
      <c r="V14" s="511"/>
      <c r="W14" s="512"/>
      <c r="X14" s="512"/>
      <c r="Y14" s="462"/>
      <c r="Z14" s="462"/>
    </row>
    <row r="15" spans="1:41" s="436" customFormat="1" ht="12.75" customHeight="1">
      <c r="A15" s="473" t="s">
        <v>431</v>
      </c>
      <c r="B15" s="461" t="s">
        <v>432</v>
      </c>
      <c r="C15" s="462">
        <v>239.2</v>
      </c>
      <c r="D15" s="462">
        <v>239.2</v>
      </c>
      <c r="E15" s="462">
        <v>276.47000000000003</v>
      </c>
      <c r="F15" s="462">
        <v>276.47000000000003</v>
      </c>
      <c r="G15" s="462"/>
      <c r="H15" s="472">
        <f>I15/6.2</f>
        <v>80.645161290322577</v>
      </c>
      <c r="I15" s="472">
        <v>500</v>
      </c>
      <c r="J15" s="472">
        <f>64/8</f>
        <v>8</v>
      </c>
      <c r="K15" s="472">
        <f>C15*H15</f>
        <v>19290.322580645159</v>
      </c>
      <c r="L15" s="492">
        <f>C15*I15</f>
        <v>119600</v>
      </c>
      <c r="M15" s="472">
        <f>L15/D15</f>
        <v>500</v>
      </c>
      <c r="N15" s="472">
        <f>Q15/D15</f>
        <v>80.645161290322577</v>
      </c>
      <c r="O15" s="472">
        <f>Q15/F15</f>
        <v>69.773655661175383</v>
      </c>
      <c r="P15" s="472">
        <f>R15/F15</f>
        <v>432.59666509928735</v>
      </c>
      <c r="Q15" s="462">
        <f>(K15*60)/60</f>
        <v>19290.322580645159</v>
      </c>
      <c r="R15" s="472">
        <f>Q15*6.2</f>
        <v>119599.99999999999</v>
      </c>
      <c r="S15" s="480">
        <f t="shared" si="0"/>
        <v>14.419888836642912</v>
      </c>
      <c r="T15" s="472">
        <f>C15*J15</f>
        <v>1913.6</v>
      </c>
      <c r="U15" s="522">
        <v>39083</v>
      </c>
      <c r="V15" s="511" t="s">
        <v>121</v>
      </c>
      <c r="W15" s="512">
        <v>41365</v>
      </c>
      <c r="X15" s="512">
        <v>41729</v>
      </c>
      <c r="Y15" s="462">
        <f>K15*3</f>
        <v>57870.967741935478</v>
      </c>
      <c r="Z15" s="462">
        <f>T15*3</f>
        <v>5740.7999999999993</v>
      </c>
      <c r="AA15" s="436" t="s">
        <v>433</v>
      </c>
      <c r="AB15" s="436" t="s">
        <v>424</v>
      </c>
      <c r="AC15" s="436">
        <v>626728.1</v>
      </c>
      <c r="AD15" s="436">
        <v>35398.300000000003</v>
      </c>
      <c r="AE15" s="547" t="s">
        <v>424</v>
      </c>
      <c r="AF15" s="436" t="e">
        <f>#REF!*3</f>
        <v>#REF!</v>
      </c>
      <c r="AG15" s="436">
        <f>Z15*3</f>
        <v>17222.399999999998</v>
      </c>
      <c r="AI15" s="436" t="s">
        <v>424</v>
      </c>
      <c r="AJ15" s="436" t="s">
        <v>424</v>
      </c>
      <c r="AK15" s="436" t="s">
        <v>424</v>
      </c>
      <c r="AL15" s="436" t="s">
        <v>424</v>
      </c>
      <c r="AM15" s="552" t="s">
        <v>424</v>
      </c>
      <c r="AN15" s="436" t="s">
        <v>424</v>
      </c>
      <c r="AO15" s="436" t="s">
        <v>424</v>
      </c>
    </row>
    <row r="16" spans="1:41" ht="14.25" customHeight="1">
      <c r="A16" s="461" t="s">
        <v>434</v>
      </c>
      <c r="B16" s="461" t="s">
        <v>435</v>
      </c>
      <c r="C16" s="462">
        <v>31.75</v>
      </c>
      <c r="D16" s="462">
        <f>C16</f>
        <v>31.75</v>
      </c>
      <c r="E16" s="462">
        <f>D16/0.8651</f>
        <v>36.700959426655878</v>
      </c>
      <c r="F16" s="462">
        <v>47.24</v>
      </c>
      <c r="G16" s="463"/>
      <c r="H16" s="464">
        <f>I16/6.2</f>
        <v>72.58064516129032</v>
      </c>
      <c r="I16" s="464">
        <v>450</v>
      </c>
      <c r="J16" s="464">
        <f>64/8</f>
        <v>8</v>
      </c>
      <c r="K16" s="464">
        <f>H16*C16</f>
        <v>2304.4354838709678</v>
      </c>
      <c r="L16" s="489">
        <f>I16*C16</f>
        <v>14287.5</v>
      </c>
      <c r="M16" s="464">
        <f>K16/D16</f>
        <v>72.58064516129032</v>
      </c>
      <c r="N16" s="464">
        <f>Q16/D16</f>
        <v>72.58064516129032</v>
      </c>
      <c r="O16" s="464">
        <f>Q16/F16</f>
        <v>48.781445467209309</v>
      </c>
      <c r="P16" s="464">
        <f>R16/F16</f>
        <v>302.44496189669769</v>
      </c>
      <c r="Q16" s="464">
        <f>K16</f>
        <v>2304.4354838709678</v>
      </c>
      <c r="R16" s="464">
        <f>Q16*6.2</f>
        <v>14287.5</v>
      </c>
      <c r="S16" s="480">
        <f t="shared" si="0"/>
        <v>12.9765</v>
      </c>
      <c r="T16" s="464">
        <f>C16*J16</f>
        <v>254</v>
      </c>
      <c r="U16" s="510"/>
      <c r="V16" s="511" t="s">
        <v>423</v>
      </c>
      <c r="W16" s="512">
        <v>40848</v>
      </c>
      <c r="X16" s="512">
        <v>41943</v>
      </c>
      <c r="Y16" s="462">
        <f>K16*3</f>
        <v>6913.3064516129034</v>
      </c>
      <c r="Z16" s="462">
        <f>T16*3</f>
        <v>762</v>
      </c>
      <c r="AA16" s="449" t="s">
        <v>436</v>
      </c>
      <c r="AB16" s="548" t="s">
        <v>424</v>
      </c>
      <c r="AC16" s="449" t="s">
        <v>437</v>
      </c>
      <c r="AG16" s="449" t="s">
        <v>438</v>
      </c>
      <c r="AK16" s="545" t="s">
        <v>439</v>
      </c>
    </row>
    <row r="17" spans="1:42" s="438" customFormat="1" ht="14.25" customHeight="1">
      <c r="A17" s="474"/>
      <c r="B17" s="474"/>
      <c r="C17" s="475"/>
      <c r="D17" s="475"/>
      <c r="E17" s="475">
        <f>SUM(E7:E16)</f>
        <v>369.15292682926832</v>
      </c>
      <c r="F17" s="475"/>
      <c r="G17" s="476"/>
      <c r="H17" s="477"/>
      <c r="I17" s="477"/>
      <c r="J17" s="477"/>
      <c r="K17" s="477"/>
      <c r="L17" s="493"/>
      <c r="M17" s="477"/>
      <c r="N17" s="477"/>
      <c r="O17" s="477"/>
      <c r="P17" s="477"/>
      <c r="Q17" s="477"/>
      <c r="R17" s="477">
        <f>SUM(R15:R16)</f>
        <v>133887.5</v>
      </c>
      <c r="S17" s="480">
        <f t="shared" si="0"/>
        <v>12.089614743135295</v>
      </c>
      <c r="T17" s="477"/>
      <c r="U17" s="523"/>
      <c r="V17" s="524"/>
      <c r="W17" s="525"/>
      <c r="X17" s="525"/>
      <c r="Y17" s="475"/>
      <c r="Z17" s="475"/>
      <c r="AK17" s="553"/>
    </row>
    <row r="18" spans="1:42" s="436" customFormat="1" ht="13.5" customHeight="1">
      <c r="A18" s="461" t="s">
        <v>440</v>
      </c>
      <c r="B18" s="461" t="s">
        <v>441</v>
      </c>
      <c r="C18" s="462">
        <v>149.06</v>
      </c>
      <c r="D18" s="462">
        <v>152.97999999999999</v>
      </c>
      <c r="E18" s="462">
        <v>176.82</v>
      </c>
      <c r="F18" s="462">
        <f>E18</f>
        <v>176.82</v>
      </c>
      <c r="G18" s="462"/>
      <c r="H18" s="462">
        <f>400/6.2</f>
        <v>64.516129032258064</v>
      </c>
      <c r="I18" s="462">
        <f>400</f>
        <v>400</v>
      </c>
      <c r="J18" s="462">
        <f>64/8</f>
        <v>8</v>
      </c>
      <c r="K18" s="462">
        <f t="shared" ref="K18:L23" si="1">H18*$C$18</f>
        <v>9616.7741935483864</v>
      </c>
      <c r="L18" s="489">
        <f t="shared" si="1"/>
        <v>59624</v>
      </c>
      <c r="M18" s="462">
        <f>K23/D18</f>
        <v>86.436557171715478</v>
      </c>
      <c r="N18" s="462">
        <f>Q18/D18</f>
        <v>72.903560846850937</v>
      </c>
      <c r="O18" s="462">
        <f>Q18/F18</f>
        <v>63.074237859694918</v>
      </c>
      <c r="P18" s="462">
        <f>R18/F18</f>
        <v>391.06027473010852</v>
      </c>
      <c r="Q18" s="462">
        <f>(400*10+430*12+460*12+490*12+520*12+550*12)*C18/72/6.2</f>
        <v>11152.786738351255</v>
      </c>
      <c r="R18" s="462">
        <f>Q18*6.2</f>
        <v>69147.277777777781</v>
      </c>
      <c r="S18" s="480">
        <f t="shared" si="0"/>
        <v>13.035342491003616</v>
      </c>
      <c r="T18" s="462">
        <f>C18*J18</f>
        <v>1192.48</v>
      </c>
      <c r="U18" s="526">
        <v>39856</v>
      </c>
      <c r="V18" s="527" t="s">
        <v>442</v>
      </c>
      <c r="W18" s="512">
        <v>39887</v>
      </c>
      <c r="X18" s="512">
        <v>40251</v>
      </c>
      <c r="Y18" s="462">
        <f>K18*3</f>
        <v>28850.322580645159</v>
      </c>
      <c r="Z18" s="462">
        <f>T18*3</f>
        <v>3577.44</v>
      </c>
      <c r="AB18" s="549"/>
      <c r="AK18" s="436" t="s">
        <v>443</v>
      </c>
      <c r="AM18" s="436" t="s">
        <v>444</v>
      </c>
    </row>
    <row r="19" spans="1:42" s="436" customFormat="1">
      <c r="A19" s="461"/>
      <c r="B19" s="461"/>
      <c r="C19" s="462"/>
      <c r="D19" s="462"/>
      <c r="E19" s="462"/>
      <c r="F19" s="462"/>
      <c r="G19" s="462"/>
      <c r="H19" s="462">
        <f>430/6.2</f>
        <v>69.354838709677423</v>
      </c>
      <c r="I19" s="462">
        <f>430</f>
        <v>430</v>
      </c>
      <c r="J19" s="462"/>
      <c r="K19" s="462">
        <f t="shared" si="1"/>
        <v>10338.032258064517</v>
      </c>
      <c r="L19" s="489">
        <f t="shared" si="1"/>
        <v>64095.8</v>
      </c>
      <c r="M19" s="462"/>
      <c r="N19" s="462"/>
      <c r="O19" s="462"/>
      <c r="P19" s="462"/>
      <c r="Q19" s="462"/>
      <c r="R19" s="462"/>
      <c r="S19" s="480"/>
      <c r="T19" s="462"/>
      <c r="U19" s="526"/>
      <c r="V19" s="527"/>
      <c r="W19" s="512">
        <v>40252</v>
      </c>
      <c r="X19" s="512">
        <v>40616</v>
      </c>
      <c r="Y19" s="462"/>
      <c r="Z19" s="462"/>
    </row>
    <row r="20" spans="1:42" s="436" customFormat="1">
      <c r="A20" s="461"/>
      <c r="B20" s="461"/>
      <c r="C20" s="462"/>
      <c r="D20" s="462"/>
      <c r="E20" s="462"/>
      <c r="F20" s="462"/>
      <c r="G20" s="462"/>
      <c r="H20" s="462">
        <f>460/6.2</f>
        <v>74.193548387096769</v>
      </c>
      <c r="I20" s="462">
        <f>460</f>
        <v>460</v>
      </c>
      <c r="J20" s="462"/>
      <c r="K20" s="462">
        <f t="shared" si="1"/>
        <v>11059.290322580644</v>
      </c>
      <c r="L20" s="489">
        <f t="shared" si="1"/>
        <v>68567.600000000006</v>
      </c>
      <c r="M20" s="462"/>
      <c r="N20" s="462"/>
      <c r="O20" s="462"/>
      <c r="P20" s="462"/>
      <c r="Q20" s="462"/>
      <c r="R20" s="462"/>
      <c r="S20" s="480"/>
      <c r="T20" s="462"/>
      <c r="U20" s="526"/>
      <c r="V20" s="527"/>
      <c r="W20" s="512">
        <v>40617</v>
      </c>
      <c r="X20" s="512">
        <v>40982</v>
      </c>
      <c r="Y20" s="462"/>
      <c r="Z20" s="462"/>
    </row>
    <row r="21" spans="1:42" s="436" customFormat="1" ht="15.75" customHeight="1">
      <c r="A21" s="461"/>
      <c r="B21" s="461"/>
      <c r="C21" s="462"/>
      <c r="D21" s="462"/>
      <c r="E21" s="462"/>
      <c r="F21" s="462"/>
      <c r="G21" s="462"/>
      <c r="H21" s="462">
        <f>490/6.2</f>
        <v>79.032258064516128</v>
      </c>
      <c r="I21" s="462">
        <f>490</f>
        <v>490</v>
      </c>
      <c r="J21" s="462"/>
      <c r="K21" s="462">
        <f t="shared" si="1"/>
        <v>11780.548387096775</v>
      </c>
      <c r="L21" s="489">
        <f t="shared" si="1"/>
        <v>73039.399999999994</v>
      </c>
      <c r="M21" s="478"/>
      <c r="N21" s="478"/>
      <c r="O21" s="478"/>
      <c r="P21" s="478"/>
      <c r="Q21" s="478"/>
      <c r="R21" s="478"/>
      <c r="S21" s="480"/>
      <c r="T21" s="478"/>
      <c r="U21" s="526"/>
      <c r="V21" s="527"/>
      <c r="W21" s="512">
        <v>40983</v>
      </c>
      <c r="X21" s="512">
        <v>41347</v>
      </c>
      <c r="Y21" s="462"/>
      <c r="Z21" s="462"/>
    </row>
    <row r="22" spans="1:42" s="436" customFormat="1">
      <c r="A22" s="461"/>
      <c r="B22" s="461"/>
      <c r="C22" s="462"/>
      <c r="D22" s="462"/>
      <c r="E22" s="462"/>
      <c r="F22" s="462"/>
      <c r="G22" s="462"/>
      <c r="H22" s="478">
        <f>520/6.2</f>
        <v>83.870967741935488</v>
      </c>
      <c r="I22" s="478">
        <f>520</f>
        <v>520</v>
      </c>
      <c r="J22" s="478"/>
      <c r="K22" s="478">
        <f t="shared" si="1"/>
        <v>12501.806451612903</v>
      </c>
      <c r="L22" s="494">
        <f t="shared" si="1"/>
        <v>77511.199999999997</v>
      </c>
      <c r="M22" s="462"/>
      <c r="N22" s="462"/>
      <c r="O22" s="462"/>
      <c r="P22" s="462"/>
      <c r="Q22" s="462"/>
      <c r="R22" s="462"/>
      <c r="S22" s="480"/>
      <c r="T22" s="462"/>
      <c r="U22" s="526"/>
      <c r="V22" s="527"/>
      <c r="W22" s="528">
        <v>41348</v>
      </c>
      <c r="X22" s="528">
        <v>41712</v>
      </c>
      <c r="Y22" s="462"/>
      <c r="Z22" s="462"/>
    </row>
    <row r="23" spans="1:42" s="439" customFormat="1" ht="12.75" customHeight="1">
      <c r="A23" s="461"/>
      <c r="B23" s="461"/>
      <c r="C23" s="462"/>
      <c r="D23" s="462"/>
      <c r="E23" s="462"/>
      <c r="F23" s="462"/>
      <c r="G23" s="462"/>
      <c r="H23" s="462">
        <f>550/6.2</f>
        <v>88.709677419354833</v>
      </c>
      <c r="I23" s="462">
        <f>550</f>
        <v>550</v>
      </c>
      <c r="J23" s="462"/>
      <c r="K23" s="462">
        <f t="shared" si="1"/>
        <v>13223.064516129032</v>
      </c>
      <c r="L23" s="489">
        <f t="shared" si="1"/>
        <v>81983</v>
      </c>
      <c r="M23" s="462"/>
      <c r="N23" s="462"/>
      <c r="O23" s="462"/>
      <c r="P23" s="462"/>
      <c r="Q23" s="462"/>
      <c r="R23" s="462"/>
      <c r="S23" s="480"/>
      <c r="T23" s="462"/>
      <c r="U23" s="526"/>
      <c r="V23" s="527"/>
      <c r="W23" s="512">
        <v>41713</v>
      </c>
      <c r="X23" s="512">
        <v>42077</v>
      </c>
      <c r="Y23" s="462"/>
      <c r="Z23" s="462"/>
    </row>
    <row r="24" spans="1:42" s="436" customFormat="1">
      <c r="A24" s="461" t="s">
        <v>445</v>
      </c>
      <c r="B24" s="461" t="s">
        <v>446</v>
      </c>
      <c r="C24" s="462">
        <v>423.02</v>
      </c>
      <c r="D24" s="462">
        <f>C24</f>
        <v>423.02</v>
      </c>
      <c r="E24" s="462">
        <v>579.03</v>
      </c>
      <c r="F24" s="462">
        <v>579.03</v>
      </c>
      <c r="G24" s="462"/>
      <c r="H24" s="479">
        <f>I24/6.2</f>
        <v>34.193548387096776</v>
      </c>
      <c r="I24" s="472">
        <v>212</v>
      </c>
      <c r="J24" s="472">
        <v>6</v>
      </c>
      <c r="K24" s="472">
        <f>C24*H24</f>
        <v>14464.554838709677</v>
      </c>
      <c r="L24" s="492">
        <f>C24*I24</f>
        <v>89680.239999999991</v>
      </c>
      <c r="M24" s="479">
        <f>K24/D24</f>
        <v>34.193548387096776</v>
      </c>
      <c r="N24" s="479">
        <f>Q24/D24</f>
        <v>35.578387096774186</v>
      </c>
      <c r="O24" s="479">
        <f>Q24/F24</f>
        <v>25.99238262210493</v>
      </c>
      <c r="P24" s="479">
        <f>R24/F24</f>
        <v>161.15277225705057</v>
      </c>
      <c r="Q24" s="479">
        <f>(K24*24+K25*24+K26*12)/60</f>
        <v>15050.369309677417</v>
      </c>
      <c r="R24" s="479">
        <f>Q24*6.2</f>
        <v>93312.289719999986</v>
      </c>
      <c r="S24" s="480">
        <f t="shared" si="0"/>
        <v>5.3717590752350191</v>
      </c>
      <c r="T24" s="479">
        <f>C24*J24</f>
        <v>2538.12</v>
      </c>
      <c r="U24" s="522">
        <v>40360</v>
      </c>
      <c r="V24" s="511" t="s">
        <v>447</v>
      </c>
      <c r="W24" s="512">
        <v>40544</v>
      </c>
      <c r="X24" s="512">
        <v>41274</v>
      </c>
      <c r="Y24" s="462">
        <f>K24*2</f>
        <v>28929.109677419354</v>
      </c>
      <c r="Z24" s="462">
        <f>T24*2</f>
        <v>5076.24</v>
      </c>
      <c r="AB24" s="549" t="s">
        <v>448</v>
      </c>
      <c r="AC24" s="436" t="s">
        <v>424</v>
      </c>
      <c r="AF24" s="436">
        <f>44165.52*3/8</f>
        <v>16562.07</v>
      </c>
      <c r="AG24" s="436">
        <f>5608.32*3/8</f>
        <v>2103.12</v>
      </c>
      <c r="AK24" s="436" t="s">
        <v>449</v>
      </c>
      <c r="AN24" s="436" t="s">
        <v>450</v>
      </c>
      <c r="AP24" s="436" t="s">
        <v>451</v>
      </c>
    </row>
    <row r="25" spans="1:42" s="436" customFormat="1" ht="12.75" customHeight="1">
      <c r="A25" s="461"/>
      <c r="B25" s="461"/>
      <c r="C25" s="462"/>
      <c r="D25" s="462"/>
      <c r="E25" s="462"/>
      <c r="F25" s="462"/>
      <c r="G25" s="462"/>
      <c r="H25" s="472">
        <f>I25/6.2</f>
        <v>35.903225806451609</v>
      </c>
      <c r="I25" s="479">
        <v>222.6</v>
      </c>
      <c r="J25" s="479">
        <v>6</v>
      </c>
      <c r="K25" s="479">
        <f>423.02*H25</f>
        <v>15187.782580645158</v>
      </c>
      <c r="L25" s="495">
        <f>423.02*I25</f>
        <v>94164.251999999993</v>
      </c>
      <c r="M25" s="472"/>
      <c r="N25" s="472"/>
      <c r="O25" s="472"/>
      <c r="P25" s="472"/>
      <c r="Q25" s="472"/>
      <c r="R25" s="472"/>
      <c r="S25" s="480"/>
      <c r="T25" s="472"/>
      <c r="U25" s="526"/>
      <c r="V25" s="527"/>
      <c r="W25" s="512">
        <v>41275</v>
      </c>
      <c r="X25" s="512">
        <v>42004</v>
      </c>
      <c r="Y25" s="462"/>
      <c r="Z25" s="462"/>
      <c r="AK25" s="436" t="s">
        <v>452</v>
      </c>
      <c r="AL25" s="436" t="s">
        <v>453</v>
      </c>
    </row>
    <row r="26" spans="1:42" s="436" customFormat="1" ht="12.75" customHeight="1">
      <c r="A26" s="461"/>
      <c r="B26" s="461"/>
      <c r="C26" s="462"/>
      <c r="D26" s="462"/>
      <c r="E26" s="462"/>
      <c r="F26" s="462"/>
      <c r="G26" s="462"/>
      <c r="H26" s="472">
        <f>I26/6.2</f>
        <v>37.698387096774191</v>
      </c>
      <c r="I26" s="472">
        <v>233.73</v>
      </c>
      <c r="J26" s="472">
        <v>6</v>
      </c>
      <c r="K26" s="472">
        <f>423.02*H26</f>
        <v>15947.171709677417</v>
      </c>
      <c r="L26" s="492">
        <f>423.02*I26+0.01</f>
        <v>98872.474599999987</v>
      </c>
      <c r="M26" s="472"/>
      <c r="N26" s="472"/>
      <c r="O26" s="472"/>
      <c r="P26" s="472"/>
      <c r="Q26" s="472"/>
      <c r="R26" s="472"/>
      <c r="S26" s="480"/>
      <c r="T26" s="472"/>
      <c r="U26" s="526"/>
      <c r="V26" s="527"/>
      <c r="W26" s="512">
        <v>42005</v>
      </c>
      <c r="X26" s="512">
        <v>42369</v>
      </c>
      <c r="Y26" s="462"/>
      <c r="Z26" s="462"/>
    </row>
    <row r="27" spans="1:42" s="436" customFormat="1" hidden="1">
      <c r="A27" s="461"/>
      <c r="B27" s="461"/>
      <c r="C27" s="462"/>
      <c r="D27" s="462"/>
      <c r="E27" s="462"/>
      <c r="F27" s="462"/>
      <c r="G27" s="462"/>
      <c r="H27" s="472"/>
      <c r="I27" s="472"/>
      <c r="J27" s="472"/>
      <c r="K27" s="472"/>
      <c r="L27" s="492"/>
      <c r="M27" s="472"/>
      <c r="N27" s="472"/>
      <c r="O27" s="472"/>
      <c r="P27" s="472"/>
      <c r="Q27" s="472"/>
      <c r="R27" s="472"/>
      <c r="S27" s="480" t="e">
        <f t="shared" si="0"/>
        <v>#DIV/0!</v>
      </c>
      <c r="T27" s="472"/>
      <c r="U27" s="522"/>
      <c r="V27" s="511"/>
      <c r="W27" s="482"/>
      <c r="X27" s="482"/>
      <c r="Y27" s="462"/>
      <c r="Z27" s="462"/>
    </row>
    <row r="28" spans="1:42" s="436" customFormat="1" hidden="1">
      <c r="A28" s="461"/>
      <c r="B28" s="461"/>
      <c r="C28" s="462"/>
      <c r="D28" s="462"/>
      <c r="E28" s="462"/>
      <c r="F28" s="462"/>
      <c r="G28" s="462"/>
      <c r="H28" s="472"/>
      <c r="I28" s="472"/>
      <c r="J28" s="472"/>
      <c r="K28" s="472"/>
      <c r="L28" s="492"/>
      <c r="M28" s="472"/>
      <c r="N28" s="472"/>
      <c r="O28" s="472"/>
      <c r="P28" s="472"/>
      <c r="Q28" s="472"/>
      <c r="R28" s="472"/>
      <c r="S28" s="480" t="e">
        <f t="shared" si="0"/>
        <v>#DIV/0!</v>
      </c>
      <c r="T28" s="472"/>
      <c r="U28" s="522"/>
      <c r="V28" s="511"/>
      <c r="W28" s="512"/>
      <c r="X28" s="512"/>
      <c r="Y28" s="462"/>
      <c r="Z28" s="462"/>
    </row>
    <row r="29" spans="1:42" s="436" customFormat="1" ht="12.75" hidden="1" customHeight="1">
      <c r="A29" s="461"/>
      <c r="B29" s="461"/>
      <c r="C29" s="462"/>
      <c r="D29" s="462"/>
      <c r="E29" s="462"/>
      <c r="F29" s="462"/>
      <c r="G29" s="462"/>
      <c r="H29" s="462"/>
      <c r="I29" s="462"/>
      <c r="J29" s="462"/>
      <c r="K29" s="462"/>
      <c r="L29" s="489"/>
      <c r="M29" s="462"/>
      <c r="N29" s="462"/>
      <c r="O29" s="462"/>
      <c r="P29" s="462"/>
      <c r="Q29" s="462"/>
      <c r="R29" s="462"/>
      <c r="S29" s="480" t="e">
        <f t="shared" si="0"/>
        <v>#DIV/0!</v>
      </c>
      <c r="T29" s="462"/>
      <c r="U29" s="526"/>
      <c r="V29" s="527"/>
      <c r="W29" s="482"/>
      <c r="X29" s="482"/>
      <c r="Y29" s="462"/>
      <c r="Z29" s="462"/>
    </row>
    <row r="30" spans="1:42" s="436" customFormat="1" hidden="1">
      <c r="A30" s="461"/>
      <c r="B30" s="461"/>
      <c r="C30" s="462"/>
      <c r="D30" s="462"/>
      <c r="E30" s="462"/>
      <c r="F30" s="462"/>
      <c r="G30" s="462"/>
      <c r="H30" s="472"/>
      <c r="I30" s="472"/>
      <c r="J30" s="472"/>
      <c r="K30" s="472"/>
      <c r="L30" s="492"/>
      <c r="M30" s="472"/>
      <c r="N30" s="472"/>
      <c r="O30" s="472"/>
      <c r="P30" s="472"/>
      <c r="Q30" s="472"/>
      <c r="R30" s="472"/>
      <c r="S30" s="480" t="e">
        <f t="shared" si="0"/>
        <v>#DIV/0!</v>
      </c>
      <c r="T30" s="472"/>
      <c r="U30" s="529"/>
      <c r="V30" s="511"/>
      <c r="W30" s="512"/>
      <c r="X30" s="512"/>
      <c r="Y30" s="462"/>
      <c r="Z30" s="462"/>
    </row>
    <row r="31" spans="1:42" s="436" customFormat="1" hidden="1">
      <c r="A31" s="465"/>
      <c r="B31" s="466"/>
      <c r="C31" s="467"/>
      <c r="D31" s="467"/>
      <c r="E31" s="467"/>
      <c r="F31" s="467"/>
      <c r="G31" s="467"/>
      <c r="H31" s="468"/>
      <c r="I31" s="468"/>
      <c r="J31" s="468"/>
      <c r="K31" s="468"/>
      <c r="L31" s="490"/>
      <c r="M31" s="468"/>
      <c r="N31" s="468"/>
      <c r="O31" s="468"/>
      <c r="P31" s="468"/>
      <c r="Q31" s="468"/>
      <c r="R31" s="468"/>
      <c r="S31" s="480" t="e">
        <f t="shared" si="0"/>
        <v>#DIV/0!</v>
      </c>
      <c r="T31" s="468"/>
      <c r="U31" s="530"/>
      <c r="V31" s="531"/>
      <c r="W31" s="532"/>
      <c r="X31" s="532"/>
      <c r="Y31" s="467"/>
      <c r="Z31" s="467"/>
    </row>
    <row r="32" spans="1:42" ht="14.25" customHeight="1">
      <c r="A32" s="461" t="s">
        <v>454</v>
      </c>
      <c r="B32" s="461" t="s">
        <v>455</v>
      </c>
      <c r="C32" s="462">
        <f>214.18+193.72</f>
        <v>407.9</v>
      </c>
      <c r="D32" s="462">
        <f>C32</f>
        <v>407.9</v>
      </c>
      <c r="E32" s="462">
        <f>247.55+223.91</f>
        <v>471.46000000000004</v>
      </c>
      <c r="F32" s="462">
        <f>E32</f>
        <v>471.46000000000004</v>
      </c>
      <c r="G32" s="463"/>
      <c r="H32" s="464">
        <f>I32/6.2</f>
        <v>38.70967741935484</v>
      </c>
      <c r="I32" s="464">
        <v>240</v>
      </c>
      <c r="J32" s="464">
        <f>64/8</f>
        <v>8</v>
      </c>
      <c r="K32" s="464">
        <f>H32*C32</f>
        <v>15789.677419354839</v>
      </c>
      <c r="L32" s="489">
        <f>I32*C32</f>
        <v>97896</v>
      </c>
      <c r="M32" s="464">
        <f>K32/D32</f>
        <v>38.70967741935484</v>
      </c>
      <c r="N32" s="464">
        <f>Q32/D32</f>
        <v>38.70967741935484</v>
      </c>
      <c r="O32" s="464">
        <f>Q32/F32</f>
        <v>33.49102239713833</v>
      </c>
      <c r="P32" s="464">
        <f>R32/F32</f>
        <v>207.64433886225765</v>
      </c>
      <c r="Q32" s="464">
        <f>K32</f>
        <v>15789.677419354839</v>
      </c>
      <c r="R32" s="464">
        <f>Q32*6.2</f>
        <v>97896</v>
      </c>
      <c r="S32" s="480">
        <f t="shared" si="0"/>
        <v>6.9214779620752545</v>
      </c>
      <c r="T32" s="464">
        <f>C32*J32</f>
        <v>3263.2</v>
      </c>
      <c r="U32" s="510"/>
      <c r="V32" s="511" t="s">
        <v>447</v>
      </c>
      <c r="W32" s="512">
        <v>40544</v>
      </c>
      <c r="X32" s="512">
        <v>42369</v>
      </c>
      <c r="Y32" s="462">
        <f>K32*3</f>
        <v>47369.032258064515</v>
      </c>
      <c r="Z32" s="462">
        <f>T32*3</f>
        <v>9789.5999999999985</v>
      </c>
      <c r="AB32" s="548" t="s">
        <v>448</v>
      </c>
      <c r="AJ32" s="449" t="s">
        <v>456</v>
      </c>
      <c r="AK32" s="449" t="s">
        <v>456</v>
      </c>
      <c r="AL32" s="449" t="s">
        <v>456</v>
      </c>
      <c r="AM32" s="449" t="s">
        <v>456</v>
      </c>
      <c r="AN32" s="449" t="s">
        <v>457</v>
      </c>
      <c r="AO32" s="449" t="s">
        <v>456</v>
      </c>
    </row>
    <row r="33" spans="1:42" s="436" customFormat="1">
      <c r="A33" s="461" t="s">
        <v>458</v>
      </c>
      <c r="B33" s="461">
        <v>107</v>
      </c>
      <c r="C33" s="462">
        <v>87.63</v>
      </c>
      <c r="D33" s="462">
        <f>C33</f>
        <v>87.63</v>
      </c>
      <c r="E33" s="462">
        <v>101.28</v>
      </c>
      <c r="F33" s="462">
        <f>E33</f>
        <v>101.28</v>
      </c>
      <c r="G33" s="462"/>
      <c r="H33" s="472">
        <f>486/6.2</f>
        <v>78.387096774193552</v>
      </c>
      <c r="I33" s="472">
        <f>486</f>
        <v>486</v>
      </c>
      <c r="J33" s="472">
        <f>64/8</f>
        <v>8</v>
      </c>
      <c r="K33" s="472">
        <f>C33*H33</f>
        <v>6869.0612903225801</v>
      </c>
      <c r="L33" s="492">
        <f>C33*I33</f>
        <v>42588.18</v>
      </c>
      <c r="M33" s="472">
        <f>K33/D33</f>
        <v>78.387096774193552</v>
      </c>
      <c r="N33" s="472">
        <f>Q33/D33</f>
        <v>81.967741935483872</v>
      </c>
      <c r="O33" s="472">
        <f>Q33/F33</f>
        <v>70.920549227946793</v>
      </c>
      <c r="P33" s="472">
        <f>R33/F33</f>
        <v>439.70740521327014</v>
      </c>
      <c r="Q33" s="472">
        <f>(K33*24+K34*24+K35*12)/60</f>
        <v>7182.8332258064511</v>
      </c>
      <c r="R33" s="472">
        <f>Q33*6.2</f>
        <v>44533.565999999999</v>
      </c>
      <c r="S33" s="480">
        <f t="shared" si="0"/>
        <v>14.656913507109005</v>
      </c>
      <c r="T33" s="472">
        <f>C33*J33</f>
        <v>701.04</v>
      </c>
      <c r="U33" s="522">
        <v>40118</v>
      </c>
      <c r="V33" s="511" t="s">
        <v>447</v>
      </c>
      <c r="W33" s="512">
        <v>40215</v>
      </c>
      <c r="X33" s="512">
        <v>40944</v>
      </c>
      <c r="Y33" s="462">
        <f>K33*3</f>
        <v>20607.183870967739</v>
      </c>
      <c r="Z33" s="462">
        <f>T33*3</f>
        <v>2103.12</v>
      </c>
      <c r="AB33" s="549"/>
      <c r="AC33" s="436" t="s">
        <v>459</v>
      </c>
    </row>
    <row r="34" spans="1:42" s="436" customFormat="1">
      <c r="A34" s="461"/>
      <c r="B34" s="461"/>
      <c r="C34" s="462"/>
      <c r="D34" s="462"/>
      <c r="E34" s="462"/>
      <c r="F34" s="462"/>
      <c r="G34" s="462"/>
      <c r="H34" s="479">
        <f>513.5/6.2</f>
        <v>82.822580645161281</v>
      </c>
      <c r="I34" s="479">
        <f>513.5</f>
        <v>513.5</v>
      </c>
      <c r="J34" s="479"/>
      <c r="K34" s="479">
        <f>H34*C33</f>
        <v>7257.7427419354826</v>
      </c>
      <c r="L34" s="495">
        <f>I34*C33</f>
        <v>44998.004999999997</v>
      </c>
      <c r="M34" s="479"/>
      <c r="N34" s="479"/>
      <c r="O34" s="479"/>
      <c r="P34" s="479"/>
      <c r="Q34" s="479" t="s">
        <v>424</v>
      </c>
      <c r="R34" s="479"/>
      <c r="S34" s="480"/>
      <c r="T34" s="479"/>
      <c r="U34" s="522"/>
      <c r="V34" s="511"/>
      <c r="W34" s="512">
        <v>40945</v>
      </c>
      <c r="X34" s="512">
        <v>41675</v>
      </c>
      <c r="Y34" s="462"/>
      <c r="Z34" s="462"/>
    </row>
    <row r="35" spans="1:42" s="436" customFormat="1">
      <c r="A35" s="461"/>
      <c r="B35" s="461"/>
      <c r="C35" s="462"/>
      <c r="D35" s="462"/>
      <c r="E35" s="462"/>
      <c r="F35" s="462"/>
      <c r="G35" s="462"/>
      <c r="H35" s="472">
        <f>542/6.2</f>
        <v>87.41935483870968</v>
      </c>
      <c r="I35" s="472">
        <f>542</f>
        <v>542</v>
      </c>
      <c r="J35" s="472"/>
      <c r="K35" s="472">
        <f>H35*C33</f>
        <v>7660.558064516129</v>
      </c>
      <c r="L35" s="492">
        <f>I35*C33</f>
        <v>47495.46</v>
      </c>
      <c r="M35" s="472"/>
      <c r="N35" s="472"/>
      <c r="O35" s="472"/>
      <c r="P35" s="472"/>
      <c r="Q35" s="472"/>
      <c r="R35" s="472"/>
      <c r="S35" s="480"/>
      <c r="T35" s="472"/>
      <c r="U35" s="522"/>
      <c r="V35" s="511"/>
      <c r="W35" s="512">
        <v>41676</v>
      </c>
      <c r="X35" s="512">
        <v>42040</v>
      </c>
      <c r="Y35" s="462"/>
      <c r="Z35" s="462"/>
    </row>
    <row r="36" spans="1:42" s="440" customFormat="1" ht="13.5" customHeight="1" outlineLevel="1">
      <c r="A36" s="474"/>
      <c r="B36" s="474"/>
      <c r="C36" s="475"/>
      <c r="D36" s="475"/>
      <c r="E36" s="475">
        <f>SUM(E18:E35)</f>
        <v>1328.59</v>
      </c>
      <c r="F36" s="475"/>
      <c r="G36" s="475"/>
      <c r="H36" s="480"/>
      <c r="I36" s="480"/>
      <c r="J36" s="480"/>
      <c r="K36" s="480"/>
      <c r="L36" s="496"/>
      <c r="M36" s="480"/>
      <c r="N36" s="480"/>
      <c r="O36" s="480"/>
      <c r="P36" s="480"/>
      <c r="Q36" s="480"/>
      <c r="R36" s="480">
        <f>SUM(R18:R35)</f>
        <v>304889.13349777774</v>
      </c>
      <c r="S36" s="480">
        <f>R36/30/E36</f>
        <v>7.6494412246009613</v>
      </c>
      <c r="T36" s="480"/>
      <c r="U36" s="533"/>
      <c r="V36" s="524"/>
      <c r="W36" s="534"/>
      <c r="X36" s="534"/>
      <c r="Y36" s="475"/>
      <c r="Z36" s="475"/>
    </row>
    <row r="37" spans="1:42" ht="14.25" customHeight="1">
      <c r="A37" s="461"/>
      <c r="B37" s="461"/>
      <c r="C37" s="462"/>
      <c r="D37" s="462"/>
      <c r="E37" s="462"/>
      <c r="F37" s="462"/>
      <c r="G37" s="463"/>
      <c r="H37" s="472"/>
      <c r="I37" s="472"/>
      <c r="J37" s="472"/>
      <c r="K37" s="472"/>
      <c r="L37" s="492"/>
      <c r="M37" s="472"/>
      <c r="N37" s="472"/>
      <c r="O37" s="472"/>
      <c r="P37" s="472"/>
      <c r="Q37" s="472"/>
      <c r="R37" s="472"/>
      <c r="S37" s="480"/>
      <c r="T37" s="472"/>
      <c r="U37" s="510"/>
      <c r="V37" s="388"/>
      <c r="W37" s="512"/>
      <c r="X37" s="512"/>
      <c r="Y37" s="546"/>
      <c r="Z37" s="546"/>
    </row>
    <row r="38" spans="1:42" s="436" customFormat="1">
      <c r="A38" s="461" t="s">
        <v>460</v>
      </c>
      <c r="B38" s="461" t="s">
        <v>461</v>
      </c>
      <c r="C38" s="462">
        <v>502.33</v>
      </c>
      <c r="D38" s="462">
        <f>C38</f>
        <v>502.33</v>
      </c>
      <c r="E38" s="462">
        <f>D38/0.86518</f>
        <v>580.60750364086084</v>
      </c>
      <c r="F38" s="462">
        <v>751.68</v>
      </c>
      <c r="G38" s="462"/>
      <c r="H38" s="472">
        <f>I38/6.2</f>
        <v>24.193548387096772</v>
      </c>
      <c r="I38" s="472">
        <v>150</v>
      </c>
      <c r="J38" s="472">
        <f>64/8</f>
        <v>8</v>
      </c>
      <c r="K38" s="472">
        <f>C38*H38</f>
        <v>12153.145161290322</v>
      </c>
      <c r="L38" s="492">
        <f>C38*I38</f>
        <v>75349.5</v>
      </c>
      <c r="M38" s="472">
        <f>K38/D38</f>
        <v>24.193548387096772</v>
      </c>
      <c r="N38" s="472">
        <f>Q38/D38</f>
        <v>19.100169779286926</v>
      </c>
      <c r="O38" s="472">
        <f>Q38/F38</f>
        <v>12.764192588906452</v>
      </c>
      <c r="P38" s="472">
        <f>R38/F38</f>
        <v>79.137994051220005</v>
      </c>
      <c r="Q38" s="472">
        <f>K38*60/76</f>
        <v>9594.5882852292016</v>
      </c>
      <c r="R38" s="472">
        <f>Q38*6.2</f>
        <v>59486.447368421053</v>
      </c>
      <c r="S38" s="472">
        <f t="shared" si="0"/>
        <v>3.4151842105263159</v>
      </c>
      <c r="T38" s="472">
        <f>C38*J38</f>
        <v>4018.64</v>
      </c>
      <c r="U38" s="529">
        <v>40391</v>
      </c>
      <c r="V38" s="393" t="s">
        <v>462</v>
      </c>
      <c r="W38" s="512">
        <v>40452</v>
      </c>
      <c r="X38" s="512">
        <v>42766</v>
      </c>
      <c r="Y38" s="462">
        <f>K38*3</f>
        <v>36459.43548387097</v>
      </c>
      <c r="Z38" s="462">
        <f>T38*3</f>
        <v>12055.92</v>
      </c>
      <c r="AA38" s="436">
        <f>(64+150)*502.33*3</f>
        <v>322495.86</v>
      </c>
      <c r="AB38" s="436" t="s">
        <v>448</v>
      </c>
      <c r="AC38" s="436" t="s">
        <v>463</v>
      </c>
      <c r="AF38" s="436">
        <f>44165.52*3/8</f>
        <v>16562.07</v>
      </c>
      <c r="AG38" s="436">
        <f>5608.32*3/8</f>
        <v>2103.12</v>
      </c>
      <c r="AK38" s="436" t="s">
        <v>464</v>
      </c>
      <c r="AL38" s="436" t="s">
        <v>465</v>
      </c>
      <c r="AM38" s="436" t="s">
        <v>466</v>
      </c>
      <c r="AP38" s="436" t="s">
        <v>467</v>
      </c>
    </row>
    <row r="39" spans="1:42" s="436" customFormat="1" hidden="1">
      <c r="A39" s="461"/>
      <c r="B39" s="461"/>
      <c r="C39" s="462"/>
      <c r="D39" s="462"/>
      <c r="E39" s="462"/>
      <c r="F39" s="462"/>
      <c r="G39" s="462"/>
      <c r="H39" s="472"/>
      <c r="I39" s="472"/>
      <c r="J39" s="472"/>
      <c r="K39" s="472"/>
      <c r="L39" s="492"/>
      <c r="M39" s="472"/>
      <c r="N39" s="472"/>
      <c r="O39" s="472"/>
      <c r="P39" s="472"/>
      <c r="Q39" s="472"/>
      <c r="R39" s="472"/>
      <c r="S39" s="480" t="e">
        <f t="shared" si="0"/>
        <v>#DIV/0!</v>
      </c>
      <c r="T39" s="472"/>
      <c r="U39" s="529"/>
      <c r="V39" s="393"/>
      <c r="W39" s="512"/>
      <c r="X39" s="512"/>
      <c r="Y39" s="462"/>
      <c r="Z39" s="462"/>
    </row>
    <row r="40" spans="1:42" s="436" customFormat="1" hidden="1">
      <c r="A40" s="461"/>
      <c r="B40" s="461"/>
      <c r="C40" s="462"/>
      <c r="D40" s="462"/>
      <c r="E40" s="462"/>
      <c r="F40" s="462"/>
      <c r="G40" s="462"/>
      <c r="H40" s="472"/>
      <c r="I40" s="472"/>
      <c r="J40" s="472"/>
      <c r="K40" s="472"/>
      <c r="L40" s="492"/>
      <c r="M40" s="472"/>
      <c r="N40" s="472"/>
      <c r="O40" s="472"/>
      <c r="P40" s="472"/>
      <c r="Q40" s="472"/>
      <c r="R40" s="472"/>
      <c r="S40" s="480" t="e">
        <f t="shared" si="0"/>
        <v>#DIV/0!</v>
      </c>
      <c r="T40" s="472"/>
      <c r="U40" s="529"/>
      <c r="V40" s="393"/>
      <c r="W40" s="512"/>
      <c r="X40" s="512"/>
      <c r="Y40" s="462"/>
      <c r="Z40" s="462"/>
    </row>
    <row r="41" spans="1:42" s="436" customFormat="1" hidden="1">
      <c r="A41" s="461"/>
      <c r="B41" s="461"/>
      <c r="C41" s="462"/>
      <c r="D41" s="462"/>
      <c r="E41" s="462"/>
      <c r="F41" s="462"/>
      <c r="G41" s="462"/>
      <c r="H41" s="472"/>
      <c r="I41" s="472"/>
      <c r="J41" s="472"/>
      <c r="K41" s="472"/>
      <c r="L41" s="492"/>
      <c r="M41" s="472"/>
      <c r="N41" s="472"/>
      <c r="O41" s="472"/>
      <c r="P41" s="472"/>
      <c r="Q41" s="472"/>
      <c r="R41" s="472"/>
      <c r="S41" s="480" t="e">
        <f t="shared" si="0"/>
        <v>#DIV/0!</v>
      </c>
      <c r="T41" s="472"/>
      <c r="U41" s="529"/>
      <c r="V41" s="393"/>
      <c r="W41" s="512"/>
      <c r="X41" s="512"/>
      <c r="Y41" s="462"/>
      <c r="Z41" s="462"/>
    </row>
    <row r="42" spans="1:42" s="436" customFormat="1" hidden="1">
      <c r="A42" s="461"/>
      <c r="B42" s="461"/>
      <c r="C42" s="462"/>
      <c r="D42" s="462"/>
      <c r="E42" s="462"/>
      <c r="F42" s="462"/>
      <c r="G42" s="462"/>
      <c r="H42" s="472"/>
      <c r="I42" s="472"/>
      <c r="J42" s="472"/>
      <c r="K42" s="472"/>
      <c r="L42" s="492"/>
      <c r="M42" s="472"/>
      <c r="N42" s="472"/>
      <c r="O42" s="472"/>
      <c r="P42" s="472"/>
      <c r="Q42" s="472"/>
      <c r="R42" s="472"/>
      <c r="S42" s="480" t="e">
        <f t="shared" si="0"/>
        <v>#DIV/0!</v>
      </c>
      <c r="T42" s="472"/>
      <c r="U42" s="529"/>
      <c r="V42" s="393"/>
      <c r="W42" s="512"/>
      <c r="X42" s="512"/>
      <c r="Y42" s="462"/>
      <c r="Z42" s="462"/>
    </row>
    <row r="43" spans="1:42" s="436" customFormat="1" hidden="1">
      <c r="A43" s="461"/>
      <c r="B43" s="461"/>
      <c r="C43" s="462"/>
      <c r="D43" s="462"/>
      <c r="E43" s="462"/>
      <c r="F43" s="462"/>
      <c r="G43" s="462"/>
      <c r="H43" s="472"/>
      <c r="I43" s="472"/>
      <c r="J43" s="472"/>
      <c r="K43" s="472"/>
      <c r="L43" s="492"/>
      <c r="M43" s="472"/>
      <c r="N43" s="472"/>
      <c r="O43" s="472"/>
      <c r="P43" s="472"/>
      <c r="Q43" s="472"/>
      <c r="R43" s="472"/>
      <c r="S43" s="480" t="e">
        <f t="shared" si="0"/>
        <v>#DIV/0!</v>
      </c>
      <c r="T43" s="472"/>
      <c r="U43" s="529"/>
      <c r="V43" s="393"/>
      <c r="W43" s="512"/>
      <c r="X43" s="512"/>
      <c r="Y43" s="462"/>
      <c r="Z43" s="462"/>
    </row>
    <row r="44" spans="1:42" s="436" customFormat="1" hidden="1">
      <c r="A44" s="461"/>
      <c r="B44" s="461"/>
      <c r="C44" s="462"/>
      <c r="D44" s="462"/>
      <c r="E44" s="462"/>
      <c r="F44" s="462"/>
      <c r="G44" s="462"/>
      <c r="H44" s="472"/>
      <c r="I44" s="472"/>
      <c r="J44" s="472"/>
      <c r="K44" s="472"/>
      <c r="L44" s="492"/>
      <c r="M44" s="472"/>
      <c r="N44" s="472"/>
      <c r="O44" s="472"/>
      <c r="P44" s="472"/>
      <c r="Q44" s="472"/>
      <c r="R44" s="472"/>
      <c r="S44" s="480" t="e">
        <f t="shared" si="0"/>
        <v>#DIV/0!</v>
      </c>
      <c r="T44" s="472"/>
      <c r="U44" s="529"/>
      <c r="V44" s="393"/>
      <c r="W44" s="512"/>
      <c r="X44" s="512"/>
      <c r="Y44" s="462"/>
      <c r="Z44" s="462"/>
    </row>
    <row r="45" spans="1:42" s="436" customFormat="1" hidden="1">
      <c r="A45" s="461"/>
      <c r="B45" s="461"/>
      <c r="C45" s="462"/>
      <c r="D45" s="462"/>
      <c r="E45" s="462"/>
      <c r="F45" s="462"/>
      <c r="G45" s="462"/>
      <c r="H45" s="472"/>
      <c r="I45" s="472"/>
      <c r="J45" s="472"/>
      <c r="K45" s="472"/>
      <c r="L45" s="492"/>
      <c r="M45" s="472"/>
      <c r="N45" s="472"/>
      <c r="O45" s="472"/>
      <c r="P45" s="472"/>
      <c r="Q45" s="472"/>
      <c r="R45" s="472"/>
      <c r="S45" s="480" t="e">
        <f t="shared" si="0"/>
        <v>#DIV/0!</v>
      </c>
      <c r="T45" s="472"/>
      <c r="U45" s="529"/>
      <c r="V45" s="393"/>
      <c r="W45" s="512"/>
      <c r="X45" s="512"/>
      <c r="Y45" s="462"/>
      <c r="Z45" s="462"/>
    </row>
    <row r="46" spans="1:42" s="436" customFormat="1" hidden="1">
      <c r="A46" s="461"/>
      <c r="B46" s="461"/>
      <c r="C46" s="462"/>
      <c r="D46" s="462"/>
      <c r="E46" s="462"/>
      <c r="F46" s="462"/>
      <c r="G46" s="462"/>
      <c r="H46" s="472"/>
      <c r="I46" s="472"/>
      <c r="J46" s="472"/>
      <c r="K46" s="472"/>
      <c r="L46" s="492"/>
      <c r="M46" s="472"/>
      <c r="N46" s="472"/>
      <c r="O46" s="472"/>
      <c r="P46" s="472"/>
      <c r="Q46" s="472"/>
      <c r="R46" s="472"/>
      <c r="S46" s="480" t="e">
        <f t="shared" si="0"/>
        <v>#DIV/0!</v>
      </c>
      <c r="T46" s="472"/>
      <c r="U46" s="529"/>
      <c r="V46" s="393"/>
      <c r="W46" s="512"/>
      <c r="X46" s="512"/>
      <c r="Y46" s="462"/>
      <c r="Z46" s="462"/>
    </row>
    <row r="47" spans="1:42" s="436" customFormat="1" hidden="1">
      <c r="A47" s="461"/>
      <c r="B47" s="461"/>
      <c r="C47" s="462"/>
      <c r="D47" s="462"/>
      <c r="E47" s="462"/>
      <c r="F47" s="462"/>
      <c r="G47" s="462"/>
      <c r="H47" s="472"/>
      <c r="I47" s="472"/>
      <c r="J47" s="472"/>
      <c r="K47" s="472"/>
      <c r="L47" s="492"/>
      <c r="M47" s="472"/>
      <c r="N47" s="472"/>
      <c r="O47" s="472"/>
      <c r="P47" s="472"/>
      <c r="Q47" s="472"/>
      <c r="R47" s="472"/>
      <c r="S47" s="480" t="e">
        <f t="shared" si="0"/>
        <v>#DIV/0!</v>
      </c>
      <c r="T47" s="472"/>
      <c r="U47" s="529"/>
      <c r="V47" s="393"/>
      <c r="W47" s="512"/>
      <c r="X47" s="512"/>
      <c r="Y47" s="462"/>
      <c r="Z47" s="462"/>
    </row>
    <row r="48" spans="1:42" s="436" customFormat="1" hidden="1">
      <c r="A48" s="461"/>
      <c r="B48" s="461"/>
      <c r="C48" s="462"/>
      <c r="D48" s="462"/>
      <c r="E48" s="462"/>
      <c r="F48" s="462"/>
      <c r="G48" s="462"/>
      <c r="H48" s="472"/>
      <c r="I48" s="472"/>
      <c r="J48" s="472"/>
      <c r="K48" s="472"/>
      <c r="L48" s="492"/>
      <c r="M48" s="472"/>
      <c r="N48" s="472"/>
      <c r="O48" s="472"/>
      <c r="P48" s="472"/>
      <c r="Q48" s="472"/>
      <c r="R48" s="472"/>
      <c r="S48" s="480" t="e">
        <f t="shared" si="0"/>
        <v>#DIV/0!</v>
      </c>
      <c r="T48" s="472"/>
      <c r="U48" s="529"/>
      <c r="V48" s="393"/>
      <c r="W48" s="512"/>
      <c r="X48" s="512"/>
      <c r="Y48" s="462"/>
      <c r="Z48" s="462"/>
    </row>
    <row r="49" spans="1:33" s="436" customFormat="1" hidden="1">
      <c r="A49" s="461"/>
      <c r="B49" s="461"/>
      <c r="C49" s="462"/>
      <c r="D49" s="462"/>
      <c r="E49" s="462"/>
      <c r="F49" s="462"/>
      <c r="G49" s="462"/>
      <c r="H49" s="472"/>
      <c r="I49" s="472"/>
      <c r="J49" s="472"/>
      <c r="K49" s="472"/>
      <c r="L49" s="492"/>
      <c r="M49" s="472"/>
      <c r="N49" s="472"/>
      <c r="O49" s="472"/>
      <c r="P49" s="472"/>
      <c r="Q49" s="472"/>
      <c r="R49" s="472"/>
      <c r="S49" s="480" t="e">
        <f t="shared" si="0"/>
        <v>#DIV/0!</v>
      </c>
      <c r="T49" s="472"/>
      <c r="U49" s="529"/>
      <c r="V49" s="393"/>
      <c r="W49" s="512"/>
      <c r="X49" s="512"/>
      <c r="Y49" s="462"/>
      <c r="Z49" s="462"/>
    </row>
    <row r="50" spans="1:33" s="436" customFormat="1" hidden="1">
      <c r="A50" s="461"/>
      <c r="B50" s="461"/>
      <c r="C50" s="462"/>
      <c r="D50" s="462"/>
      <c r="E50" s="462"/>
      <c r="F50" s="462"/>
      <c r="G50" s="462"/>
      <c r="H50" s="472"/>
      <c r="I50" s="472"/>
      <c r="J50" s="472"/>
      <c r="K50" s="472"/>
      <c r="L50" s="492"/>
      <c r="M50" s="472"/>
      <c r="N50" s="472"/>
      <c r="O50" s="472"/>
      <c r="P50" s="472"/>
      <c r="Q50" s="472"/>
      <c r="R50" s="472"/>
      <c r="S50" s="480" t="e">
        <f t="shared" si="0"/>
        <v>#DIV/0!</v>
      </c>
      <c r="T50" s="472"/>
      <c r="U50" s="529"/>
      <c r="V50" s="393"/>
      <c r="W50" s="512"/>
      <c r="X50" s="512"/>
      <c r="Y50" s="462"/>
      <c r="Z50" s="462"/>
    </row>
    <row r="51" spans="1:33" s="436" customFormat="1" hidden="1">
      <c r="A51" s="461"/>
      <c r="B51" s="461"/>
      <c r="C51" s="462"/>
      <c r="D51" s="462"/>
      <c r="E51" s="462"/>
      <c r="F51" s="462"/>
      <c r="G51" s="462"/>
      <c r="H51" s="472"/>
      <c r="I51" s="472"/>
      <c r="J51" s="472"/>
      <c r="K51" s="472"/>
      <c r="L51" s="492"/>
      <c r="M51" s="472"/>
      <c r="N51" s="472"/>
      <c r="O51" s="472"/>
      <c r="P51" s="472"/>
      <c r="Q51" s="472"/>
      <c r="R51" s="472"/>
      <c r="S51" s="480" t="e">
        <f t="shared" si="0"/>
        <v>#DIV/0!</v>
      </c>
      <c r="T51" s="472"/>
      <c r="U51" s="529"/>
      <c r="V51" s="393"/>
      <c r="W51" s="512"/>
      <c r="X51" s="512"/>
      <c r="Y51" s="462"/>
      <c r="Z51" s="462"/>
    </row>
    <row r="52" spans="1:33" s="436" customFormat="1" hidden="1">
      <c r="A52" s="461"/>
      <c r="B52" s="461"/>
      <c r="C52" s="462"/>
      <c r="D52" s="462"/>
      <c r="E52" s="462"/>
      <c r="F52" s="462"/>
      <c r="G52" s="462"/>
      <c r="H52" s="472"/>
      <c r="I52" s="472"/>
      <c r="J52" s="472"/>
      <c r="K52" s="472"/>
      <c r="L52" s="492"/>
      <c r="M52" s="472"/>
      <c r="N52" s="472"/>
      <c r="O52" s="472"/>
      <c r="P52" s="472"/>
      <c r="Q52" s="472"/>
      <c r="R52" s="472"/>
      <c r="S52" s="480" t="e">
        <f t="shared" si="0"/>
        <v>#DIV/0!</v>
      </c>
      <c r="T52" s="472"/>
      <c r="U52" s="522"/>
      <c r="V52" s="511"/>
      <c r="W52" s="512"/>
      <c r="X52" s="512"/>
      <c r="Y52" s="462"/>
      <c r="Z52" s="462"/>
    </row>
    <row r="53" spans="1:33" s="436" customFormat="1" ht="13.5" hidden="1" customHeight="1" outlineLevel="1">
      <c r="A53" s="461"/>
      <c r="B53" s="461"/>
      <c r="C53" s="462"/>
      <c r="D53" s="462"/>
      <c r="E53" s="462"/>
      <c r="F53" s="462"/>
      <c r="G53" s="462"/>
      <c r="H53" s="472"/>
      <c r="I53" s="472"/>
      <c r="J53" s="472"/>
      <c r="K53" s="472"/>
      <c r="L53" s="492"/>
      <c r="M53" s="472"/>
      <c r="N53" s="472"/>
      <c r="O53" s="472"/>
      <c r="P53" s="472"/>
      <c r="Q53" s="472"/>
      <c r="R53" s="472"/>
      <c r="S53" s="480" t="e">
        <f t="shared" si="0"/>
        <v>#DIV/0!</v>
      </c>
      <c r="T53" s="472"/>
      <c r="U53" s="522"/>
      <c r="V53" s="511"/>
      <c r="W53" s="512"/>
      <c r="X53" s="512"/>
      <c r="Y53" s="462"/>
      <c r="Z53" s="462"/>
    </row>
    <row r="54" spans="1:33" s="436" customFormat="1" ht="12.75" hidden="1" customHeight="1">
      <c r="A54" s="473"/>
      <c r="B54" s="461"/>
      <c r="C54" s="462"/>
      <c r="D54" s="462"/>
      <c r="E54" s="462"/>
      <c r="F54" s="462"/>
      <c r="G54" s="462"/>
      <c r="H54" s="472"/>
      <c r="I54" s="472"/>
      <c r="J54" s="472"/>
      <c r="K54" s="472"/>
      <c r="L54" s="492"/>
      <c r="M54" s="472"/>
      <c r="N54" s="472"/>
      <c r="O54" s="472"/>
      <c r="P54" s="472"/>
      <c r="Q54" s="472"/>
      <c r="R54" s="472"/>
      <c r="S54" s="480" t="e">
        <f t="shared" si="0"/>
        <v>#DIV/0!</v>
      </c>
      <c r="T54" s="472"/>
      <c r="U54" s="522"/>
      <c r="V54" s="511"/>
      <c r="W54" s="512"/>
      <c r="X54" s="512"/>
      <c r="Y54" s="462"/>
      <c r="Z54" s="462"/>
      <c r="AB54" s="549"/>
    </row>
    <row r="55" spans="1:33" s="439" customFormat="1" hidden="1">
      <c r="A55" s="461"/>
      <c r="B55" s="461"/>
      <c r="C55" s="462"/>
      <c r="D55" s="462"/>
      <c r="E55" s="462"/>
      <c r="F55" s="462"/>
      <c r="G55" s="462"/>
      <c r="H55" s="472"/>
      <c r="I55" s="472"/>
      <c r="J55" s="472"/>
      <c r="K55" s="472"/>
      <c r="L55" s="492"/>
      <c r="M55" s="472"/>
      <c r="N55" s="472"/>
      <c r="O55" s="472"/>
      <c r="P55" s="472"/>
      <c r="Q55" s="472"/>
      <c r="R55" s="472"/>
      <c r="S55" s="480" t="e">
        <f t="shared" si="0"/>
        <v>#DIV/0!</v>
      </c>
      <c r="T55" s="472"/>
      <c r="U55" s="535"/>
      <c r="V55" s="527"/>
      <c r="W55" s="512"/>
      <c r="X55" s="512"/>
      <c r="Y55" s="462"/>
      <c r="Z55" s="462"/>
    </row>
    <row r="56" spans="1:33" s="439" customFormat="1" hidden="1">
      <c r="A56" s="461"/>
      <c r="B56" s="461"/>
      <c r="C56" s="462"/>
      <c r="D56" s="462"/>
      <c r="E56" s="462"/>
      <c r="F56" s="462"/>
      <c r="G56" s="462"/>
      <c r="H56" s="472"/>
      <c r="I56" s="472"/>
      <c r="J56" s="472"/>
      <c r="K56" s="472"/>
      <c r="L56" s="492"/>
      <c r="M56" s="472"/>
      <c r="N56" s="472"/>
      <c r="O56" s="472"/>
      <c r="P56" s="472"/>
      <c r="Q56" s="472"/>
      <c r="R56" s="472"/>
      <c r="S56" s="480" t="e">
        <f t="shared" si="0"/>
        <v>#DIV/0!</v>
      </c>
      <c r="T56" s="472"/>
      <c r="U56" s="535"/>
      <c r="V56" s="527"/>
      <c r="W56" s="512"/>
      <c r="X56" s="512"/>
      <c r="Y56" s="462"/>
      <c r="Z56" s="462"/>
    </row>
    <row r="57" spans="1:33" s="439" customFormat="1" hidden="1">
      <c r="A57" s="461"/>
      <c r="B57" s="461"/>
      <c r="C57" s="462"/>
      <c r="D57" s="462"/>
      <c r="E57" s="462"/>
      <c r="F57" s="462"/>
      <c r="G57" s="462"/>
      <c r="H57" s="472"/>
      <c r="I57" s="472"/>
      <c r="J57" s="472"/>
      <c r="K57" s="472"/>
      <c r="L57" s="492"/>
      <c r="M57" s="472"/>
      <c r="N57" s="472"/>
      <c r="O57" s="472"/>
      <c r="P57" s="472"/>
      <c r="Q57" s="472"/>
      <c r="R57" s="472"/>
      <c r="S57" s="480" t="e">
        <f t="shared" si="0"/>
        <v>#DIV/0!</v>
      </c>
      <c r="T57" s="472"/>
      <c r="U57" s="535"/>
      <c r="V57" s="527"/>
      <c r="W57" s="528"/>
      <c r="X57" s="528"/>
      <c r="Y57" s="462"/>
      <c r="Z57" s="462"/>
    </row>
    <row r="58" spans="1:33" s="436" customFormat="1" hidden="1">
      <c r="A58" s="461"/>
      <c r="B58" s="461"/>
      <c r="C58" s="481"/>
      <c r="D58" s="481"/>
      <c r="E58" s="481"/>
      <c r="F58" s="481"/>
      <c r="G58" s="462"/>
      <c r="H58" s="472"/>
      <c r="I58" s="472"/>
      <c r="J58" s="472"/>
      <c r="K58" s="472"/>
      <c r="L58" s="492"/>
      <c r="M58" s="472"/>
      <c r="N58" s="472"/>
      <c r="O58" s="472"/>
      <c r="P58" s="472"/>
      <c r="Q58" s="472"/>
      <c r="R58" s="472"/>
      <c r="S58" s="480" t="e">
        <f t="shared" si="0"/>
        <v>#DIV/0!</v>
      </c>
      <c r="T58" s="472"/>
      <c r="U58" s="522"/>
      <c r="V58" s="511"/>
      <c r="W58" s="512"/>
      <c r="X58" s="512"/>
      <c r="Y58" s="462"/>
      <c r="Z58" s="462"/>
    </row>
    <row r="59" spans="1:33" hidden="1">
      <c r="A59" s="461"/>
      <c r="B59" s="461"/>
      <c r="C59" s="462"/>
      <c r="D59" s="462"/>
      <c r="E59" s="462"/>
      <c r="F59" s="462"/>
      <c r="G59" s="463"/>
      <c r="H59" s="482"/>
      <c r="I59" s="482"/>
      <c r="J59" s="482"/>
      <c r="K59" s="482"/>
      <c r="L59" s="489"/>
      <c r="M59" s="482"/>
      <c r="N59" s="482"/>
      <c r="O59" s="482"/>
      <c r="P59" s="482"/>
      <c r="Q59" s="482"/>
      <c r="R59" s="482"/>
      <c r="S59" s="480" t="e">
        <f t="shared" si="0"/>
        <v>#DIV/0!</v>
      </c>
      <c r="T59" s="482"/>
      <c r="U59" s="519"/>
      <c r="V59" s="388"/>
      <c r="W59" s="482"/>
      <c r="X59" s="482"/>
      <c r="Y59" s="546"/>
      <c r="Z59" s="546"/>
    </row>
    <row r="60" spans="1:33" s="436" customFormat="1" ht="9" customHeight="1">
      <c r="A60" s="469"/>
      <c r="B60" s="469"/>
      <c r="C60" s="470"/>
      <c r="D60" s="470"/>
      <c r="E60" s="470"/>
      <c r="F60" s="470"/>
      <c r="G60" s="470"/>
      <c r="H60" s="471"/>
      <c r="I60" s="471"/>
      <c r="J60" s="471"/>
      <c r="K60" s="471"/>
      <c r="L60" s="491"/>
      <c r="M60" s="471"/>
      <c r="N60" s="471"/>
      <c r="O60" s="471"/>
      <c r="P60" s="471"/>
      <c r="Q60" s="471"/>
      <c r="R60" s="471"/>
      <c r="S60" s="480"/>
      <c r="T60" s="471"/>
      <c r="U60" s="516"/>
      <c r="V60" s="517"/>
      <c r="W60" s="512"/>
      <c r="X60" s="512"/>
      <c r="Y60" s="470"/>
      <c r="Z60" s="470"/>
    </row>
    <row r="61" spans="1:33" s="436" customFormat="1">
      <c r="A61" s="461" t="s">
        <v>468</v>
      </c>
      <c r="B61" s="483">
        <v>102</v>
      </c>
      <c r="C61" s="462">
        <v>110.4</v>
      </c>
      <c r="D61" s="462">
        <f>C61</f>
        <v>110.4</v>
      </c>
      <c r="E61" s="462">
        <v>127.6</v>
      </c>
      <c r="F61" s="484">
        <f>E61</f>
        <v>127.6</v>
      </c>
      <c r="G61" s="462"/>
      <c r="H61" s="472">
        <f t="shared" ref="H61:H67" si="2">I61/6.2</f>
        <v>70.161290322580641</v>
      </c>
      <c r="I61" s="484">
        <v>435</v>
      </c>
      <c r="J61" s="472">
        <f>64/8</f>
        <v>8</v>
      </c>
      <c r="K61" s="484">
        <f>H61*C61</f>
        <v>7745.8064516129034</v>
      </c>
      <c r="L61" s="489">
        <f>I61*$C61</f>
        <v>48024</v>
      </c>
      <c r="M61" s="462">
        <f>K61/D61</f>
        <v>70.161290322580641</v>
      </c>
      <c r="N61" s="484">
        <f>Q61/D61</f>
        <v>70.161290322580641</v>
      </c>
      <c r="O61" s="472">
        <f>Q61/F61</f>
        <v>60.703812316715549</v>
      </c>
      <c r="P61" s="472">
        <f>R61/F61</f>
        <v>376.36363636363637</v>
      </c>
      <c r="Q61" s="462">
        <f>(K61*60)/60</f>
        <v>7745.8064516129034</v>
      </c>
      <c r="R61" s="536">
        <f>Q61*6.2</f>
        <v>48024</v>
      </c>
      <c r="S61" s="480">
        <f t="shared" si="0"/>
        <v>12.545454545454545</v>
      </c>
      <c r="T61" s="537">
        <f>C61*J61</f>
        <v>883.2</v>
      </c>
      <c r="U61" s="538">
        <v>40268</v>
      </c>
      <c r="V61" s="539" t="s">
        <v>447</v>
      </c>
      <c r="W61" s="512">
        <v>41061</v>
      </c>
      <c r="X61" s="512">
        <v>42886</v>
      </c>
      <c r="Y61" s="462">
        <f>K61*2</f>
        <v>15491.612903225807</v>
      </c>
      <c r="Z61" s="462">
        <f>T61*2</f>
        <v>1766.4</v>
      </c>
      <c r="AA61" s="436">
        <f>(64+I61)*C61*2</f>
        <v>110179.20000000001</v>
      </c>
      <c r="AC61" s="436" t="s">
        <v>469</v>
      </c>
      <c r="AD61" s="547" t="s">
        <v>470</v>
      </c>
      <c r="AF61" s="436" t="s">
        <v>471</v>
      </c>
      <c r="AG61" s="436" t="s">
        <v>472</v>
      </c>
    </row>
    <row r="62" spans="1:33" s="440" customFormat="1">
      <c r="A62" s="474"/>
      <c r="B62" s="485"/>
      <c r="C62" s="475"/>
      <c r="D62" s="475"/>
      <c r="E62" s="475">
        <f>SUM(E37:E61)</f>
        <v>708.20750364086086</v>
      </c>
      <c r="F62" s="486"/>
      <c r="G62" s="475"/>
      <c r="H62" s="480"/>
      <c r="I62" s="486"/>
      <c r="J62" s="480"/>
      <c r="K62" s="486"/>
      <c r="L62" s="493"/>
      <c r="M62" s="475"/>
      <c r="N62" s="486"/>
      <c r="O62" s="480"/>
      <c r="P62" s="480"/>
      <c r="Q62" s="475"/>
      <c r="R62" s="540">
        <f>SUM(R37:R61)</f>
        <v>107510.44736842105</v>
      </c>
      <c r="S62" s="541">
        <f t="shared" si="0"/>
        <v>5.0602140764166341</v>
      </c>
      <c r="T62" s="542"/>
      <c r="U62" s="543"/>
      <c r="V62" s="544"/>
      <c r="W62" s="525"/>
      <c r="X62" s="525"/>
      <c r="Y62" s="475"/>
      <c r="Z62" s="475"/>
      <c r="AD62" s="550"/>
    </row>
    <row r="63" spans="1:33" s="440" customFormat="1">
      <c r="A63" s="474" t="s">
        <v>473</v>
      </c>
      <c r="B63" s="474" t="s">
        <v>474</v>
      </c>
      <c r="C63" s="475">
        <f>793.21+19.24</f>
        <v>812.45</v>
      </c>
      <c r="D63" s="475">
        <f>C63</f>
        <v>812.45</v>
      </c>
      <c r="E63" s="475">
        <f>916.81+22.24</f>
        <v>939.05</v>
      </c>
      <c r="F63" s="475">
        <f>E63</f>
        <v>939.05</v>
      </c>
      <c r="G63" s="475"/>
      <c r="H63" s="480">
        <f t="shared" si="2"/>
        <v>19.35483870967742</v>
      </c>
      <c r="I63" s="480">
        <v>120</v>
      </c>
      <c r="J63" s="480">
        <v>6</v>
      </c>
      <c r="K63" s="480">
        <f>H63*C63</f>
        <v>15724.83870967742</v>
      </c>
      <c r="L63" s="496">
        <f>I63*812.45</f>
        <v>97494</v>
      </c>
      <c r="M63" s="480">
        <f>K63/D63</f>
        <v>19.35483870967742</v>
      </c>
      <c r="N63" s="480">
        <f>Q63/D63</f>
        <v>22.971652003910069</v>
      </c>
      <c r="O63" s="480">
        <f>Q63/F63</f>
        <v>19.874680443615077</v>
      </c>
      <c r="P63" s="480">
        <f>R63/F63</f>
        <v>123.22301875041349</v>
      </c>
      <c r="Q63" s="480">
        <f>(K63*24+K64*23+K65*23+K66*24)/99</f>
        <v>18663.318670576737</v>
      </c>
      <c r="R63" s="480">
        <f>Q63*6.2</f>
        <v>115712.57575757577</v>
      </c>
      <c r="S63" s="480">
        <f t="shared" si="0"/>
        <v>4.1074339583471158</v>
      </c>
      <c r="T63" s="480">
        <f>C63*J63</f>
        <v>4874.7000000000007</v>
      </c>
      <c r="U63" s="543">
        <v>40268</v>
      </c>
      <c r="V63" s="524" t="s">
        <v>475</v>
      </c>
      <c r="W63" s="525">
        <v>40299</v>
      </c>
      <c r="X63" s="525">
        <v>43312</v>
      </c>
      <c r="Y63" s="475">
        <f>K65*2</f>
        <v>41932.903225806454</v>
      </c>
      <c r="Z63" s="475">
        <f>T63*2</f>
        <v>9749.4000000000015</v>
      </c>
    </row>
    <row r="64" spans="1:33" s="436" customFormat="1">
      <c r="A64" s="461"/>
      <c r="B64" s="461"/>
      <c r="C64" s="462"/>
      <c r="D64" s="462"/>
      <c r="E64" s="462"/>
      <c r="F64" s="462"/>
      <c r="G64" s="462"/>
      <c r="H64" s="472">
        <f t="shared" si="2"/>
        <v>22.58064516129032</v>
      </c>
      <c r="I64" s="472">
        <v>140</v>
      </c>
      <c r="J64" s="472"/>
      <c r="K64" s="472">
        <f>H64*C63</f>
        <v>18345.645161290322</v>
      </c>
      <c r="L64" s="495">
        <f>I64*812.45</f>
        <v>113743</v>
      </c>
      <c r="M64" s="472"/>
      <c r="N64" s="472"/>
      <c r="O64" s="472" t="s">
        <v>424</v>
      </c>
      <c r="P64" s="472" t="s">
        <v>424</v>
      </c>
      <c r="Q64" s="472"/>
      <c r="R64" s="472"/>
      <c r="S64" s="480"/>
      <c r="T64" s="472"/>
      <c r="U64" s="529"/>
      <c r="V64" s="511"/>
      <c r="W64" s="512">
        <v>41122</v>
      </c>
      <c r="X64" s="512">
        <v>41851</v>
      </c>
      <c r="Y64" s="462" t="s">
        <v>424</v>
      </c>
      <c r="Z64" s="462"/>
    </row>
    <row r="65" spans="1:42" s="436" customFormat="1">
      <c r="A65" s="461"/>
      <c r="B65" s="461"/>
      <c r="C65" s="462"/>
      <c r="D65" s="462"/>
      <c r="E65" s="462"/>
      <c r="F65" s="462"/>
      <c r="G65" s="462"/>
      <c r="H65" s="472">
        <f t="shared" si="2"/>
        <v>25.806451612903224</v>
      </c>
      <c r="I65" s="472">
        <v>160</v>
      </c>
      <c r="J65" s="472"/>
      <c r="K65" s="472">
        <f>H65*C63</f>
        <v>20966.451612903227</v>
      </c>
      <c r="L65" s="492">
        <f>I65*812.45</f>
        <v>129992</v>
      </c>
      <c r="M65" s="472"/>
      <c r="N65" s="472"/>
      <c r="O65" s="472" t="s">
        <v>424</v>
      </c>
      <c r="P65" s="472" t="s">
        <v>424</v>
      </c>
      <c r="Q65" s="472"/>
      <c r="R65" s="472"/>
      <c r="S65" s="480"/>
      <c r="T65" s="472"/>
      <c r="U65" s="529"/>
      <c r="V65" s="511"/>
      <c r="W65" s="512">
        <v>41852</v>
      </c>
      <c r="X65" s="512">
        <v>42582</v>
      </c>
      <c r="Y65" s="462" t="s">
        <v>424</v>
      </c>
      <c r="Z65" s="462"/>
    </row>
    <row r="66" spans="1:42">
      <c r="A66" s="461"/>
      <c r="B66" s="461" t="s">
        <v>424</v>
      </c>
      <c r="C66" s="462" t="s">
        <v>424</v>
      </c>
      <c r="D66" s="462" t="s">
        <v>424</v>
      </c>
      <c r="E66" s="462"/>
      <c r="F66" s="462"/>
      <c r="G66" s="463"/>
      <c r="H66" s="472">
        <f t="shared" si="2"/>
        <v>29.032258064516128</v>
      </c>
      <c r="I66" s="472">
        <v>180</v>
      </c>
      <c r="J66" s="472"/>
      <c r="K66" s="472">
        <f>H66*C63</f>
        <v>23587.258064516129</v>
      </c>
      <c r="L66" s="492">
        <f>I66*812.45</f>
        <v>146241</v>
      </c>
      <c r="M66" s="472"/>
      <c r="N66" s="472"/>
      <c r="O66" s="472" t="s">
        <v>424</v>
      </c>
      <c r="P66" s="472" t="s">
        <v>424</v>
      </c>
      <c r="Q66" s="472"/>
      <c r="R66" s="472"/>
      <c r="S66" s="480"/>
      <c r="T66" s="472"/>
      <c r="U66" s="519"/>
      <c r="V66" s="388"/>
      <c r="W66" s="512">
        <v>42583</v>
      </c>
      <c r="X66" s="512"/>
      <c r="Y66" s="546"/>
      <c r="Z66" s="546"/>
    </row>
    <row r="67" spans="1:42" s="436" customFormat="1" ht="12.75" customHeight="1">
      <c r="A67" s="461" t="s">
        <v>476</v>
      </c>
      <c r="B67" s="461" t="s">
        <v>477</v>
      </c>
      <c r="C67" s="462">
        <f>1073.36+330.51</f>
        <v>1403.87</v>
      </c>
      <c r="D67" s="462">
        <f>1382.63+330.51/(330.51+263.88)*1250.66</f>
        <v>2078.0583157522842</v>
      </c>
      <c r="E67" s="462">
        <f>388.84+1262.78-0.01</f>
        <v>1651.61</v>
      </c>
      <c r="F67" s="462">
        <f>1598.08+388.84/(388.84+310.45)*1445.54</f>
        <v>2401.872094267042</v>
      </c>
      <c r="G67" s="462"/>
      <c r="H67" s="472">
        <f t="shared" si="2"/>
        <v>20.303583619198267</v>
      </c>
      <c r="I67" s="472">
        <f>107*1651.61/1403.87</f>
        <v>125.88221843902926</v>
      </c>
      <c r="J67" s="472">
        <f>48*1651.61/1403.87/8</f>
        <v>7.0588159872352856</v>
      </c>
      <c r="K67" s="472">
        <f>C67*H67</f>
        <v>28503.59193548387</v>
      </c>
      <c r="L67" s="492">
        <f>C67*I67</f>
        <v>176722.27</v>
      </c>
      <c r="M67" s="472">
        <f>K67/D67</f>
        <v>13.716454307089643</v>
      </c>
      <c r="N67" s="472">
        <f>Q67/D67</f>
        <v>13.716454307089643</v>
      </c>
      <c r="O67" s="472">
        <f>Q67/F67</f>
        <v>11.867239726677477</v>
      </c>
      <c r="P67" s="472">
        <f>R67/F67</f>
        <v>73.57688630540035</v>
      </c>
      <c r="Q67" s="472">
        <f>(K67*96)/96</f>
        <v>28503.59193548387</v>
      </c>
      <c r="R67" s="472">
        <f>Q67*6.2</f>
        <v>176722.27</v>
      </c>
      <c r="S67" s="480">
        <f t="shared" si="0"/>
        <v>3.5666666666666664</v>
      </c>
      <c r="T67" s="472">
        <f>C67*J67</f>
        <v>9909.66</v>
      </c>
      <c r="U67" s="522">
        <v>39295</v>
      </c>
      <c r="V67" s="511" t="s">
        <v>478</v>
      </c>
      <c r="W67" s="512">
        <v>40590</v>
      </c>
      <c r="X67" s="512">
        <v>43511</v>
      </c>
      <c r="Y67" s="462">
        <f>K67*2</f>
        <v>57007.183870967739</v>
      </c>
      <c r="Z67" s="462">
        <f>T67*2</f>
        <v>19819.32</v>
      </c>
      <c r="AA67" s="436">
        <f>1651.61*2*(107+48)</f>
        <v>511999.1</v>
      </c>
      <c r="AB67" s="473" t="s">
        <v>479</v>
      </c>
      <c r="AC67" s="461" t="s">
        <v>480</v>
      </c>
      <c r="AD67" s="436" t="s">
        <v>424</v>
      </c>
      <c r="AF67" s="436" t="e">
        <f>#REF!*3</f>
        <v>#REF!</v>
      </c>
      <c r="AG67" s="436">
        <f>Z67*3</f>
        <v>59457.96</v>
      </c>
      <c r="AI67" s="436" t="s">
        <v>481</v>
      </c>
      <c r="AM67" s="436" t="s">
        <v>424</v>
      </c>
      <c r="AN67" s="436" t="s">
        <v>482</v>
      </c>
      <c r="AP67" s="547" t="s">
        <v>483</v>
      </c>
    </row>
    <row r="68" spans="1:42" s="439" customFormat="1">
      <c r="A68" s="461"/>
      <c r="B68" s="461"/>
      <c r="C68" s="462"/>
      <c r="D68" s="462"/>
      <c r="E68" s="462"/>
      <c r="F68" s="462"/>
      <c r="G68" s="462"/>
      <c r="H68" s="472"/>
      <c r="I68" s="472"/>
      <c r="J68" s="472"/>
      <c r="K68" s="472"/>
      <c r="L68" s="492"/>
      <c r="M68" s="472"/>
      <c r="N68" s="472"/>
      <c r="O68" s="472"/>
      <c r="P68" s="472"/>
      <c r="Q68" s="472"/>
      <c r="R68" s="472"/>
      <c r="S68" s="480"/>
      <c r="T68" s="472"/>
      <c r="U68" s="535"/>
      <c r="V68" s="511"/>
      <c r="W68" s="512"/>
      <c r="X68" s="512"/>
      <c r="Y68" s="462"/>
      <c r="Z68" s="462"/>
    </row>
    <row r="69" spans="1:42" s="436" customFormat="1" ht="12.75" customHeight="1">
      <c r="A69" s="461" t="s">
        <v>484</v>
      </c>
      <c r="B69" s="461" t="s">
        <v>485</v>
      </c>
      <c r="C69" s="554">
        <f t="shared" ref="C69:C76" si="3">320.89/377.52*E69</f>
        <v>11.049931129476585</v>
      </c>
      <c r="D69" s="462">
        <f t="shared" ref="D69:D76" si="4">C69/(320.89/555.23)</f>
        <v>19.119490358126725</v>
      </c>
      <c r="E69" s="462">
        <v>13</v>
      </c>
      <c r="F69" s="462">
        <f t="shared" ref="F69:F76" si="5">E69/(377.52/641.75)</f>
        <v>22.098829201101928</v>
      </c>
      <c r="G69" s="462" t="s">
        <v>424</v>
      </c>
      <c r="H69" s="472">
        <f t="shared" ref="H69:H77" si="6">I69/6.2</f>
        <v>20.303731858671298</v>
      </c>
      <c r="I69" s="472">
        <f t="shared" ref="I69:I76" si="7">107*377.52/320.89</f>
        <v>125.88313752376204</v>
      </c>
      <c r="J69" s="472">
        <f t="shared" ref="J69:J76" si="8">48*377.52/320.89/8</f>
        <v>7.0588675246969368</v>
      </c>
      <c r="K69" s="472">
        <f t="shared" ref="K69:K77" si="9">C69*H69</f>
        <v>224.35483870967747</v>
      </c>
      <c r="L69" s="492">
        <f t="shared" ref="L69:L77" si="10">C69*I69</f>
        <v>1391.0000000000002</v>
      </c>
      <c r="M69" s="472">
        <f t="shared" ref="M69:M77" si="11">K69/D69</f>
        <v>11.734352459573568</v>
      </c>
      <c r="N69" s="472">
        <f t="shared" ref="N69:N77" si="12">Q69/D69</f>
        <v>11.734352459573568</v>
      </c>
      <c r="O69" s="472">
        <f t="shared" ref="O69:O77" si="13">Q69/F69</f>
        <v>10.152340500395844</v>
      </c>
      <c r="P69" s="472">
        <f t="shared" ref="P69:P77" si="14">R69/F69</f>
        <v>62.944511102454236</v>
      </c>
      <c r="Q69" s="472">
        <f t="shared" ref="Q69:Q76" si="15">(K69*96)/96</f>
        <v>224.35483870967747</v>
      </c>
      <c r="R69" s="472">
        <f t="shared" ref="R69:R77" si="16">Q69*6.2</f>
        <v>1391.0000000000002</v>
      </c>
      <c r="S69" s="480">
        <f t="shared" si="0"/>
        <v>3.5666666666666673</v>
      </c>
      <c r="T69" s="472">
        <f t="shared" ref="T69:T77" si="17">C69*J69</f>
        <v>78.000000000000014</v>
      </c>
      <c r="U69" s="522">
        <v>39295</v>
      </c>
      <c r="V69" s="635">
        <f t="shared" ref="V69:V76" si="18">89+1/28</f>
        <v>89.035714285714292</v>
      </c>
      <c r="W69" s="512">
        <v>40801</v>
      </c>
      <c r="X69" s="512">
        <v>43511</v>
      </c>
      <c r="Y69" s="462">
        <f t="shared" ref="Y69:Y77" si="19">K69*2</f>
        <v>448.70967741935493</v>
      </c>
      <c r="Z69" s="462">
        <f t="shared" ref="Z69:Z77" si="20">T69*2</f>
        <v>156.00000000000003</v>
      </c>
      <c r="AA69" s="699">
        <f>E69*2*(107+48)</f>
        <v>4030</v>
      </c>
      <c r="AB69" s="549" t="s">
        <v>448</v>
      </c>
      <c r="AC69" s="436" t="s">
        <v>486</v>
      </c>
      <c r="AD69" s="436" t="s">
        <v>424</v>
      </c>
      <c r="AF69" s="436" t="e">
        <f t="shared" ref="AF69:AF76" si="21">#REF!*3</f>
        <v>#REF!</v>
      </c>
      <c r="AG69" s="436">
        <f t="shared" ref="AG69:AG76" si="22">Z69*3</f>
        <v>468.00000000000011</v>
      </c>
      <c r="AI69" s="436" t="s">
        <v>481</v>
      </c>
      <c r="AM69" s="436" t="s">
        <v>424</v>
      </c>
      <c r="AN69" s="436" t="s">
        <v>424</v>
      </c>
      <c r="AP69" s="547" t="s">
        <v>487</v>
      </c>
    </row>
    <row r="70" spans="1:42" s="436" customFormat="1" ht="12.75" customHeight="1">
      <c r="A70" s="461" t="s">
        <v>488</v>
      </c>
      <c r="B70" s="461" t="s">
        <v>489</v>
      </c>
      <c r="C70" s="554">
        <f t="shared" si="3"/>
        <v>11.049931129476585</v>
      </c>
      <c r="D70" s="462">
        <f t="shared" si="4"/>
        <v>19.119490358126725</v>
      </c>
      <c r="E70" s="462">
        <v>13</v>
      </c>
      <c r="F70" s="462">
        <f t="shared" si="5"/>
        <v>22.098829201101928</v>
      </c>
      <c r="G70" s="462" t="s">
        <v>424</v>
      </c>
      <c r="H70" s="472">
        <f t="shared" si="6"/>
        <v>20.303731858671298</v>
      </c>
      <c r="I70" s="472">
        <f t="shared" si="7"/>
        <v>125.88313752376204</v>
      </c>
      <c r="J70" s="472">
        <f t="shared" si="8"/>
        <v>7.0588675246969368</v>
      </c>
      <c r="K70" s="472">
        <f t="shared" si="9"/>
        <v>224.35483870967747</v>
      </c>
      <c r="L70" s="492">
        <f t="shared" si="10"/>
        <v>1391.0000000000002</v>
      </c>
      <c r="M70" s="472">
        <f t="shared" si="11"/>
        <v>11.734352459573568</v>
      </c>
      <c r="N70" s="472">
        <f t="shared" si="12"/>
        <v>11.734352459573568</v>
      </c>
      <c r="O70" s="472">
        <f t="shared" si="13"/>
        <v>10.152340500395844</v>
      </c>
      <c r="P70" s="472">
        <f t="shared" si="14"/>
        <v>62.944511102454236</v>
      </c>
      <c r="Q70" s="472">
        <f t="shared" si="15"/>
        <v>224.35483870967747</v>
      </c>
      <c r="R70" s="472">
        <f t="shared" si="16"/>
        <v>1391.0000000000002</v>
      </c>
      <c r="S70" s="480">
        <f t="shared" si="0"/>
        <v>3.5666666666666673</v>
      </c>
      <c r="T70" s="472">
        <f t="shared" si="17"/>
        <v>78.000000000000014</v>
      </c>
      <c r="U70" s="522">
        <v>39295</v>
      </c>
      <c r="V70" s="635">
        <f t="shared" si="18"/>
        <v>89.035714285714292</v>
      </c>
      <c r="W70" s="512">
        <v>40801</v>
      </c>
      <c r="X70" s="512">
        <v>43511</v>
      </c>
      <c r="Y70" s="462">
        <f t="shared" si="19"/>
        <v>448.70967741935493</v>
      </c>
      <c r="Z70" s="462">
        <f t="shared" si="20"/>
        <v>156.00000000000003</v>
      </c>
      <c r="AA70" s="699">
        <f t="shared" ref="AA70:AA76" si="23">E70*2*(107+48)</f>
        <v>4030</v>
      </c>
      <c r="AB70" s="549" t="s">
        <v>448</v>
      </c>
      <c r="AC70" s="436" t="s">
        <v>486</v>
      </c>
      <c r="AD70" s="436" t="s">
        <v>424</v>
      </c>
      <c r="AF70" s="436" t="e">
        <f t="shared" si="21"/>
        <v>#REF!</v>
      </c>
      <c r="AG70" s="436">
        <f t="shared" si="22"/>
        <v>468.00000000000011</v>
      </c>
      <c r="AI70" s="436" t="s">
        <v>481</v>
      </c>
      <c r="AM70" s="436" t="s">
        <v>424</v>
      </c>
      <c r="AN70" s="436" t="s">
        <v>424</v>
      </c>
      <c r="AP70" s="547" t="s">
        <v>487</v>
      </c>
    </row>
    <row r="71" spans="1:42" s="436" customFormat="1" ht="12.75" customHeight="1">
      <c r="A71" s="461" t="s">
        <v>490</v>
      </c>
      <c r="B71" s="461" t="s">
        <v>491</v>
      </c>
      <c r="C71" s="554">
        <f t="shared" si="3"/>
        <v>57.378042381860567</v>
      </c>
      <c r="D71" s="462">
        <f t="shared" si="4"/>
        <v>99.280159779614337</v>
      </c>
      <c r="E71" s="462">
        <v>67.504000000000005</v>
      </c>
      <c r="F71" s="462">
        <f t="shared" si="5"/>
        <v>114.75072049162959</v>
      </c>
      <c r="G71" s="462" t="s">
        <v>424</v>
      </c>
      <c r="H71" s="472">
        <f t="shared" si="6"/>
        <v>20.303731858671298</v>
      </c>
      <c r="I71" s="472">
        <f t="shared" si="7"/>
        <v>125.88313752376204</v>
      </c>
      <c r="J71" s="472">
        <f t="shared" si="8"/>
        <v>7.0588675246969368</v>
      </c>
      <c r="K71" s="472">
        <f t="shared" si="9"/>
        <v>1164.9883870967744</v>
      </c>
      <c r="L71" s="492">
        <f t="shared" si="10"/>
        <v>7222.9280000000008</v>
      </c>
      <c r="M71" s="472">
        <f t="shared" si="11"/>
        <v>11.73435245957357</v>
      </c>
      <c r="N71" s="472">
        <f t="shared" si="12"/>
        <v>11.73435245957357</v>
      </c>
      <c r="O71" s="472">
        <f t="shared" si="13"/>
        <v>10.152340500395844</v>
      </c>
      <c r="P71" s="472">
        <f t="shared" si="14"/>
        <v>62.944511102454236</v>
      </c>
      <c r="Q71" s="472">
        <f t="shared" si="15"/>
        <v>1164.9883870967744</v>
      </c>
      <c r="R71" s="472">
        <f t="shared" si="16"/>
        <v>7222.9280000000017</v>
      </c>
      <c r="S71" s="480">
        <f t="shared" si="0"/>
        <v>3.5666666666666673</v>
      </c>
      <c r="T71" s="472">
        <f t="shared" si="17"/>
        <v>405.02400000000006</v>
      </c>
      <c r="U71" s="522">
        <v>39295</v>
      </c>
      <c r="V71" s="635">
        <f t="shared" si="18"/>
        <v>89.035714285714292</v>
      </c>
      <c r="W71" s="512">
        <v>40801</v>
      </c>
      <c r="X71" s="512">
        <v>43511</v>
      </c>
      <c r="Y71" s="462">
        <f t="shared" si="19"/>
        <v>2329.9767741935489</v>
      </c>
      <c r="Z71" s="462">
        <f t="shared" si="20"/>
        <v>810.04800000000012</v>
      </c>
      <c r="AA71" s="699">
        <f t="shared" si="23"/>
        <v>20926.240000000002</v>
      </c>
      <c r="AB71" s="549" t="s">
        <v>448</v>
      </c>
      <c r="AC71" s="436" t="s">
        <v>486</v>
      </c>
      <c r="AD71" s="436" t="s">
        <v>424</v>
      </c>
      <c r="AF71" s="436" t="e">
        <f t="shared" si="21"/>
        <v>#REF!</v>
      </c>
      <c r="AG71" s="436">
        <f t="shared" si="22"/>
        <v>2430.1440000000002</v>
      </c>
      <c r="AI71" s="436" t="s">
        <v>481</v>
      </c>
      <c r="AM71" s="436" t="s">
        <v>424</v>
      </c>
      <c r="AN71" s="436" t="s">
        <v>424</v>
      </c>
      <c r="AP71" s="547" t="s">
        <v>487</v>
      </c>
    </row>
    <row r="72" spans="1:42" s="436" customFormat="1" ht="12.75" customHeight="1">
      <c r="A72" s="461" t="s">
        <v>492</v>
      </c>
      <c r="B72" s="461" t="s">
        <v>493</v>
      </c>
      <c r="C72" s="462">
        <f t="shared" si="3"/>
        <v>57.378042381860567</v>
      </c>
      <c r="D72" s="462">
        <f t="shared" si="4"/>
        <v>99.280159779614337</v>
      </c>
      <c r="E72" s="462">
        <v>67.504000000000005</v>
      </c>
      <c r="F72" s="462">
        <f t="shared" si="5"/>
        <v>114.75072049162959</v>
      </c>
      <c r="G72" s="462" t="s">
        <v>424</v>
      </c>
      <c r="H72" s="472">
        <f t="shared" si="6"/>
        <v>20.303731858671298</v>
      </c>
      <c r="I72" s="472">
        <f t="shared" si="7"/>
        <v>125.88313752376204</v>
      </c>
      <c r="J72" s="472">
        <f t="shared" si="8"/>
        <v>7.0588675246969368</v>
      </c>
      <c r="K72" s="472">
        <f t="shared" si="9"/>
        <v>1164.9883870967744</v>
      </c>
      <c r="L72" s="492">
        <f t="shared" si="10"/>
        <v>7222.9280000000008</v>
      </c>
      <c r="M72" s="472">
        <f t="shared" si="11"/>
        <v>11.73435245957357</v>
      </c>
      <c r="N72" s="472">
        <f t="shared" si="12"/>
        <v>11.73435245957357</v>
      </c>
      <c r="O72" s="472">
        <f t="shared" si="13"/>
        <v>10.152340500395844</v>
      </c>
      <c r="P72" s="472">
        <f t="shared" si="14"/>
        <v>62.944511102454236</v>
      </c>
      <c r="Q72" s="472">
        <f t="shared" si="15"/>
        <v>1164.9883870967744</v>
      </c>
      <c r="R72" s="472">
        <f t="shared" si="16"/>
        <v>7222.9280000000017</v>
      </c>
      <c r="S72" s="480">
        <f t="shared" si="0"/>
        <v>3.5666666666666673</v>
      </c>
      <c r="T72" s="472">
        <f t="shared" si="17"/>
        <v>405.02400000000006</v>
      </c>
      <c r="U72" s="522">
        <v>39295</v>
      </c>
      <c r="V72" s="635">
        <f t="shared" si="18"/>
        <v>89.035714285714292</v>
      </c>
      <c r="W72" s="512">
        <v>40801</v>
      </c>
      <c r="X72" s="512">
        <v>43511</v>
      </c>
      <c r="Y72" s="462">
        <f t="shared" si="19"/>
        <v>2329.9767741935489</v>
      </c>
      <c r="Z72" s="462">
        <f t="shared" si="20"/>
        <v>810.04800000000012</v>
      </c>
      <c r="AA72" s="699">
        <f t="shared" si="23"/>
        <v>20926.240000000002</v>
      </c>
      <c r="AB72" s="549" t="s">
        <v>448</v>
      </c>
      <c r="AC72" s="436" t="s">
        <v>486</v>
      </c>
      <c r="AD72" s="436" t="s">
        <v>424</v>
      </c>
      <c r="AF72" s="436" t="e">
        <f t="shared" si="21"/>
        <v>#REF!</v>
      </c>
      <c r="AG72" s="436">
        <f t="shared" si="22"/>
        <v>2430.1440000000002</v>
      </c>
      <c r="AI72" s="436" t="s">
        <v>481</v>
      </c>
      <c r="AM72" s="436" t="s">
        <v>424</v>
      </c>
      <c r="AN72" s="436" t="s">
        <v>424</v>
      </c>
      <c r="AP72" s="547" t="s">
        <v>487</v>
      </c>
    </row>
    <row r="73" spans="1:42" s="436" customFormat="1" ht="12.75" customHeight="1">
      <c r="A73" s="461" t="s">
        <v>494</v>
      </c>
      <c r="B73" s="461" t="s">
        <v>495</v>
      </c>
      <c r="C73" s="462">
        <f t="shared" si="3"/>
        <v>57.378042381860567</v>
      </c>
      <c r="D73" s="462">
        <f t="shared" si="4"/>
        <v>99.280159779614337</v>
      </c>
      <c r="E73" s="462">
        <v>67.504000000000005</v>
      </c>
      <c r="F73" s="462">
        <f t="shared" si="5"/>
        <v>114.75072049162959</v>
      </c>
      <c r="G73" s="462" t="s">
        <v>424</v>
      </c>
      <c r="H73" s="472">
        <f t="shared" si="6"/>
        <v>20.303731858671298</v>
      </c>
      <c r="I73" s="472">
        <f t="shared" si="7"/>
        <v>125.88313752376204</v>
      </c>
      <c r="J73" s="472">
        <f t="shared" si="8"/>
        <v>7.0588675246969368</v>
      </c>
      <c r="K73" s="472">
        <f t="shared" si="9"/>
        <v>1164.9883870967744</v>
      </c>
      <c r="L73" s="492">
        <f t="shared" si="10"/>
        <v>7222.9280000000008</v>
      </c>
      <c r="M73" s="472">
        <f t="shared" si="11"/>
        <v>11.73435245957357</v>
      </c>
      <c r="N73" s="472">
        <f t="shared" si="12"/>
        <v>11.73435245957357</v>
      </c>
      <c r="O73" s="472">
        <f t="shared" si="13"/>
        <v>10.152340500395844</v>
      </c>
      <c r="P73" s="472">
        <f t="shared" si="14"/>
        <v>62.944511102454236</v>
      </c>
      <c r="Q73" s="472">
        <f t="shared" si="15"/>
        <v>1164.9883870967744</v>
      </c>
      <c r="R73" s="472">
        <f t="shared" si="16"/>
        <v>7222.9280000000017</v>
      </c>
      <c r="S73" s="480">
        <f t="shared" ref="S73:S81" si="24">R73/30/E73</f>
        <v>3.5666666666666673</v>
      </c>
      <c r="T73" s="472">
        <f t="shared" si="17"/>
        <v>405.02400000000006</v>
      </c>
      <c r="U73" s="522">
        <v>39295</v>
      </c>
      <c r="V73" s="635">
        <f t="shared" si="18"/>
        <v>89.035714285714292</v>
      </c>
      <c r="W73" s="512">
        <v>40801</v>
      </c>
      <c r="X73" s="512">
        <v>43511</v>
      </c>
      <c r="Y73" s="462">
        <f t="shared" si="19"/>
        <v>2329.9767741935489</v>
      </c>
      <c r="Z73" s="462">
        <f t="shared" si="20"/>
        <v>810.04800000000012</v>
      </c>
      <c r="AA73" s="699">
        <f t="shared" si="23"/>
        <v>20926.240000000002</v>
      </c>
      <c r="AB73" s="549" t="s">
        <v>448</v>
      </c>
      <c r="AC73" s="436" t="s">
        <v>486</v>
      </c>
      <c r="AD73" s="436" t="s">
        <v>424</v>
      </c>
      <c r="AF73" s="436" t="e">
        <f t="shared" si="21"/>
        <v>#REF!</v>
      </c>
      <c r="AG73" s="436">
        <f t="shared" si="22"/>
        <v>2430.1440000000002</v>
      </c>
      <c r="AI73" s="436" t="s">
        <v>481</v>
      </c>
      <c r="AM73" s="436" t="s">
        <v>424</v>
      </c>
      <c r="AN73" s="436" t="s">
        <v>424</v>
      </c>
      <c r="AP73" s="547" t="s">
        <v>487</v>
      </c>
    </row>
    <row r="74" spans="1:42" s="436" customFormat="1" ht="12.75" customHeight="1">
      <c r="A74" s="461" t="s">
        <v>496</v>
      </c>
      <c r="B74" s="461" t="s">
        <v>497</v>
      </c>
      <c r="C74" s="462">
        <f t="shared" si="3"/>
        <v>57.378042381860567</v>
      </c>
      <c r="D74" s="462">
        <f t="shared" si="4"/>
        <v>99.280159779614337</v>
      </c>
      <c r="E74" s="462">
        <v>67.504000000000005</v>
      </c>
      <c r="F74" s="462">
        <f t="shared" si="5"/>
        <v>114.75072049162959</v>
      </c>
      <c r="G74" s="462" t="s">
        <v>424</v>
      </c>
      <c r="H74" s="472">
        <f t="shared" si="6"/>
        <v>20.303731858671298</v>
      </c>
      <c r="I74" s="472">
        <f t="shared" si="7"/>
        <v>125.88313752376204</v>
      </c>
      <c r="J74" s="472">
        <f t="shared" si="8"/>
        <v>7.0588675246969368</v>
      </c>
      <c r="K74" s="472">
        <f t="shared" si="9"/>
        <v>1164.9883870967744</v>
      </c>
      <c r="L74" s="492">
        <f t="shared" si="10"/>
        <v>7222.9280000000008</v>
      </c>
      <c r="M74" s="472">
        <f t="shared" si="11"/>
        <v>11.73435245957357</v>
      </c>
      <c r="N74" s="472">
        <f t="shared" si="12"/>
        <v>11.73435245957357</v>
      </c>
      <c r="O74" s="472">
        <f t="shared" si="13"/>
        <v>10.152340500395844</v>
      </c>
      <c r="P74" s="472">
        <f t="shared" si="14"/>
        <v>62.944511102454236</v>
      </c>
      <c r="Q74" s="472">
        <f t="shared" si="15"/>
        <v>1164.9883870967744</v>
      </c>
      <c r="R74" s="472">
        <f t="shared" si="16"/>
        <v>7222.9280000000017</v>
      </c>
      <c r="S74" s="480">
        <f t="shared" si="24"/>
        <v>3.5666666666666673</v>
      </c>
      <c r="T74" s="472">
        <f t="shared" si="17"/>
        <v>405.02400000000006</v>
      </c>
      <c r="U74" s="522">
        <v>39295</v>
      </c>
      <c r="V74" s="635">
        <f t="shared" si="18"/>
        <v>89.035714285714292</v>
      </c>
      <c r="W74" s="512">
        <v>40801</v>
      </c>
      <c r="X74" s="512">
        <v>43511</v>
      </c>
      <c r="Y74" s="462">
        <f t="shared" si="19"/>
        <v>2329.9767741935489</v>
      </c>
      <c r="Z74" s="462">
        <f t="shared" si="20"/>
        <v>810.04800000000012</v>
      </c>
      <c r="AA74" s="699">
        <f t="shared" si="23"/>
        <v>20926.240000000002</v>
      </c>
      <c r="AB74" s="549" t="s">
        <v>448</v>
      </c>
      <c r="AC74" s="436" t="s">
        <v>486</v>
      </c>
      <c r="AD74" s="436" t="s">
        <v>424</v>
      </c>
      <c r="AF74" s="436" t="e">
        <f t="shared" si="21"/>
        <v>#REF!</v>
      </c>
      <c r="AG74" s="436">
        <f t="shared" si="22"/>
        <v>2430.1440000000002</v>
      </c>
      <c r="AI74" s="436" t="s">
        <v>481</v>
      </c>
      <c r="AM74" s="436" t="s">
        <v>424</v>
      </c>
      <c r="AN74" s="436" t="s">
        <v>424</v>
      </c>
      <c r="AP74" s="547" t="s">
        <v>487</v>
      </c>
    </row>
    <row r="75" spans="1:42" s="436" customFormat="1" ht="12.75" customHeight="1">
      <c r="A75" s="461" t="s">
        <v>498</v>
      </c>
      <c r="B75" s="461" t="s">
        <v>499</v>
      </c>
      <c r="C75" s="462">
        <f t="shared" si="3"/>
        <v>57.378042381860567</v>
      </c>
      <c r="D75" s="462">
        <f t="shared" si="4"/>
        <v>99.280159779614337</v>
      </c>
      <c r="E75" s="462">
        <v>67.504000000000005</v>
      </c>
      <c r="F75" s="462">
        <f t="shared" si="5"/>
        <v>114.75072049162959</v>
      </c>
      <c r="G75" s="462" t="s">
        <v>424</v>
      </c>
      <c r="H75" s="472">
        <f t="shared" si="6"/>
        <v>20.303731858671298</v>
      </c>
      <c r="I75" s="472">
        <f t="shared" si="7"/>
        <v>125.88313752376204</v>
      </c>
      <c r="J75" s="472">
        <f t="shared" si="8"/>
        <v>7.0588675246969368</v>
      </c>
      <c r="K75" s="472">
        <f t="shared" si="9"/>
        <v>1164.9883870967744</v>
      </c>
      <c r="L75" s="492">
        <f t="shared" si="10"/>
        <v>7222.9280000000008</v>
      </c>
      <c r="M75" s="472">
        <f t="shared" si="11"/>
        <v>11.73435245957357</v>
      </c>
      <c r="N75" s="472">
        <f t="shared" si="12"/>
        <v>11.73435245957357</v>
      </c>
      <c r="O75" s="472">
        <f t="shared" si="13"/>
        <v>10.152340500395844</v>
      </c>
      <c r="P75" s="472">
        <f t="shared" si="14"/>
        <v>62.944511102454236</v>
      </c>
      <c r="Q75" s="472">
        <f t="shared" si="15"/>
        <v>1164.9883870967744</v>
      </c>
      <c r="R75" s="472">
        <f t="shared" si="16"/>
        <v>7222.9280000000017</v>
      </c>
      <c r="S75" s="480">
        <f t="shared" si="24"/>
        <v>3.5666666666666673</v>
      </c>
      <c r="T75" s="472">
        <f t="shared" si="17"/>
        <v>405.02400000000006</v>
      </c>
      <c r="U75" s="522">
        <v>39295</v>
      </c>
      <c r="V75" s="635">
        <f t="shared" si="18"/>
        <v>89.035714285714292</v>
      </c>
      <c r="W75" s="512">
        <v>40801</v>
      </c>
      <c r="X75" s="512">
        <v>43511</v>
      </c>
      <c r="Y75" s="462">
        <f t="shared" si="19"/>
        <v>2329.9767741935489</v>
      </c>
      <c r="Z75" s="462">
        <f t="shared" si="20"/>
        <v>810.04800000000012</v>
      </c>
      <c r="AA75" s="699">
        <f t="shared" si="23"/>
        <v>20926.240000000002</v>
      </c>
      <c r="AB75" s="549" t="s">
        <v>448</v>
      </c>
      <c r="AC75" s="436" t="s">
        <v>486</v>
      </c>
      <c r="AD75" s="436" t="s">
        <v>424</v>
      </c>
      <c r="AF75" s="436" t="e">
        <f t="shared" si="21"/>
        <v>#REF!</v>
      </c>
      <c r="AG75" s="436">
        <f t="shared" si="22"/>
        <v>2430.1440000000002</v>
      </c>
      <c r="AI75" s="436" t="s">
        <v>481</v>
      </c>
      <c r="AM75" s="436" t="s">
        <v>424</v>
      </c>
      <c r="AN75" s="436" t="s">
        <v>424</v>
      </c>
      <c r="AP75" s="547" t="s">
        <v>487</v>
      </c>
    </row>
    <row r="76" spans="1:42" s="436" customFormat="1" ht="12.75" customHeight="1">
      <c r="A76" s="461" t="s">
        <v>500</v>
      </c>
      <c r="B76" s="461" t="s">
        <v>480</v>
      </c>
      <c r="C76" s="555">
        <f t="shared" si="3"/>
        <v>11.899925831744014</v>
      </c>
      <c r="D76" s="462">
        <f t="shared" si="4"/>
        <v>20.590220385674932</v>
      </c>
      <c r="E76" s="462">
        <v>14</v>
      </c>
      <c r="F76" s="462">
        <f t="shared" si="5"/>
        <v>23.79873913964823</v>
      </c>
      <c r="G76" s="462" t="s">
        <v>424</v>
      </c>
      <c r="H76" s="472">
        <f t="shared" si="6"/>
        <v>20.303731858671298</v>
      </c>
      <c r="I76" s="472">
        <f t="shared" si="7"/>
        <v>125.88313752376204</v>
      </c>
      <c r="J76" s="472">
        <f t="shared" si="8"/>
        <v>7.0588675246969368</v>
      </c>
      <c r="K76" s="472">
        <f t="shared" si="9"/>
        <v>241.61290322580649</v>
      </c>
      <c r="L76" s="492">
        <f t="shared" si="10"/>
        <v>1498.0000000000002</v>
      </c>
      <c r="M76" s="472">
        <f t="shared" si="11"/>
        <v>11.73435245957357</v>
      </c>
      <c r="N76" s="472">
        <f t="shared" si="12"/>
        <v>11.73435245957357</v>
      </c>
      <c r="O76" s="472">
        <f t="shared" si="13"/>
        <v>10.152340500395844</v>
      </c>
      <c r="P76" s="472">
        <f t="shared" si="14"/>
        <v>62.944511102454236</v>
      </c>
      <c r="Q76" s="472">
        <f t="shared" si="15"/>
        <v>241.61290322580649</v>
      </c>
      <c r="R76" s="472">
        <f t="shared" si="16"/>
        <v>1498.0000000000002</v>
      </c>
      <c r="S76" s="480">
        <f t="shared" si="24"/>
        <v>3.5666666666666673</v>
      </c>
      <c r="T76" s="472">
        <f t="shared" si="17"/>
        <v>84</v>
      </c>
      <c r="U76" s="522">
        <v>39295</v>
      </c>
      <c r="V76" s="635">
        <f t="shared" si="18"/>
        <v>89.035714285714292</v>
      </c>
      <c r="W76" s="512">
        <v>40801</v>
      </c>
      <c r="X76" s="512">
        <v>43511</v>
      </c>
      <c r="Y76" s="462">
        <f t="shared" si="19"/>
        <v>483.22580645161298</v>
      </c>
      <c r="Z76" s="462">
        <f t="shared" si="20"/>
        <v>168</v>
      </c>
      <c r="AA76" s="699">
        <f t="shared" si="23"/>
        <v>4340</v>
      </c>
      <c r="AB76" s="549" t="s">
        <v>448</v>
      </c>
      <c r="AC76" s="436" t="s">
        <v>486</v>
      </c>
      <c r="AD76" s="436" t="s">
        <v>424</v>
      </c>
      <c r="AF76" s="436" t="e">
        <f t="shared" si="21"/>
        <v>#REF!</v>
      </c>
      <c r="AG76" s="436">
        <f t="shared" si="22"/>
        <v>504</v>
      </c>
      <c r="AI76" s="436" t="s">
        <v>481</v>
      </c>
      <c r="AM76" s="436" t="s">
        <v>424</v>
      </c>
      <c r="AN76" s="436" t="s">
        <v>424</v>
      </c>
      <c r="AP76" s="547" t="s">
        <v>487</v>
      </c>
    </row>
    <row r="77" spans="1:42" s="436" customFormat="1" ht="12.75" customHeight="1">
      <c r="A77" s="473" t="s">
        <v>501</v>
      </c>
      <c r="B77" s="461">
        <v>301</v>
      </c>
      <c r="C77" s="462">
        <v>1375</v>
      </c>
      <c r="D77" s="462">
        <v>1536.66</v>
      </c>
      <c r="E77" s="462">
        <v>1776.11</v>
      </c>
      <c r="F77" s="462">
        <v>1776.11</v>
      </c>
      <c r="G77" s="462"/>
      <c r="H77" s="472">
        <f t="shared" si="6"/>
        <v>25.806451612903224</v>
      </c>
      <c r="I77" s="472">
        <v>160</v>
      </c>
      <c r="J77" s="472">
        <f>48/8</f>
        <v>6</v>
      </c>
      <c r="K77" s="472">
        <f t="shared" si="9"/>
        <v>35483.870967741932</v>
      </c>
      <c r="L77" s="492">
        <f t="shared" si="10"/>
        <v>220000</v>
      </c>
      <c r="M77" s="472">
        <f t="shared" si="11"/>
        <v>23.091556341508159</v>
      </c>
      <c r="N77" s="472">
        <f t="shared" si="12"/>
        <v>22.369945205836029</v>
      </c>
      <c r="O77" s="472">
        <f t="shared" si="13"/>
        <v>19.354094059489555</v>
      </c>
      <c r="P77" s="472">
        <f t="shared" si="14"/>
        <v>119.99538316883526</v>
      </c>
      <c r="Q77" s="472">
        <f>(K77*93)/96</f>
        <v>34374.999999999993</v>
      </c>
      <c r="R77" s="472">
        <f t="shared" si="16"/>
        <v>213124.99999999997</v>
      </c>
      <c r="S77" s="480">
        <f t="shared" si="24"/>
        <v>3.9998461056278418</v>
      </c>
      <c r="T77" s="472">
        <f t="shared" si="17"/>
        <v>8250</v>
      </c>
      <c r="U77" s="522">
        <v>37054</v>
      </c>
      <c r="V77" s="511" t="s">
        <v>478</v>
      </c>
      <c r="W77" s="512">
        <v>40801</v>
      </c>
      <c r="X77" s="512">
        <v>43722</v>
      </c>
      <c r="Y77" s="462">
        <f t="shared" si="19"/>
        <v>70967.741935483864</v>
      </c>
      <c r="Z77" s="462">
        <f t="shared" si="20"/>
        <v>16500</v>
      </c>
      <c r="AA77" s="436" t="s">
        <v>502</v>
      </c>
      <c r="AB77" s="549" t="s">
        <v>424</v>
      </c>
      <c r="AF77" s="436" t="e">
        <f>#REF!*2</f>
        <v>#REF!</v>
      </c>
      <c r="AG77" s="436">
        <f>Z77*2</f>
        <v>33000</v>
      </c>
      <c r="AI77" s="436" t="s">
        <v>456</v>
      </c>
      <c r="AJ77" s="436" t="s">
        <v>456</v>
      </c>
      <c r="AK77" s="436" t="s">
        <v>456</v>
      </c>
      <c r="AL77" s="436" t="s">
        <v>503</v>
      </c>
      <c r="AM77" s="436" t="s">
        <v>456</v>
      </c>
      <c r="AN77" s="436" t="s">
        <v>456</v>
      </c>
      <c r="AO77" s="436" t="s">
        <v>504</v>
      </c>
    </row>
    <row r="78" spans="1:42" s="440" customFormat="1" ht="12.75" customHeight="1">
      <c r="A78" s="556"/>
      <c r="B78" s="474"/>
      <c r="C78" s="475"/>
      <c r="D78" s="475"/>
      <c r="E78" s="475">
        <f>SUM(E67:E77)</f>
        <v>3805.2399999999993</v>
      </c>
      <c r="F78" s="475"/>
      <c r="G78" s="475"/>
      <c r="H78" s="480"/>
      <c r="I78" s="480"/>
      <c r="J78" s="480"/>
      <c r="K78" s="480"/>
      <c r="L78" s="496"/>
      <c r="M78" s="480"/>
      <c r="N78" s="480"/>
      <c r="O78" s="480"/>
      <c r="P78" s="480"/>
      <c r="Q78" s="480"/>
      <c r="R78" s="480">
        <f>SUM(R67:R77)</f>
        <v>430241.91000000003</v>
      </c>
      <c r="S78" s="480">
        <f t="shared" si="24"/>
        <v>3.7688547897110309</v>
      </c>
      <c r="T78" s="480"/>
      <c r="U78" s="533"/>
      <c r="V78" s="524"/>
      <c r="W78" s="525"/>
      <c r="X78" s="525"/>
      <c r="Y78" s="475"/>
      <c r="Z78" s="475"/>
    </row>
    <row r="79" spans="1:42" s="440" customFormat="1">
      <c r="A79" s="474" t="s">
        <v>505</v>
      </c>
      <c r="B79" s="474" t="s">
        <v>506</v>
      </c>
      <c r="C79" s="475">
        <f>1238.18+1391.14+1381.69</f>
        <v>4011.01</v>
      </c>
      <c r="D79" s="475">
        <v>4580.26</v>
      </c>
      <c r="E79" s="475">
        <f>1817.29+1563.95+1883.23</f>
        <v>5264.4699999999993</v>
      </c>
      <c r="F79" s="475">
        <f>1817.29+1593.46+1883.23</f>
        <v>5293.98</v>
      </c>
      <c r="G79" s="475"/>
      <c r="H79" s="480">
        <f>I79/6.2</f>
        <v>18.870967741935484</v>
      </c>
      <c r="I79" s="480">
        <v>117</v>
      </c>
      <c r="J79" s="480">
        <v>6</v>
      </c>
      <c r="K79" s="480">
        <f>C79*H79</f>
        <v>75691.640322580643</v>
      </c>
      <c r="L79" s="496">
        <f>C79*I79</f>
        <v>469288.17000000004</v>
      </c>
      <c r="M79" s="480">
        <f>K79/D79</f>
        <v>16.525620886713995</v>
      </c>
      <c r="N79" s="480">
        <f>Q79/D79</f>
        <v>16.25019387193543</v>
      </c>
      <c r="O79" s="480">
        <f>Q79/F79</f>
        <v>14.059386885456874</v>
      </c>
      <c r="P79" s="480">
        <f>R79/F79</f>
        <v>87.168198689832622</v>
      </c>
      <c r="Q79" s="480">
        <f>(K79*118)/120</f>
        <v>74430.112983870975</v>
      </c>
      <c r="R79" s="480">
        <f>Q79*6.2</f>
        <v>461466.70050000004</v>
      </c>
      <c r="S79" s="480">
        <f t="shared" si="24"/>
        <v>2.9218940083237257</v>
      </c>
      <c r="T79" s="480">
        <f>C79*J79</f>
        <v>24066.06</v>
      </c>
      <c r="U79" s="533">
        <v>40360</v>
      </c>
      <c r="V79" s="524" t="s">
        <v>507</v>
      </c>
      <c r="W79" s="525">
        <v>40617</v>
      </c>
      <c r="X79" s="525">
        <v>44269</v>
      </c>
      <c r="Y79" s="475">
        <f>K79*2</f>
        <v>151383.28064516129</v>
      </c>
      <c r="Z79" s="475">
        <f>T79*2</f>
        <v>48132.12</v>
      </c>
      <c r="AA79" s="440">
        <v>1323633.3</v>
      </c>
      <c r="AB79" s="556" t="s">
        <v>508</v>
      </c>
      <c r="AC79" s="474" t="s">
        <v>493</v>
      </c>
      <c r="AF79" s="440">
        <f>44165.52*3/8</f>
        <v>16562.07</v>
      </c>
      <c r="AG79" s="440">
        <f>5608.32*3/8</f>
        <v>2103.12</v>
      </c>
      <c r="AI79" s="440" t="s">
        <v>509</v>
      </c>
      <c r="AJ79" s="440" t="s">
        <v>509</v>
      </c>
      <c r="AK79" s="440" t="s">
        <v>510</v>
      </c>
      <c r="AL79" s="440" t="s">
        <v>503</v>
      </c>
      <c r="AM79" s="440" t="s">
        <v>510</v>
      </c>
      <c r="AN79" s="440" t="s">
        <v>510</v>
      </c>
      <c r="AO79" s="440" t="s">
        <v>456</v>
      </c>
      <c r="AP79" s="440" t="s">
        <v>511</v>
      </c>
    </row>
    <row r="80" spans="1:42" s="440" customFormat="1" ht="18" customHeight="1">
      <c r="A80" s="474" t="s">
        <v>512</v>
      </c>
      <c r="B80" s="474" t="s">
        <v>513</v>
      </c>
      <c r="C80" s="475">
        <v>1154.25</v>
      </c>
      <c r="D80" s="475">
        <v>1154.25</v>
      </c>
      <c r="E80" s="475">
        <v>1334</v>
      </c>
      <c r="F80" s="475">
        <v>1334.11</v>
      </c>
      <c r="G80" s="475"/>
      <c r="H80" s="480">
        <f>I80/6.2</f>
        <v>11.184472531388208</v>
      </c>
      <c r="I80" s="480">
        <f>E80*2*30/C80</f>
        <v>69.343729694606893</v>
      </c>
      <c r="J80" s="480">
        <f>10/6.2</f>
        <v>1.6129032258064515</v>
      </c>
      <c r="K80" s="480">
        <f>H80*C80</f>
        <v>12909.677419354839</v>
      </c>
      <c r="L80" s="496">
        <f>I80*C80</f>
        <v>80040</v>
      </c>
      <c r="M80" s="480">
        <f>K80/D80</f>
        <v>11.184472531388208</v>
      </c>
      <c r="N80" s="480">
        <f>Q80/D80</f>
        <v>10.252433153772524</v>
      </c>
      <c r="O80" s="480">
        <f>Q80/F80*33/36</f>
        <v>8.1310499537245366</v>
      </c>
      <c r="P80" s="480">
        <f>R80/F80</f>
        <v>54.995465141555052</v>
      </c>
      <c r="Q80" s="480">
        <f>K80*33/36</f>
        <v>11833.870967741936</v>
      </c>
      <c r="R80" s="480">
        <f>Q80*6.2</f>
        <v>73370</v>
      </c>
      <c r="S80" s="480">
        <f t="shared" si="24"/>
        <v>1.8333333333333333</v>
      </c>
      <c r="T80" s="480">
        <f>J80*E80</f>
        <v>2151.6129032258063</v>
      </c>
      <c r="U80" s="533">
        <v>40148</v>
      </c>
      <c r="V80" s="524" t="s">
        <v>514</v>
      </c>
      <c r="W80" s="525">
        <v>40360</v>
      </c>
      <c r="X80" s="525">
        <v>45838</v>
      </c>
      <c r="Y80" s="475">
        <f>1344*2*30*3/6.2</f>
        <v>39019.354838709674</v>
      </c>
      <c r="Z80" s="475">
        <f>T80*3</f>
        <v>6454.8387096774186</v>
      </c>
      <c r="AB80" s="440" t="s">
        <v>448</v>
      </c>
      <c r="AC80" s="440">
        <v>88783.360000000001</v>
      </c>
      <c r="AF80" s="440">
        <f>44165.52*3/8</f>
        <v>16562.07</v>
      </c>
      <c r="AG80" s="440">
        <f>5608.32*3/8</f>
        <v>2103.12</v>
      </c>
      <c r="AP80" s="440" t="s">
        <v>515</v>
      </c>
    </row>
    <row r="81" spans="1:44" s="434" customFormat="1" ht="14.25" customHeight="1">
      <c r="A81" s="557" t="s">
        <v>516</v>
      </c>
      <c r="B81" s="557"/>
      <c r="C81" s="558">
        <f>SUM(C18:C61)</f>
        <v>1680.34</v>
      </c>
      <c r="D81" s="558">
        <f>SUM(D18:D61)</f>
        <v>1684.26</v>
      </c>
      <c r="E81" s="558">
        <f>SUM(E18:E61)</f>
        <v>3365.3875036408604</v>
      </c>
      <c r="F81" s="558">
        <f>SUM(F18:F61)</f>
        <v>2207.87</v>
      </c>
      <c r="G81" s="558">
        <f>SUM(G18:G61)</f>
        <v>0</v>
      </c>
      <c r="H81" s="559">
        <f>Q81/D81</f>
        <v>39.492751374509915</v>
      </c>
      <c r="I81" s="608">
        <f>L81/C81</f>
        <v>35.547535022673955</v>
      </c>
      <c r="J81" s="559">
        <f>T81/C81</f>
        <v>7.496506659366557</v>
      </c>
      <c r="K81" s="609">
        <f>SUM(K18:K61)-SUM(K63,K65:K66,K25:K26,K18,K19,K20,K21,K23,K33,K35,K12)</f>
        <v>9634.1846774193691</v>
      </c>
      <c r="L81" s="609">
        <f>SUM(L18:L61)-SUM(L63,L65:L66,L25:L26,L18,L19,L20,L21,L23,L33,L35,L12)</f>
        <v>59731.944999999949</v>
      </c>
      <c r="M81" s="610">
        <f>K81/D81</f>
        <v>5.7201291234247496</v>
      </c>
      <c r="N81" s="610">
        <f>Q81/D81</f>
        <v>39.492751374509915</v>
      </c>
      <c r="O81" s="608">
        <f>Q81/F81</f>
        <v>30.126801591593743</v>
      </c>
      <c r="P81" s="608">
        <f>R81/F81</f>
        <v>324.87814697603415</v>
      </c>
      <c r="Q81" s="636">
        <f>SUM(Q18:Q61)-Q12</f>
        <v>66516.061430032074</v>
      </c>
      <c r="R81" s="636">
        <f>SUM(R18:R61)-R12</f>
        <v>717288.7143639765</v>
      </c>
      <c r="S81" s="480">
        <f t="shared" si="24"/>
        <v>7.1045678354322677</v>
      </c>
      <c r="T81" s="610">
        <f>SUM(T18:T61)</f>
        <v>12596.68</v>
      </c>
      <c r="U81" s="637"/>
      <c r="V81" s="638"/>
      <c r="W81" s="639"/>
      <c r="X81" s="639"/>
      <c r="Y81" s="558">
        <f>SUM(Y18:Y61)</f>
        <v>177706.69677419355</v>
      </c>
      <c r="Z81" s="558">
        <f>SUM(Z18:Z61)</f>
        <v>34368.720000000001</v>
      </c>
      <c r="AF81" s="436"/>
      <c r="AG81" s="436"/>
    </row>
    <row r="82" spans="1:44" s="434" customFormat="1" ht="14.25" customHeight="1">
      <c r="A82" s="560"/>
      <c r="B82" s="560"/>
      <c r="C82" s="561"/>
      <c r="D82" s="561"/>
      <c r="E82" s="561"/>
      <c r="F82" s="561" t="s">
        <v>424</v>
      </c>
      <c r="G82" s="561"/>
      <c r="H82" s="562"/>
      <c r="I82" s="562"/>
      <c r="J82" s="562"/>
      <c r="K82" s="562"/>
      <c r="L82" s="562" t="s">
        <v>424</v>
      </c>
      <c r="M82" s="562"/>
      <c r="N82" s="562"/>
      <c r="O82" s="562"/>
      <c r="P82" s="562"/>
      <c r="Q82" s="562"/>
      <c r="R82" s="562"/>
      <c r="S82" s="640"/>
      <c r="T82" s="562"/>
      <c r="U82" s="396"/>
      <c r="V82" s="396"/>
      <c r="W82" s="641"/>
      <c r="X82" s="641"/>
      <c r="Y82" s="561"/>
      <c r="Z82" s="561"/>
      <c r="AF82" s="436"/>
      <c r="AG82" s="436"/>
    </row>
    <row r="83" spans="1:44" s="441" customFormat="1" ht="17.25" customHeight="1">
      <c r="A83" s="563"/>
      <c r="B83" s="563" t="s">
        <v>517</v>
      </c>
      <c r="C83" s="564"/>
      <c r="D83" s="565" t="s">
        <v>518</v>
      </c>
      <c r="E83" s="566"/>
      <c r="F83" s="567" t="s">
        <v>424</v>
      </c>
      <c r="G83" s="568"/>
      <c r="H83" s="568"/>
      <c r="I83" s="568"/>
      <c r="J83" s="568"/>
      <c r="K83" s="611"/>
      <c r="L83" s="611"/>
      <c r="M83" s="566" t="s">
        <v>519</v>
      </c>
      <c r="N83" s="568"/>
      <c r="O83" s="562"/>
      <c r="P83" s="612"/>
      <c r="Q83" s="566" t="s">
        <v>424</v>
      </c>
      <c r="R83" s="642"/>
      <c r="S83" s="643"/>
      <c r="T83" s="566" t="s">
        <v>520</v>
      </c>
      <c r="U83" s="568"/>
      <c r="V83" s="568"/>
      <c r="W83" s="644"/>
    </row>
    <row r="84" spans="1:44" s="436" customFormat="1" collapsed="1">
      <c r="A84" s="569"/>
      <c r="B84" s="569"/>
      <c r="C84" s="570"/>
      <c r="D84" s="570"/>
      <c r="E84" s="570"/>
      <c r="F84" s="570" t="s">
        <v>424</v>
      </c>
      <c r="G84" s="570"/>
      <c r="H84" s="571"/>
      <c r="I84" s="571"/>
      <c r="J84" s="571"/>
      <c r="K84" s="571"/>
      <c r="L84" s="571"/>
      <c r="M84" s="571"/>
      <c r="N84" s="571"/>
      <c r="O84" s="571" t="s">
        <v>424</v>
      </c>
      <c r="P84" s="571" t="s">
        <v>424</v>
      </c>
      <c r="Q84" s="570" t="s">
        <v>424</v>
      </c>
      <c r="R84" s="573"/>
      <c r="S84" s="645"/>
      <c r="T84" s="571"/>
      <c r="U84" s="646"/>
      <c r="V84" s="647"/>
      <c r="W84" s="561"/>
      <c r="X84" s="646"/>
      <c r="Y84" s="570"/>
      <c r="Z84" s="570"/>
    </row>
    <row r="85" spans="1:44" s="436" customFormat="1" ht="10.35" hidden="1" customHeight="1" outlineLevel="1">
      <c r="A85" s="569"/>
      <c r="B85" s="569"/>
      <c r="C85" s="570"/>
      <c r="D85" s="570"/>
      <c r="E85" s="570"/>
      <c r="F85" s="570"/>
      <c r="G85" s="570"/>
      <c r="H85" s="571"/>
      <c r="I85" s="571"/>
      <c r="J85" s="571"/>
      <c r="K85" s="613"/>
      <c r="L85" s="613"/>
      <c r="M85" s="570"/>
      <c r="N85" s="570"/>
      <c r="O85" s="571"/>
      <c r="P85" s="571"/>
      <c r="Q85" s="570"/>
      <c r="R85" s="573"/>
      <c r="S85" s="645"/>
      <c r="T85" s="570"/>
      <c r="U85" s="646"/>
      <c r="V85" s="647"/>
      <c r="W85" s="646"/>
      <c r="X85" s="646"/>
      <c r="Y85" s="570"/>
      <c r="Z85" s="570"/>
    </row>
    <row r="86" spans="1:44" s="436" customFormat="1" ht="12.75" hidden="1" customHeight="1" outlineLevel="1">
      <c r="A86" s="569" t="s">
        <v>521</v>
      </c>
      <c r="B86" s="569"/>
      <c r="C86" s="570">
        <v>37800</v>
      </c>
      <c r="D86" s="570">
        <v>37800</v>
      </c>
      <c r="E86" s="570">
        <v>47118.59</v>
      </c>
      <c r="F86" s="570">
        <v>47118.59</v>
      </c>
      <c r="G86" s="570"/>
      <c r="H86" s="571">
        <f>K86/C86</f>
        <v>9</v>
      </c>
      <c r="I86" s="571">
        <f>M86/D86</f>
        <v>0</v>
      </c>
      <c r="J86" s="571">
        <f>10500/C86/8.28</f>
        <v>3.3548040794417609E-2</v>
      </c>
      <c r="K86" s="613">
        <f>37800*0.3*30</f>
        <v>340200</v>
      </c>
      <c r="L86" s="613">
        <f>37800*0.3*30</f>
        <v>340200</v>
      </c>
      <c r="M86" s="570"/>
      <c r="N86" s="570"/>
      <c r="O86" s="571">
        <f>Q86/D86</f>
        <v>10.611243386243386</v>
      </c>
      <c r="P86" s="571">
        <f>R86/E86</f>
        <v>0</v>
      </c>
      <c r="Q86" s="570">
        <v>401105</v>
      </c>
      <c r="R86" s="573"/>
      <c r="S86" s="645"/>
      <c r="T86" s="571">
        <f>C86*J86</f>
        <v>1268.1159420289857</v>
      </c>
      <c r="U86" s="646"/>
      <c r="V86" s="647" t="s">
        <v>522</v>
      </c>
      <c r="W86" s="646">
        <v>36996</v>
      </c>
      <c r="X86" s="646">
        <v>37893</v>
      </c>
      <c r="Y86" s="570">
        <v>0</v>
      </c>
      <c r="Z86" s="570">
        <v>0</v>
      </c>
      <c r="AF86" s="436">
        <v>0</v>
      </c>
      <c r="AG86" s="436">
        <v>0</v>
      </c>
    </row>
    <row r="87" spans="1:44" s="436" customFormat="1" ht="12.75" hidden="1" customHeight="1" outlineLevel="1">
      <c r="A87" s="569"/>
      <c r="B87" s="569"/>
      <c r="C87" s="570"/>
      <c r="D87" s="570"/>
      <c r="E87" s="570"/>
      <c r="F87" s="570"/>
      <c r="G87" s="570"/>
      <c r="H87" s="1282" t="s">
        <v>523</v>
      </c>
      <c r="I87" s="1282" t="s">
        <v>523</v>
      </c>
      <c r="J87" s="571"/>
      <c r="K87" s="613">
        <f t="shared" ref="K87:L90" si="25">K86*1.1</f>
        <v>374220.00000000006</v>
      </c>
      <c r="L87" s="613">
        <f t="shared" si="25"/>
        <v>374220.00000000006</v>
      </c>
      <c r="M87" s="570"/>
      <c r="N87" s="570"/>
      <c r="O87" s="1282" t="s">
        <v>523</v>
      </c>
      <c r="P87" s="1282" t="s">
        <v>523</v>
      </c>
      <c r="Q87" s="570" t="s">
        <v>424</v>
      </c>
      <c r="R87" s="573"/>
      <c r="S87" s="645"/>
      <c r="T87" s="571"/>
      <c r="U87" s="646"/>
      <c r="V87" s="647"/>
      <c r="W87" s="646">
        <v>37894</v>
      </c>
      <c r="X87" s="646">
        <v>38624</v>
      </c>
      <c r="Y87" s="570"/>
      <c r="Z87" s="570"/>
    </row>
    <row r="88" spans="1:44" s="436" customFormat="1" ht="12.75" hidden="1" customHeight="1" outlineLevel="1">
      <c r="A88" s="569"/>
      <c r="B88" s="569"/>
      <c r="C88" s="570"/>
      <c r="D88" s="570"/>
      <c r="E88" s="570"/>
      <c r="F88" s="570"/>
      <c r="G88" s="570"/>
      <c r="H88" s="1282"/>
      <c r="I88" s="1282"/>
      <c r="J88" s="571"/>
      <c r="K88" s="613">
        <f t="shared" si="25"/>
        <v>411642.00000000012</v>
      </c>
      <c r="L88" s="613">
        <f t="shared" si="25"/>
        <v>411642.00000000012</v>
      </c>
      <c r="M88" s="570"/>
      <c r="N88" s="570"/>
      <c r="O88" s="1282"/>
      <c r="P88" s="1282"/>
      <c r="Q88" s="570" t="s">
        <v>424</v>
      </c>
      <c r="R88" s="573"/>
      <c r="S88" s="645"/>
      <c r="T88" s="571"/>
      <c r="U88" s="646"/>
      <c r="V88" s="647"/>
      <c r="W88" s="646">
        <v>38625</v>
      </c>
      <c r="X88" s="646">
        <v>39354</v>
      </c>
      <c r="Y88" s="570"/>
      <c r="Z88" s="570"/>
    </row>
    <row r="89" spans="1:44" s="436" customFormat="1" ht="12.75" hidden="1" customHeight="1" outlineLevel="1">
      <c r="A89" s="569"/>
      <c r="B89" s="569"/>
      <c r="C89" s="572"/>
      <c r="D89" s="572"/>
      <c r="E89" s="570"/>
      <c r="F89" s="570"/>
      <c r="G89" s="570"/>
      <c r="H89" s="1282"/>
      <c r="I89" s="1282"/>
      <c r="J89" s="571"/>
      <c r="K89" s="613">
        <f t="shared" si="25"/>
        <v>452806.20000000019</v>
      </c>
      <c r="L89" s="613">
        <f t="shared" si="25"/>
        <v>452806.20000000019</v>
      </c>
      <c r="M89" s="570"/>
      <c r="N89" s="570"/>
      <c r="O89" s="1282"/>
      <c r="P89" s="1282"/>
      <c r="Q89" s="570" t="s">
        <v>424</v>
      </c>
      <c r="R89" s="573"/>
      <c r="S89" s="645"/>
      <c r="T89" s="571"/>
      <c r="U89" s="646"/>
      <c r="V89" s="647"/>
      <c r="W89" s="646">
        <v>39355</v>
      </c>
      <c r="X89" s="646">
        <v>40085</v>
      </c>
      <c r="Y89" s="570"/>
      <c r="Z89" s="570"/>
    </row>
    <row r="90" spans="1:44" s="436" customFormat="1" ht="12.75" hidden="1" customHeight="1" outlineLevel="1">
      <c r="A90" s="569"/>
      <c r="B90" s="569"/>
      <c r="C90" s="570"/>
      <c r="D90" s="570"/>
      <c r="E90" s="570" t="s">
        <v>424</v>
      </c>
      <c r="F90" s="570"/>
      <c r="G90" s="570"/>
      <c r="H90" s="571"/>
      <c r="I90" s="571"/>
      <c r="J90" s="571"/>
      <c r="K90" s="613">
        <f t="shared" si="25"/>
        <v>498086.82000000024</v>
      </c>
      <c r="L90" s="613">
        <f t="shared" si="25"/>
        <v>498086.82000000024</v>
      </c>
      <c r="M90" s="570"/>
      <c r="N90" s="570"/>
      <c r="O90" s="571"/>
      <c r="P90" s="571"/>
      <c r="Q90" s="570" t="s">
        <v>424</v>
      </c>
      <c r="R90" s="573"/>
      <c r="S90" s="645"/>
      <c r="T90" s="571"/>
      <c r="U90" s="646"/>
      <c r="V90" s="647"/>
      <c r="W90" s="646">
        <v>40086</v>
      </c>
      <c r="X90" s="646">
        <v>40085</v>
      </c>
      <c r="Y90" s="570"/>
      <c r="Z90" s="570"/>
    </row>
    <row r="91" spans="1:44" s="436" customFormat="1" collapsed="1">
      <c r="A91" s="483"/>
      <c r="B91" s="483"/>
      <c r="C91" s="573"/>
      <c r="D91" s="573"/>
      <c r="E91" s="573"/>
      <c r="F91" s="573"/>
      <c r="G91" s="573"/>
      <c r="H91" s="574"/>
      <c r="I91" s="574"/>
      <c r="J91" s="574"/>
      <c r="O91" s="574"/>
      <c r="P91" s="574"/>
      <c r="Q91" s="573"/>
      <c r="R91" s="573"/>
      <c r="S91" s="645"/>
      <c r="T91" s="574"/>
      <c r="U91" s="529"/>
      <c r="V91" s="648"/>
      <c r="W91" s="529"/>
      <c r="X91" s="529"/>
      <c r="Y91" s="573"/>
      <c r="Z91" s="573"/>
    </row>
    <row r="92" spans="1:44">
      <c r="C92" s="575" t="s">
        <v>424</v>
      </c>
      <c r="D92" s="575"/>
      <c r="H92" s="576" t="s">
        <v>424</v>
      </c>
      <c r="I92" s="576" t="s">
        <v>424</v>
      </c>
      <c r="J92" s="614"/>
      <c r="K92" s="614"/>
      <c r="L92" s="614"/>
      <c r="M92" s="615"/>
      <c r="N92" s="615"/>
      <c r="O92" s="576"/>
      <c r="P92" s="576"/>
      <c r="Q92" s="615"/>
      <c r="R92" s="649"/>
      <c r="S92" s="650"/>
      <c r="X92" s="651"/>
      <c r="Y92" s="651"/>
      <c r="Z92" s="651"/>
    </row>
    <row r="93" spans="1:44" hidden="1">
      <c r="A93" s="577" t="s">
        <v>524</v>
      </c>
      <c r="B93" s="577"/>
      <c r="C93" s="578" t="s">
        <v>424</v>
      </c>
      <c r="D93" s="578" t="s">
        <v>424</v>
      </c>
      <c r="E93" s="578"/>
      <c r="F93" s="578"/>
      <c r="G93" s="578">
        <f>SUM(F81:G81)</f>
        <v>2207.87</v>
      </c>
      <c r="H93" s="578">
        <v>75430.62</v>
      </c>
      <c r="I93" s="616">
        <f>H93-G93</f>
        <v>73222.75</v>
      </c>
      <c r="J93" s="449"/>
      <c r="K93" s="617" t="s">
        <v>424</v>
      </c>
      <c r="L93" s="617" t="s">
        <v>424</v>
      </c>
      <c r="M93" s="618" t="s">
        <v>424</v>
      </c>
      <c r="N93" s="619"/>
      <c r="O93" s="449"/>
      <c r="P93" s="449"/>
      <c r="Q93" s="652" t="s">
        <v>424</v>
      </c>
      <c r="R93" s="652"/>
      <c r="S93" s="653"/>
      <c r="T93" s="442"/>
      <c r="U93" s="442"/>
      <c r="V93" s="442"/>
      <c r="W93" s="442"/>
      <c r="X93" s="654"/>
      <c r="Y93" s="654"/>
      <c r="Z93" s="654"/>
      <c r="AC93" s="449" t="s">
        <v>424</v>
      </c>
      <c r="AQ93" s="449">
        <f>AP94*AQ94</f>
        <v>0</v>
      </c>
      <c r="AR93" s="449">
        <f>AQ93+AR94</f>
        <v>0</v>
      </c>
    </row>
    <row r="94" spans="1:44" s="442" customFormat="1" ht="12" hidden="1" customHeight="1">
      <c r="A94" s="483"/>
      <c r="B94" s="483"/>
      <c r="C94" s="573"/>
      <c r="D94" s="573"/>
      <c r="E94" s="579"/>
      <c r="F94" s="573"/>
      <c r="G94" s="579"/>
      <c r="H94" s="574"/>
      <c r="I94" s="574"/>
      <c r="K94" s="484"/>
      <c r="L94" s="620"/>
      <c r="M94" s="619"/>
      <c r="N94" s="619"/>
      <c r="O94" s="574"/>
      <c r="P94" s="574"/>
      <c r="Q94" s="619"/>
      <c r="R94" s="655"/>
      <c r="S94" s="656"/>
      <c r="T94" s="634"/>
      <c r="U94" s="519"/>
      <c r="V94" s="634"/>
      <c r="W94" s="529"/>
      <c r="X94" s="529"/>
      <c r="Y94" s="700"/>
      <c r="Z94" s="701"/>
    </row>
    <row r="95" spans="1:44" s="443" customFormat="1" ht="14.25" hidden="1" customHeight="1">
      <c r="A95" s="580"/>
      <c r="B95" s="580"/>
      <c r="C95" s="581"/>
      <c r="D95" s="582"/>
      <c r="E95" s="581"/>
      <c r="F95" s="581"/>
      <c r="G95" s="583"/>
      <c r="H95" s="584"/>
      <c r="I95" s="584"/>
      <c r="J95" s="592"/>
      <c r="K95" s="582"/>
      <c r="L95" s="582"/>
      <c r="M95" s="581"/>
      <c r="N95" s="582"/>
      <c r="O95" s="586"/>
      <c r="P95" s="586"/>
      <c r="Q95" s="581"/>
      <c r="R95" s="657"/>
      <c r="S95" s="540"/>
      <c r="T95" s="586"/>
      <c r="U95" s="658"/>
      <c r="V95" s="659"/>
      <c r="W95" s="660"/>
      <c r="X95" s="660"/>
      <c r="Y95" s="581"/>
      <c r="Z95" s="581"/>
    </row>
    <row r="96" spans="1:44" s="444" customFormat="1" hidden="1">
      <c r="A96" s="585"/>
      <c r="B96" s="580"/>
      <c r="C96" s="581"/>
      <c r="D96" s="581"/>
      <c r="E96" s="581"/>
      <c r="F96" s="582"/>
      <c r="G96" s="581"/>
      <c r="H96" s="586"/>
      <c r="I96" s="582"/>
      <c r="J96" s="586"/>
      <c r="K96" s="582"/>
      <c r="L96" s="581"/>
      <c r="M96" s="581"/>
      <c r="N96" s="582"/>
      <c r="O96" s="586"/>
      <c r="P96" s="586"/>
      <c r="Q96" s="581"/>
      <c r="R96" s="657"/>
      <c r="S96" s="540"/>
      <c r="T96" s="592"/>
      <c r="U96" s="661"/>
      <c r="V96" s="662"/>
      <c r="W96" s="660"/>
      <c r="X96" s="660"/>
      <c r="Y96" s="581"/>
      <c r="Z96" s="581"/>
      <c r="AD96" s="702"/>
    </row>
    <row r="97" spans="1:37" s="444" customFormat="1" hidden="1">
      <c r="A97" s="585"/>
      <c r="B97" s="580"/>
      <c r="C97" s="581"/>
      <c r="D97" s="581"/>
      <c r="E97" s="581"/>
      <c r="F97" s="581"/>
      <c r="G97" s="581"/>
      <c r="H97" s="586"/>
      <c r="I97" s="582"/>
      <c r="J97" s="586"/>
      <c r="K97" s="582"/>
      <c r="L97" s="581"/>
      <c r="M97" s="581"/>
      <c r="N97" s="582"/>
      <c r="O97" s="586"/>
      <c r="P97" s="586"/>
      <c r="Q97" s="581"/>
      <c r="R97" s="582"/>
      <c r="S97" s="486"/>
      <c r="T97" s="592"/>
      <c r="U97" s="661"/>
      <c r="V97" s="663"/>
      <c r="W97" s="660"/>
      <c r="X97" s="660"/>
      <c r="Y97" s="581"/>
    </row>
    <row r="98" spans="1:37" s="444" customFormat="1" hidden="1">
      <c r="A98" s="585"/>
      <c r="B98" s="580"/>
      <c r="C98" s="581"/>
      <c r="D98" s="581"/>
      <c r="E98" s="581"/>
      <c r="F98" s="581"/>
      <c r="G98" s="581"/>
      <c r="H98" s="586"/>
      <c r="I98" s="582"/>
      <c r="J98" s="586"/>
      <c r="K98" s="582"/>
      <c r="L98" s="581"/>
      <c r="M98" s="581"/>
      <c r="N98" s="582"/>
      <c r="O98" s="586"/>
      <c r="P98" s="586"/>
      <c r="Q98" s="581"/>
      <c r="R98" s="582"/>
      <c r="S98" s="486"/>
      <c r="T98" s="592"/>
      <c r="U98" s="661"/>
      <c r="V98" s="663"/>
      <c r="W98" s="660"/>
      <c r="X98" s="660"/>
      <c r="Y98" s="581"/>
    </row>
    <row r="99" spans="1:37" s="443" customFormat="1" ht="14.25" hidden="1" customHeight="1">
      <c r="A99" s="585"/>
      <c r="B99" s="580"/>
      <c r="C99" s="581"/>
      <c r="D99" s="582"/>
      <c r="E99" s="581"/>
      <c r="F99" s="582"/>
      <c r="G99" s="583"/>
      <c r="H99" s="584"/>
      <c r="I99" s="584"/>
      <c r="J99" s="586"/>
      <c r="K99" s="582"/>
      <c r="L99" s="582"/>
      <c r="M99" s="581"/>
      <c r="N99" s="582"/>
      <c r="O99" s="586"/>
      <c r="P99" s="586"/>
      <c r="Q99" s="581"/>
      <c r="R99" s="657"/>
      <c r="S99" s="540"/>
      <c r="T99" s="586"/>
      <c r="U99" s="658"/>
      <c r="V99" s="659"/>
      <c r="W99" s="660"/>
      <c r="X99" s="660"/>
      <c r="Y99" s="581"/>
      <c r="Z99" s="581"/>
      <c r="AC99" s="703"/>
      <c r="AK99" s="706"/>
    </row>
    <row r="100" spans="1:37" s="443" customFormat="1" hidden="1">
      <c r="A100" s="580"/>
      <c r="B100" s="580"/>
      <c r="C100" s="581"/>
      <c r="D100" s="581"/>
      <c r="E100" s="583"/>
      <c r="F100" s="587"/>
      <c r="G100" s="583"/>
      <c r="H100" s="588"/>
      <c r="I100" s="588"/>
      <c r="J100" s="621"/>
      <c r="K100" s="622"/>
      <c r="L100" s="622"/>
      <c r="M100" s="623"/>
      <c r="N100" s="623"/>
      <c r="O100" s="586"/>
      <c r="P100" s="586"/>
      <c r="Q100" s="664"/>
      <c r="R100" s="623"/>
      <c r="S100" s="665"/>
      <c r="T100" s="666"/>
      <c r="U100" s="667"/>
      <c r="V100" s="666"/>
      <c r="W100" s="668"/>
      <c r="X100" s="668"/>
      <c r="Y100" s="704"/>
      <c r="Z100" s="704"/>
    </row>
    <row r="101" spans="1:37" s="443" customFormat="1" ht="14.25" hidden="1" customHeight="1">
      <c r="A101" s="585"/>
      <c r="B101" s="580"/>
      <c r="C101" s="581"/>
      <c r="D101" s="582"/>
      <c r="E101" s="581"/>
      <c r="F101" s="582"/>
      <c r="G101" s="583"/>
      <c r="H101" s="584"/>
      <c r="I101" s="584"/>
      <c r="J101" s="586"/>
      <c r="K101" s="582"/>
      <c r="L101" s="582"/>
      <c r="M101" s="581"/>
      <c r="N101" s="582"/>
      <c r="O101" s="586"/>
      <c r="P101" s="586"/>
      <c r="Q101" s="581"/>
      <c r="R101" s="657"/>
      <c r="S101" s="540"/>
      <c r="T101" s="586"/>
      <c r="U101" s="658"/>
      <c r="V101" s="659"/>
      <c r="W101" s="660"/>
      <c r="X101" s="660"/>
      <c r="Y101" s="581"/>
      <c r="Z101" s="581"/>
      <c r="AK101" s="703"/>
    </row>
    <row r="102" spans="1:37" s="444" customFormat="1" hidden="1">
      <c r="A102" s="580"/>
      <c r="B102" s="580"/>
      <c r="C102" s="589"/>
      <c r="D102" s="581"/>
      <c r="E102" s="581"/>
      <c r="F102" s="590"/>
      <c r="G102" s="581"/>
      <c r="H102" s="588"/>
      <c r="I102" s="588"/>
      <c r="J102" s="624"/>
      <c r="K102" s="625"/>
      <c r="L102" s="625"/>
      <c r="M102" s="582"/>
      <c r="N102" s="582"/>
      <c r="O102" s="586"/>
      <c r="P102" s="586"/>
      <c r="Q102" s="669"/>
      <c r="R102" s="657"/>
      <c r="S102" s="540"/>
      <c r="T102" s="586"/>
      <c r="U102" s="660"/>
      <c r="V102" s="670"/>
      <c r="W102" s="668"/>
      <c r="X102" s="668"/>
      <c r="Y102" s="581"/>
      <c r="Z102" s="581"/>
    </row>
    <row r="103" spans="1:37" s="444" customFormat="1" ht="12.75" hidden="1" customHeight="1">
      <c r="A103" s="580"/>
      <c r="B103" s="580"/>
      <c r="C103" s="581"/>
      <c r="D103" s="581"/>
      <c r="E103" s="581"/>
      <c r="F103" s="582"/>
      <c r="G103" s="581"/>
      <c r="H103" s="581"/>
      <c r="I103" s="581"/>
      <c r="J103" s="581"/>
      <c r="K103" s="581"/>
      <c r="L103" s="581"/>
      <c r="M103" s="581"/>
      <c r="N103" s="581"/>
      <c r="O103" s="581"/>
      <c r="P103" s="581"/>
      <c r="Q103" s="581"/>
      <c r="R103" s="581"/>
      <c r="S103" s="475"/>
      <c r="T103" s="581"/>
      <c r="U103" s="443"/>
      <c r="V103" s="581"/>
      <c r="W103" s="660"/>
      <c r="X103" s="660"/>
      <c r="Y103" s="581"/>
      <c r="Z103" s="581"/>
    </row>
    <row r="104" spans="1:37" s="444" customFormat="1" ht="12.75" hidden="1" customHeight="1">
      <c r="A104" s="580"/>
      <c r="B104" s="580"/>
      <c r="C104" s="443"/>
      <c r="D104" s="581"/>
      <c r="E104" s="581"/>
      <c r="F104" s="443"/>
      <c r="G104" s="581"/>
      <c r="H104" s="581"/>
      <c r="I104" s="581"/>
      <c r="J104" s="582"/>
      <c r="K104" s="581"/>
      <c r="L104" s="581"/>
      <c r="M104" s="582"/>
      <c r="N104" s="582"/>
      <c r="O104" s="581"/>
      <c r="P104" s="581"/>
      <c r="Q104" s="581"/>
      <c r="R104" s="582"/>
      <c r="S104" s="486"/>
      <c r="T104" s="581"/>
      <c r="U104" s="443"/>
      <c r="V104" s="590"/>
      <c r="W104" s="660"/>
      <c r="X104" s="660"/>
      <c r="Y104" s="581"/>
      <c r="Z104" s="581"/>
    </row>
    <row r="105" spans="1:37" s="444" customFormat="1" ht="12.75" hidden="1" customHeight="1">
      <c r="A105" s="580"/>
      <c r="B105" s="580"/>
      <c r="C105" s="589"/>
      <c r="D105" s="581"/>
      <c r="E105" s="581"/>
      <c r="F105" s="590"/>
      <c r="G105" s="581"/>
      <c r="H105" s="581"/>
      <c r="I105" s="581"/>
      <c r="J105" s="582"/>
      <c r="K105" s="581"/>
      <c r="L105" s="581"/>
      <c r="M105" s="582"/>
      <c r="N105" s="582"/>
      <c r="O105" s="581"/>
      <c r="P105" s="581"/>
      <c r="Q105" s="581"/>
      <c r="R105" s="582"/>
      <c r="S105" s="486"/>
      <c r="T105" s="581"/>
      <c r="U105" s="671"/>
      <c r="V105" s="590"/>
      <c r="W105" s="660"/>
      <c r="X105" s="660"/>
      <c r="Y105" s="581"/>
      <c r="Z105" s="581"/>
    </row>
    <row r="106" spans="1:37" s="444" customFormat="1" hidden="1">
      <c r="A106" s="580"/>
      <c r="B106" s="580"/>
      <c r="C106" s="589"/>
      <c r="D106" s="581"/>
      <c r="E106" s="581"/>
      <c r="F106" s="590"/>
      <c r="G106" s="581"/>
      <c r="H106" s="588"/>
      <c r="I106" s="588"/>
      <c r="J106" s="624"/>
      <c r="K106" s="625"/>
      <c r="L106" s="625"/>
      <c r="M106" s="582"/>
      <c r="N106" s="582"/>
      <c r="O106" s="586"/>
      <c r="P106" s="586"/>
      <c r="Q106" s="672"/>
      <c r="R106" s="673"/>
      <c r="S106" s="674"/>
      <c r="T106" s="586"/>
      <c r="U106" s="660"/>
      <c r="V106" s="670"/>
      <c r="W106" s="668"/>
      <c r="X106" s="668"/>
      <c r="Y106" s="581"/>
      <c r="Z106" s="581"/>
    </row>
    <row r="107" spans="1:37" s="444" customFormat="1" ht="12.75" hidden="1" customHeight="1">
      <c r="A107" s="580"/>
      <c r="B107" s="580"/>
      <c r="C107" s="581"/>
      <c r="D107" s="581"/>
      <c r="E107" s="581"/>
      <c r="F107" s="581"/>
      <c r="G107" s="581"/>
      <c r="H107" s="588"/>
      <c r="I107" s="588"/>
      <c r="J107" s="624"/>
      <c r="K107" s="625"/>
      <c r="L107" s="625"/>
      <c r="M107" s="581"/>
      <c r="N107" s="581"/>
      <c r="O107" s="581"/>
      <c r="P107" s="581"/>
      <c r="Q107" s="581"/>
      <c r="R107" s="581"/>
      <c r="S107" s="475"/>
      <c r="T107" s="581"/>
      <c r="U107" s="671"/>
      <c r="V107" s="581"/>
      <c r="W107" s="668"/>
      <c r="X107" s="668"/>
      <c r="Y107" s="581"/>
      <c r="Z107" s="581"/>
    </row>
    <row r="108" spans="1:37" s="443" customFormat="1" hidden="1">
      <c r="A108" s="591"/>
      <c r="B108" s="591"/>
      <c r="S108" s="438"/>
    </row>
    <row r="109" spans="1:37" s="444" customFormat="1" hidden="1">
      <c r="A109" s="580"/>
      <c r="B109" s="580"/>
      <c r="C109" s="581"/>
      <c r="D109" s="581"/>
      <c r="E109" s="581"/>
      <c r="F109" s="581"/>
      <c r="G109" s="581"/>
      <c r="H109" s="592"/>
      <c r="I109" s="581"/>
      <c r="J109" s="626"/>
      <c r="K109" s="581"/>
      <c r="L109" s="581"/>
      <c r="M109" s="581"/>
      <c r="N109" s="582"/>
      <c r="O109" s="586"/>
      <c r="P109" s="586"/>
      <c r="Q109" s="581"/>
      <c r="R109" s="582"/>
      <c r="S109" s="486"/>
      <c r="T109" s="592"/>
      <c r="U109" s="661"/>
      <c r="V109" s="663"/>
      <c r="W109" s="660"/>
      <c r="X109" s="660"/>
      <c r="Y109" s="581"/>
      <c r="Z109" s="581"/>
    </row>
    <row r="110" spans="1:37" s="444" customFormat="1" hidden="1">
      <c r="A110" s="580"/>
      <c r="B110" s="580"/>
      <c r="C110" s="589"/>
      <c r="D110" s="581"/>
      <c r="E110" s="590"/>
      <c r="F110" s="589"/>
      <c r="G110" s="581"/>
      <c r="H110" s="588"/>
      <c r="I110" s="588"/>
      <c r="J110" s="624"/>
      <c r="K110" s="625"/>
      <c r="L110" s="625"/>
      <c r="M110" s="582"/>
      <c r="N110" s="582"/>
      <c r="O110" s="586"/>
      <c r="P110" s="586"/>
      <c r="Q110" s="669"/>
      <c r="R110" s="657"/>
      <c r="S110" s="540"/>
      <c r="T110" s="586"/>
      <c r="U110" s="660"/>
      <c r="V110" s="670"/>
      <c r="W110" s="668"/>
      <c r="X110" s="668"/>
      <c r="Y110" s="581"/>
      <c r="Z110" s="581"/>
    </row>
    <row r="111" spans="1:37" s="444" customFormat="1" ht="12.75" hidden="1" customHeight="1">
      <c r="A111" s="580"/>
      <c r="B111" s="580"/>
      <c r="C111" s="581"/>
      <c r="D111" s="581"/>
      <c r="E111" s="581"/>
      <c r="F111" s="581"/>
      <c r="G111" s="581"/>
      <c r="H111" s="581"/>
      <c r="I111" s="581"/>
      <c r="J111" s="581"/>
      <c r="K111" s="581"/>
      <c r="L111" s="581"/>
      <c r="M111" s="581"/>
      <c r="N111" s="581"/>
      <c r="O111" s="581"/>
      <c r="P111" s="581"/>
      <c r="Q111" s="581"/>
      <c r="R111" s="581"/>
      <c r="S111" s="475"/>
      <c r="T111" s="581"/>
      <c r="U111" s="671"/>
      <c r="V111" s="581"/>
      <c r="W111" s="660"/>
      <c r="X111" s="660"/>
      <c r="Y111" s="581"/>
      <c r="Z111" s="581"/>
    </row>
    <row r="112" spans="1:37" s="444" customFormat="1" hidden="1">
      <c r="A112" s="580"/>
      <c r="B112" s="580"/>
      <c r="C112" s="581"/>
      <c r="D112" s="581"/>
      <c r="E112" s="581"/>
      <c r="F112" s="581"/>
      <c r="G112" s="581"/>
      <c r="H112" s="592"/>
      <c r="I112" s="581"/>
      <c r="J112" s="626"/>
      <c r="K112" s="581"/>
      <c r="L112" s="581"/>
      <c r="M112" s="581"/>
      <c r="N112" s="582"/>
      <c r="O112" s="586"/>
      <c r="P112" s="586"/>
      <c r="Q112" s="581"/>
      <c r="R112" s="582"/>
      <c r="S112" s="486"/>
      <c r="T112" s="592"/>
      <c r="U112" s="661"/>
      <c r="V112" s="663"/>
      <c r="W112" s="660"/>
      <c r="X112" s="660"/>
      <c r="Y112" s="581"/>
      <c r="Z112" s="581"/>
    </row>
    <row r="113" spans="1:26" s="444" customFormat="1" ht="12.75" hidden="1" customHeight="1">
      <c r="A113" s="580"/>
      <c r="B113" s="580"/>
      <c r="C113" s="589"/>
      <c r="D113" s="581"/>
      <c r="E113" s="590"/>
      <c r="F113" s="589"/>
      <c r="G113" s="589"/>
      <c r="H113" s="586"/>
      <c r="I113" s="586"/>
      <c r="J113" s="592"/>
      <c r="K113" s="582"/>
      <c r="L113" s="582"/>
      <c r="M113" s="582"/>
      <c r="N113" s="582"/>
      <c r="O113" s="586"/>
      <c r="P113" s="586"/>
      <c r="Q113" s="669"/>
      <c r="R113" s="657"/>
      <c r="S113" s="540"/>
      <c r="T113" s="586"/>
      <c r="U113" s="660"/>
      <c r="V113" s="670"/>
      <c r="W113" s="660"/>
      <c r="X113" s="660"/>
      <c r="Y113" s="581"/>
      <c r="Z113" s="581"/>
    </row>
    <row r="114" spans="1:26" s="445" customFormat="1" hidden="1">
      <c r="A114" s="585"/>
      <c r="B114" s="585"/>
      <c r="C114" s="581"/>
      <c r="D114" s="581"/>
      <c r="E114" s="581"/>
      <c r="F114" s="581"/>
      <c r="G114" s="581"/>
      <c r="H114" s="586"/>
      <c r="I114" s="586"/>
      <c r="J114" s="586"/>
      <c r="K114" s="592"/>
      <c r="L114" s="592"/>
      <c r="M114" s="592"/>
      <c r="N114" s="592"/>
      <c r="O114" s="586"/>
      <c r="P114" s="586"/>
      <c r="Q114" s="592"/>
      <c r="R114" s="592"/>
      <c r="S114" s="542"/>
      <c r="T114" s="592"/>
      <c r="U114" s="675"/>
      <c r="V114" s="676"/>
      <c r="W114" s="660"/>
      <c r="X114" s="660"/>
      <c r="Y114" s="581"/>
      <c r="Z114" s="581"/>
    </row>
    <row r="115" spans="1:26" s="444" customFormat="1" ht="12.75" hidden="1" customHeight="1">
      <c r="A115" s="580"/>
      <c r="B115" s="580"/>
      <c r="C115" s="589"/>
      <c r="D115" s="581"/>
      <c r="E115" s="590"/>
      <c r="F115" s="589"/>
      <c r="G115" s="589"/>
      <c r="H115" s="586"/>
      <c r="I115" s="586"/>
      <c r="J115" s="592"/>
      <c r="K115" s="582"/>
      <c r="L115" s="582"/>
      <c r="M115" s="582"/>
      <c r="N115" s="582"/>
      <c r="O115" s="586"/>
      <c r="P115" s="586"/>
      <c r="Q115" s="669"/>
      <c r="R115" s="657"/>
      <c r="S115" s="540"/>
      <c r="T115" s="586"/>
      <c r="U115" s="660"/>
      <c r="V115" s="670"/>
      <c r="W115" s="660"/>
      <c r="X115" s="660"/>
      <c r="Y115" s="581"/>
      <c r="Z115" s="581"/>
    </row>
    <row r="116" spans="1:26" s="444" customFormat="1" ht="11.25" hidden="1" customHeight="1" outlineLevel="1">
      <c r="A116" s="593"/>
      <c r="B116" s="593"/>
      <c r="C116" s="581"/>
      <c r="D116" s="581"/>
      <c r="E116" s="581"/>
      <c r="F116" s="581"/>
      <c r="G116" s="581"/>
      <c r="H116" s="581"/>
      <c r="I116" s="581"/>
      <c r="J116" s="581"/>
      <c r="K116" s="581"/>
      <c r="L116" s="581"/>
      <c r="M116" s="581"/>
      <c r="N116" s="581"/>
      <c r="O116" s="581"/>
      <c r="P116" s="581"/>
      <c r="Q116" s="581"/>
      <c r="R116" s="581"/>
      <c r="S116" s="475"/>
      <c r="T116" s="581"/>
      <c r="U116" s="581"/>
      <c r="V116" s="581"/>
      <c r="W116" s="581"/>
      <c r="X116" s="581"/>
      <c r="Y116" s="581"/>
      <c r="Z116" s="581"/>
    </row>
    <row r="117" spans="1:26" s="444" customFormat="1" hidden="1" outlineLevel="1">
      <c r="A117" s="594"/>
      <c r="B117" s="594"/>
      <c r="C117" s="595"/>
      <c r="D117" s="596"/>
      <c r="E117" s="595"/>
      <c r="F117" s="597"/>
      <c r="G117" s="597"/>
      <c r="H117" s="598"/>
      <c r="I117" s="598"/>
      <c r="J117" s="627"/>
      <c r="K117" s="628"/>
      <c r="L117" s="628"/>
      <c r="M117" s="595"/>
      <c r="N117" s="595"/>
      <c r="O117" s="598"/>
      <c r="P117" s="598"/>
      <c r="Q117" s="677"/>
      <c r="R117" s="677"/>
      <c r="S117" s="678"/>
      <c r="T117" s="679"/>
      <c r="U117" s="680"/>
      <c r="V117" s="681"/>
      <c r="W117" s="680"/>
      <c r="X117" s="680"/>
      <c r="Y117" s="596"/>
      <c r="Z117" s="597"/>
    </row>
    <row r="118" spans="1:26" s="442" customFormat="1" hidden="1">
      <c r="A118" s="599" t="s">
        <v>525</v>
      </c>
      <c r="B118" s="599" t="s">
        <v>424</v>
      </c>
      <c r="C118" s="575">
        <f>SUM(C95:C117)</f>
        <v>0</v>
      </c>
      <c r="D118" s="575">
        <f>SUM(D95:D117)</f>
        <v>0</v>
      </c>
      <c r="E118" s="575">
        <f>SUM(E95:E117)</f>
        <v>0</v>
      </c>
      <c r="F118" s="575">
        <f>SUM(F95:F117)</f>
        <v>0</v>
      </c>
      <c r="G118" s="575">
        <f>SUM(G95:G103)</f>
        <v>0</v>
      </c>
      <c r="H118" s="600" t="e">
        <f>Q118/D118</f>
        <v>#DIV/0!</v>
      </c>
      <c r="I118" s="600" t="e">
        <f>R118/C118</f>
        <v>#DIV/0!</v>
      </c>
      <c r="J118" s="575" t="s">
        <v>424</v>
      </c>
      <c r="K118" s="575">
        <f>SUM(K95:K117)</f>
        <v>0</v>
      </c>
      <c r="L118" s="575">
        <f>SUM(L95:L117)</f>
        <v>0</v>
      </c>
      <c r="M118" s="575" t="e">
        <f>K118/D118</f>
        <v>#DIV/0!</v>
      </c>
      <c r="N118" s="575" t="e">
        <f>Q118/D118</f>
        <v>#DIV/0!</v>
      </c>
      <c r="O118" s="575" t="e">
        <f>Q118/F118</f>
        <v>#DIV/0!</v>
      </c>
      <c r="P118" s="575" t="e">
        <f>R118/F118</f>
        <v>#DIV/0!</v>
      </c>
      <c r="Q118" s="575">
        <f>SUM(Q95:Q117)</f>
        <v>0</v>
      </c>
      <c r="R118" s="575">
        <f>SUM(R95:R117)</f>
        <v>0</v>
      </c>
      <c r="S118" s="682"/>
      <c r="T118" s="575">
        <f>SUM(T95:T117)</f>
        <v>0</v>
      </c>
      <c r="U118" s="575"/>
      <c r="V118" s="575"/>
      <c r="W118" s="575" t="s">
        <v>424</v>
      </c>
      <c r="X118" s="575" t="s">
        <v>424</v>
      </c>
      <c r="Y118" s="575"/>
      <c r="Z118" s="575"/>
    </row>
    <row r="119" spans="1:26" hidden="1">
      <c r="C119" s="601"/>
      <c r="D119" s="601"/>
      <c r="E119" s="601"/>
      <c r="F119" s="601"/>
      <c r="G119" s="601"/>
      <c r="H119" s="602"/>
      <c r="I119" s="602"/>
      <c r="J119" s="602"/>
      <c r="K119" s="629"/>
      <c r="L119" s="629"/>
      <c r="M119" s="630"/>
      <c r="N119" s="630"/>
      <c r="O119" s="602"/>
      <c r="P119" s="602"/>
      <c r="Q119" s="683"/>
      <c r="R119" s="684"/>
      <c r="S119" s="685"/>
      <c r="T119" s="686"/>
      <c r="U119" s="687"/>
      <c r="V119" s="686"/>
      <c r="W119" s="646"/>
      <c r="X119" s="646"/>
      <c r="Y119" s="705"/>
      <c r="Z119" s="705"/>
    </row>
    <row r="120" spans="1:26" s="446" customFormat="1" ht="15.75" hidden="1" customHeight="1">
      <c r="A120" s="603" t="s">
        <v>526</v>
      </c>
      <c r="B120" s="603"/>
      <c r="C120" s="604"/>
      <c r="D120" s="604"/>
      <c r="E120" s="605"/>
      <c r="F120" s="605"/>
      <c r="G120" s="605"/>
      <c r="H120" s="606"/>
      <c r="I120" s="606"/>
      <c r="J120" s="631"/>
      <c r="K120" s="632"/>
      <c r="L120" s="632"/>
      <c r="M120" s="633"/>
      <c r="N120" s="633"/>
      <c r="O120" s="606"/>
      <c r="P120" s="606"/>
      <c r="Q120" s="688"/>
      <c r="R120" s="688"/>
      <c r="S120" s="689"/>
      <c r="T120" s="690"/>
      <c r="U120" s="691"/>
      <c r="V120" s="606"/>
      <c r="W120" s="692"/>
      <c r="X120" s="693"/>
      <c r="Y120" s="692"/>
      <c r="Z120" s="692"/>
    </row>
    <row r="121" spans="1:26" s="446" customFormat="1" ht="15" hidden="1" customHeight="1">
      <c r="A121" s="607"/>
      <c r="B121" s="607"/>
      <c r="C121" s="442"/>
      <c r="D121" s="442"/>
      <c r="E121" s="605"/>
      <c r="F121" s="605"/>
      <c r="G121" s="605"/>
      <c r="H121" s="606"/>
      <c r="I121" s="606"/>
      <c r="J121" s="631"/>
      <c r="K121" s="632"/>
      <c r="L121" s="632"/>
      <c r="M121" s="633"/>
      <c r="N121" s="633"/>
      <c r="O121" s="606"/>
      <c r="P121" s="606"/>
      <c r="Q121" s="688"/>
      <c r="R121" s="688"/>
      <c r="S121" s="689"/>
      <c r="T121" s="690"/>
      <c r="U121" s="691"/>
      <c r="V121" s="606"/>
      <c r="W121" s="692"/>
      <c r="X121" s="693"/>
      <c r="Y121" s="692"/>
      <c r="Z121" s="692"/>
    </row>
    <row r="122" spans="1:26" s="439" customFormat="1" hidden="1">
      <c r="A122" s="483"/>
      <c r="B122" s="483"/>
      <c r="C122" s="573"/>
      <c r="D122" s="573"/>
      <c r="E122" s="573"/>
      <c r="F122" s="573"/>
      <c r="G122" s="573"/>
      <c r="H122" s="574"/>
      <c r="I122" s="573"/>
      <c r="J122" s="574"/>
      <c r="K122" s="573"/>
      <c r="L122" s="573"/>
      <c r="M122" s="573"/>
      <c r="N122" s="573"/>
      <c r="O122" s="574"/>
      <c r="P122" s="574"/>
      <c r="Q122" s="573"/>
      <c r="R122" s="694"/>
      <c r="S122" s="695"/>
      <c r="T122" s="574"/>
      <c r="U122" s="529"/>
      <c r="V122" s="696"/>
      <c r="W122" s="529"/>
      <c r="X122" s="529"/>
      <c r="Y122" s="573"/>
      <c r="Z122" s="573"/>
    </row>
    <row r="123" spans="1:26" s="439" customFormat="1" hidden="1">
      <c r="A123" s="483"/>
      <c r="B123" s="483"/>
      <c r="C123" s="573"/>
      <c r="D123" s="573"/>
      <c r="E123" s="573"/>
      <c r="F123" s="573"/>
      <c r="G123" s="573"/>
      <c r="H123" s="574"/>
      <c r="I123" s="573"/>
      <c r="J123" s="574"/>
      <c r="K123" s="573"/>
      <c r="L123" s="573"/>
      <c r="M123" s="573"/>
      <c r="N123" s="573"/>
      <c r="O123" s="574"/>
      <c r="P123" s="574"/>
      <c r="Q123" s="573"/>
      <c r="R123" s="573"/>
      <c r="S123" s="645"/>
      <c r="T123" s="574"/>
      <c r="U123" s="529"/>
      <c r="V123" s="648"/>
      <c r="W123" s="529"/>
      <c r="X123" s="529"/>
      <c r="Y123" s="573"/>
      <c r="Z123" s="573"/>
    </row>
    <row r="124" spans="1:26" s="439" customFormat="1" hidden="1">
      <c r="A124" s="483"/>
      <c r="B124" s="483"/>
      <c r="C124" s="573"/>
      <c r="D124" s="573"/>
      <c r="E124" s="573"/>
      <c r="F124" s="573"/>
      <c r="G124" s="573"/>
      <c r="H124" s="574"/>
      <c r="I124" s="573"/>
      <c r="J124" s="574"/>
      <c r="K124" s="573"/>
      <c r="L124" s="573"/>
      <c r="M124" s="573"/>
      <c r="N124" s="573"/>
      <c r="O124" s="574"/>
      <c r="P124" s="574"/>
      <c r="Q124" s="573"/>
      <c r="R124" s="573"/>
      <c r="S124" s="645"/>
      <c r="T124" s="574"/>
      <c r="U124" s="529"/>
      <c r="V124" s="648"/>
      <c r="W124" s="529"/>
      <c r="X124" s="529"/>
      <c r="Y124" s="573"/>
      <c r="Z124" s="573"/>
    </row>
    <row r="125" spans="1:26" s="442" customFormat="1" hidden="1">
      <c r="A125" s="483"/>
      <c r="B125" s="483"/>
      <c r="C125" s="573"/>
      <c r="D125" s="573"/>
      <c r="E125" s="579"/>
      <c r="F125" s="579"/>
      <c r="G125" s="579"/>
      <c r="H125" s="574"/>
      <c r="I125" s="573"/>
      <c r="J125" s="634"/>
      <c r="K125" s="573"/>
      <c r="L125" s="573"/>
      <c r="M125" s="619"/>
      <c r="N125" s="619"/>
      <c r="O125" s="574"/>
      <c r="P125" s="574"/>
      <c r="Q125" s="619"/>
      <c r="R125" s="619"/>
      <c r="S125" s="697"/>
      <c r="T125" s="634"/>
      <c r="U125" s="519"/>
      <c r="V125" s="634"/>
      <c r="W125" s="529"/>
      <c r="X125" s="529"/>
      <c r="Y125" s="700"/>
      <c r="Z125" s="700"/>
    </row>
    <row r="126" spans="1:26" s="439" customFormat="1" hidden="1">
      <c r="A126" s="483"/>
      <c r="B126" s="483"/>
      <c r="C126" s="573"/>
      <c r="D126" s="573"/>
      <c r="E126" s="573"/>
      <c r="F126" s="573"/>
      <c r="G126" s="573"/>
      <c r="H126" s="574"/>
      <c r="I126" s="574"/>
      <c r="J126" s="574"/>
      <c r="K126" s="573"/>
      <c r="L126" s="573"/>
      <c r="M126" s="573"/>
      <c r="N126" s="573"/>
      <c r="O126" s="574"/>
      <c r="P126" s="574"/>
      <c r="Q126" s="573"/>
      <c r="R126" s="694" t="s">
        <v>424</v>
      </c>
      <c r="S126" s="695"/>
      <c r="T126" s="574"/>
      <c r="U126" s="529"/>
      <c r="V126" s="648"/>
      <c r="W126" s="529"/>
      <c r="X126" s="529"/>
      <c r="Y126" s="573"/>
      <c r="Z126" s="573"/>
    </row>
    <row r="127" spans="1:26" s="442" customFormat="1" hidden="1">
      <c r="A127" s="599"/>
      <c r="B127" s="599"/>
      <c r="C127" s="602"/>
      <c r="D127" s="602"/>
      <c r="E127" s="602"/>
      <c r="F127" s="602"/>
      <c r="G127" s="602"/>
      <c r="H127" s="602"/>
      <c r="I127" s="602"/>
      <c r="J127" s="602"/>
      <c r="K127" s="602"/>
      <c r="L127" s="602"/>
      <c r="M127" s="602"/>
      <c r="N127" s="602"/>
      <c r="O127" s="602"/>
      <c r="P127" s="602"/>
      <c r="Q127" s="602"/>
      <c r="S127" s="698"/>
      <c r="T127" s="602"/>
      <c r="U127" s="602"/>
      <c r="V127" s="602"/>
      <c r="W127" s="602"/>
      <c r="X127" s="602"/>
      <c r="Y127" s="602"/>
      <c r="Z127" s="602"/>
    </row>
    <row r="128" spans="1:26" s="442" customFormat="1" hidden="1">
      <c r="A128" s="599"/>
      <c r="B128" s="599"/>
      <c r="C128" s="602"/>
      <c r="D128" s="602"/>
      <c r="E128" s="602"/>
      <c r="F128" s="602"/>
      <c r="G128" s="602"/>
      <c r="H128" s="602"/>
      <c r="I128" s="602"/>
      <c r="J128" s="602"/>
      <c r="K128" s="602"/>
      <c r="L128" s="602"/>
      <c r="M128" s="602"/>
      <c r="N128" s="602"/>
      <c r="O128" s="602"/>
      <c r="P128" s="602"/>
      <c r="Q128" s="602"/>
      <c r="S128" s="698"/>
      <c r="T128" s="602"/>
      <c r="U128" s="602"/>
      <c r="V128" s="602"/>
      <c r="W128" s="602"/>
      <c r="X128" s="602"/>
      <c r="Y128" s="602"/>
      <c r="Z128" s="602"/>
    </row>
    <row r="129" spans="1:26" s="442" customFormat="1" hidden="1">
      <c r="A129" s="599"/>
      <c r="B129" s="599"/>
      <c r="C129" s="602"/>
      <c r="D129" s="602"/>
      <c r="E129" s="602"/>
      <c r="F129" s="602"/>
      <c r="G129" s="602"/>
      <c r="H129" s="602"/>
      <c r="I129" s="602"/>
      <c r="J129" s="602"/>
      <c r="K129" s="602"/>
      <c r="L129" s="602"/>
      <c r="M129" s="602"/>
      <c r="N129" s="602"/>
      <c r="O129" s="602"/>
      <c r="P129" s="602"/>
      <c r="Q129" s="602"/>
      <c r="S129" s="698"/>
      <c r="T129" s="602"/>
      <c r="U129" s="602"/>
      <c r="V129" s="602"/>
      <c r="W129" s="602"/>
      <c r="X129" s="602"/>
      <c r="Y129" s="602"/>
      <c r="Z129" s="602"/>
    </row>
    <row r="130" spans="1:26" s="442" customFormat="1" hidden="1">
      <c r="A130" s="599"/>
      <c r="B130" s="599"/>
      <c r="C130" s="602"/>
      <c r="D130" s="602"/>
      <c r="E130" s="602"/>
      <c r="F130" s="602"/>
      <c r="G130" s="602"/>
      <c r="H130" s="602"/>
      <c r="I130" s="602"/>
      <c r="J130" s="602"/>
      <c r="K130" s="602"/>
      <c r="L130" s="602"/>
      <c r="M130" s="602"/>
      <c r="N130" s="602"/>
      <c r="O130" s="602"/>
      <c r="P130" s="602"/>
      <c r="Q130" s="602"/>
      <c r="S130" s="698"/>
      <c r="T130" s="602"/>
      <c r="U130" s="602"/>
      <c r="V130" s="602"/>
      <c r="W130" s="602"/>
      <c r="X130" s="602"/>
      <c r="Y130" s="602"/>
      <c r="Z130" s="602"/>
    </row>
    <row r="131" spans="1:26" s="442" customFormat="1" hidden="1">
      <c r="A131" s="599"/>
      <c r="B131" s="599"/>
      <c r="C131" s="602"/>
      <c r="D131" s="602"/>
      <c r="E131" s="602"/>
      <c r="F131" s="602"/>
      <c r="G131" s="602"/>
      <c r="H131" s="602"/>
      <c r="I131" s="602"/>
      <c r="J131" s="602"/>
      <c r="K131" s="602"/>
      <c r="L131" s="602"/>
      <c r="M131" s="602"/>
      <c r="N131" s="602"/>
      <c r="O131" s="602"/>
      <c r="P131" s="602"/>
      <c r="Q131" s="602"/>
      <c r="S131" s="698"/>
      <c r="T131" s="602"/>
      <c r="U131" s="602"/>
      <c r="V131" s="602"/>
      <c r="W131" s="602"/>
      <c r="X131" s="602"/>
      <c r="Y131" s="602"/>
      <c r="Z131" s="602"/>
    </row>
    <row r="132" spans="1:26" s="442" customFormat="1" hidden="1">
      <c r="A132" s="599"/>
      <c r="B132" s="599"/>
      <c r="C132" s="602"/>
      <c r="D132" s="602"/>
      <c r="E132" s="602"/>
      <c r="F132" s="602"/>
      <c r="G132" s="602"/>
      <c r="H132" s="602"/>
      <c r="I132" s="602"/>
      <c r="J132" s="602"/>
      <c r="K132" s="602"/>
      <c r="L132" s="602"/>
      <c r="M132" s="602"/>
      <c r="N132" s="602"/>
      <c r="O132" s="602"/>
      <c r="P132" s="602"/>
      <c r="Q132" s="602"/>
      <c r="S132" s="698"/>
      <c r="T132" s="602"/>
      <c r="U132" s="602"/>
      <c r="V132" s="602"/>
      <c r="W132" s="602"/>
      <c r="X132" s="602"/>
      <c r="Y132" s="602"/>
      <c r="Z132" s="602"/>
    </row>
    <row r="133" spans="1:26" s="439" customFormat="1" hidden="1">
      <c r="A133" s="483"/>
      <c r="B133" s="483"/>
      <c r="C133" s="573"/>
      <c r="D133" s="573"/>
      <c r="E133" s="573"/>
      <c r="F133" s="573"/>
      <c r="G133" s="573"/>
      <c r="H133" s="574"/>
      <c r="I133" s="574"/>
      <c r="J133" s="574"/>
      <c r="K133" s="573"/>
      <c r="L133" s="573"/>
      <c r="M133" s="573"/>
      <c r="N133" s="573"/>
      <c r="O133" s="574"/>
      <c r="P133" s="574"/>
      <c r="Q133" s="573"/>
      <c r="R133" s="573"/>
      <c r="S133" s="645"/>
      <c r="T133" s="574"/>
      <c r="U133" s="529"/>
      <c r="V133" s="648"/>
      <c r="W133" s="529"/>
      <c r="X133" s="529"/>
      <c r="Y133" s="573"/>
      <c r="Z133" s="573"/>
    </row>
    <row r="134" spans="1:26" s="442" customFormat="1" ht="14.25" hidden="1" customHeight="1">
      <c r="A134" s="483"/>
      <c r="B134" s="483"/>
      <c r="C134" s="573"/>
      <c r="D134" s="573"/>
      <c r="E134" s="573"/>
      <c r="F134" s="573"/>
      <c r="G134" s="579"/>
      <c r="H134" s="707"/>
      <c r="I134" s="707"/>
      <c r="J134" s="574"/>
      <c r="K134" s="573"/>
      <c r="L134" s="573"/>
      <c r="M134" s="709"/>
      <c r="N134" s="709"/>
      <c r="O134" s="710"/>
      <c r="P134" s="710"/>
      <c r="Q134" s="709"/>
      <c r="R134" s="694"/>
      <c r="S134" s="695"/>
      <c r="T134" s="574"/>
      <c r="U134" s="519"/>
      <c r="V134" s="696"/>
      <c r="W134" s="529"/>
      <c r="X134" s="529"/>
      <c r="Y134" s="573"/>
      <c r="Z134" s="573"/>
    </row>
    <row r="135" spans="1:26" s="442" customFormat="1" hidden="1">
      <c r="A135" s="569"/>
      <c r="B135" s="569"/>
      <c r="C135" s="570"/>
      <c r="D135" s="570"/>
      <c r="E135" s="708"/>
      <c r="F135" s="708"/>
      <c r="G135" s="708"/>
      <c r="H135" s="600"/>
      <c r="I135" s="600"/>
      <c r="J135" s="602"/>
      <c r="K135" s="711"/>
      <c r="L135" s="711"/>
      <c r="M135" s="630"/>
      <c r="N135" s="630"/>
      <c r="O135" s="571"/>
      <c r="P135" s="571"/>
      <c r="Q135" s="630"/>
      <c r="R135" s="619"/>
      <c r="S135" s="697"/>
      <c r="T135" s="686"/>
      <c r="U135" s="687"/>
      <c r="V135" s="686"/>
      <c r="W135" s="712"/>
      <c r="X135" s="712"/>
      <c r="Y135" s="705"/>
      <c r="Z135" s="705"/>
    </row>
    <row r="136" spans="1:26" s="442" customFormat="1" hidden="1">
      <c r="A136" s="569"/>
      <c r="B136" s="569"/>
      <c r="C136" s="570"/>
      <c r="D136" s="570"/>
      <c r="E136" s="708"/>
      <c r="F136" s="708"/>
      <c r="G136" s="708"/>
      <c r="H136" s="571"/>
      <c r="I136" s="571"/>
      <c r="J136" s="602"/>
      <c r="K136" s="570"/>
      <c r="L136" s="570"/>
      <c r="M136" s="630"/>
      <c r="N136" s="630"/>
      <c r="O136" s="571"/>
      <c r="P136" s="571"/>
      <c r="Q136" s="630"/>
      <c r="R136" s="619"/>
      <c r="S136" s="697"/>
      <c r="T136" s="686"/>
      <c r="U136" s="687"/>
      <c r="V136" s="686"/>
      <c r="W136" s="646"/>
      <c r="X136" s="646"/>
      <c r="Y136" s="705"/>
      <c r="Z136" s="705"/>
    </row>
    <row r="137" spans="1:26" s="439" customFormat="1" ht="15" hidden="1" customHeight="1">
      <c r="A137" s="569"/>
      <c r="B137" s="569"/>
      <c r="C137" s="570"/>
      <c r="D137" s="570"/>
      <c r="E137" s="570"/>
      <c r="F137" s="570"/>
      <c r="G137" s="570"/>
      <c r="H137" s="571"/>
      <c r="I137" s="571"/>
      <c r="J137" s="571"/>
      <c r="K137" s="571"/>
      <c r="L137" s="571"/>
      <c r="M137" s="570"/>
      <c r="N137" s="570"/>
      <c r="O137" s="571"/>
      <c r="P137" s="571"/>
      <c r="Q137" s="571"/>
      <c r="R137" s="573"/>
      <c r="S137" s="645"/>
      <c r="T137" s="571"/>
      <c r="U137" s="713"/>
      <c r="V137" s="714"/>
      <c r="W137" s="529"/>
      <c r="X137" s="529"/>
      <c r="Y137" s="570"/>
      <c r="Z137" s="570"/>
    </row>
    <row r="138" spans="1:26" s="439" customFormat="1" ht="12.75" customHeight="1">
      <c r="A138" s="483"/>
      <c r="B138" s="483"/>
      <c r="C138" s="573"/>
      <c r="D138" s="573"/>
      <c r="E138" s="573"/>
      <c r="F138" s="573"/>
      <c r="G138" s="573"/>
      <c r="H138" s="574"/>
      <c r="I138" s="574"/>
      <c r="J138" s="574"/>
      <c r="K138" s="573"/>
      <c r="L138" s="573"/>
      <c r="M138" s="573"/>
      <c r="N138" s="573"/>
      <c r="O138" s="574"/>
      <c r="P138" s="574"/>
      <c r="Q138" s="694"/>
      <c r="R138" s="694"/>
      <c r="S138" s="695"/>
      <c r="T138" s="574"/>
      <c r="U138" s="529"/>
      <c r="V138" s="648"/>
      <c r="W138" s="529"/>
      <c r="X138" s="529"/>
      <c r="Y138" s="573"/>
      <c r="Z138" s="573"/>
    </row>
    <row r="139" spans="1:26" s="439" customFormat="1">
      <c r="A139" s="569"/>
      <c r="B139" s="569"/>
      <c r="C139" s="570"/>
      <c r="D139" s="570"/>
      <c r="E139" s="570"/>
      <c r="F139" s="570"/>
      <c r="G139" s="570"/>
      <c r="H139" s="571"/>
      <c r="I139" s="571"/>
      <c r="J139" s="571"/>
      <c r="K139" s="571"/>
      <c r="L139" s="571"/>
      <c r="M139" s="571"/>
      <c r="N139" s="571"/>
      <c r="O139" s="571"/>
      <c r="P139" s="571"/>
      <c r="Q139" s="571"/>
      <c r="R139" s="574"/>
      <c r="S139" s="715"/>
      <c r="T139" s="571"/>
      <c r="U139" s="713"/>
      <c r="V139" s="716"/>
      <c r="W139" s="529"/>
      <c r="X139" s="646"/>
      <c r="Y139" s="570"/>
      <c r="Z139" s="570"/>
    </row>
    <row r="140" spans="1:26" s="439" customFormat="1">
      <c r="A140" s="569"/>
      <c r="B140" s="569"/>
      <c r="C140" s="570"/>
      <c r="D140" s="570"/>
      <c r="E140" s="570"/>
      <c r="F140" s="570"/>
      <c r="G140" s="570"/>
      <c r="H140" s="571"/>
      <c r="I140" s="571"/>
      <c r="J140" s="571"/>
      <c r="K140" s="571"/>
      <c r="L140" s="571"/>
      <c r="M140" s="571"/>
      <c r="N140" s="571"/>
      <c r="O140" s="571"/>
      <c r="P140" s="571"/>
      <c r="Q140" s="571"/>
      <c r="R140" s="574"/>
      <c r="S140" s="715"/>
      <c r="T140" s="571"/>
      <c r="U140" s="713"/>
      <c r="V140" s="716"/>
      <c r="W140" s="646"/>
      <c r="X140" s="646"/>
      <c r="Y140" s="570"/>
      <c r="Z140" s="570"/>
    </row>
    <row r="141" spans="1:26" s="439" customFormat="1">
      <c r="A141" s="569"/>
      <c r="B141" s="569"/>
      <c r="C141" s="570"/>
      <c r="D141" s="570"/>
      <c r="E141" s="570"/>
      <c r="F141" s="570"/>
      <c r="G141" s="570"/>
      <c r="H141" s="571"/>
      <c r="I141" s="571"/>
      <c r="J141" s="571"/>
      <c r="K141" s="571"/>
      <c r="L141" s="571"/>
      <c r="M141" s="571"/>
      <c r="N141" s="571"/>
      <c r="O141" s="571"/>
      <c r="P141" s="571"/>
      <c r="Q141" s="571"/>
      <c r="R141" s="574"/>
      <c r="S141" s="715"/>
      <c r="T141" s="571"/>
      <c r="U141" s="713"/>
      <c r="V141" s="716"/>
      <c r="W141" s="646"/>
      <c r="X141" s="646"/>
      <c r="Y141" s="570"/>
      <c r="Z141" s="570"/>
    </row>
    <row r="142" spans="1:26" s="439" customFormat="1">
      <c r="A142" s="569"/>
      <c r="B142" s="569"/>
      <c r="C142" s="570"/>
      <c r="D142" s="570"/>
      <c r="E142" s="570"/>
      <c r="F142" s="570"/>
      <c r="G142" s="570"/>
      <c r="H142" s="571"/>
      <c r="I142" s="571"/>
      <c r="J142" s="571"/>
      <c r="K142" s="571"/>
      <c r="L142" s="571"/>
      <c r="M142" s="571"/>
      <c r="N142" s="571"/>
      <c r="O142" s="571"/>
      <c r="P142" s="571"/>
      <c r="Q142" s="571"/>
      <c r="R142" s="574"/>
      <c r="S142" s="715"/>
      <c r="T142" s="571"/>
      <c r="U142" s="713"/>
      <c r="V142" s="716"/>
      <c r="W142" s="646"/>
      <c r="X142" s="646"/>
      <c r="Y142" s="570"/>
      <c r="Z142" s="570"/>
    </row>
    <row r="143" spans="1:26" s="439" customFormat="1">
      <c r="A143" s="569"/>
      <c r="B143" s="569"/>
      <c r="C143" s="570"/>
      <c r="D143" s="570"/>
      <c r="E143" s="570"/>
      <c r="F143" s="570"/>
      <c r="G143" s="570"/>
      <c r="H143" s="571"/>
      <c r="I143" s="571"/>
      <c r="J143" s="571"/>
      <c r="K143" s="570"/>
      <c r="L143" s="570"/>
      <c r="M143" s="570"/>
      <c r="N143" s="570"/>
      <c r="O143" s="571"/>
      <c r="P143" s="571"/>
      <c r="Q143" s="570"/>
      <c r="R143" s="573"/>
      <c r="S143" s="645"/>
      <c r="T143" s="571"/>
      <c r="U143" s="646"/>
      <c r="V143" s="647"/>
      <c r="W143" s="646"/>
      <c r="X143" s="646"/>
      <c r="Y143" s="570"/>
      <c r="Z143" s="570"/>
    </row>
  </sheetData>
  <mergeCells count="19">
    <mergeCell ref="N4:N5"/>
    <mergeCell ref="O4:O5"/>
    <mergeCell ref="Y4:Z4"/>
    <mergeCell ref="H4:H5"/>
    <mergeCell ref="L4:L5"/>
    <mergeCell ref="M4:M5"/>
    <mergeCell ref="H87:H89"/>
    <mergeCell ref="I4:I5"/>
    <mergeCell ref="I87:I89"/>
    <mergeCell ref="J4:J5"/>
    <mergeCell ref="K4:K5"/>
    <mergeCell ref="O87:O89"/>
    <mergeCell ref="P4:P5"/>
    <mergeCell ref="P87:P89"/>
    <mergeCell ref="Q4:Q5"/>
    <mergeCell ref="W4:X4"/>
    <mergeCell ref="R4:R5"/>
    <mergeCell ref="T4:T5"/>
    <mergeCell ref="U4:U5"/>
  </mergeCells>
  <phoneticPr fontId="93" type="noConversion"/>
  <pageMargins left="0.69861111111111107" right="0.69861111111111107" top="0.75" bottom="0.75" header="0.3" footer="0.3"/>
  <headerFooter alignWithMargins="0"/>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50"/>
  </sheetPr>
  <dimension ref="A1:AB47"/>
  <sheetViews>
    <sheetView view="pageBreakPreview" topLeftCell="A16" workbookViewId="0">
      <selection activeCell="G31" sqref="G31"/>
    </sheetView>
  </sheetViews>
  <sheetFormatPr defaultRowHeight="13.5"/>
  <cols>
    <col min="1" max="1" width="9" style="302"/>
    <col min="2" max="2" width="11" style="302" customWidth="1"/>
    <col min="3" max="3" width="10.75" style="302" customWidth="1"/>
    <col min="4" max="4" width="12" style="302" customWidth="1"/>
    <col min="5" max="6" width="12.25" style="302" customWidth="1"/>
    <col min="7" max="7" width="11.875" style="302" customWidth="1"/>
    <col min="8" max="20" width="12" style="302" customWidth="1"/>
    <col min="21" max="21" width="10.125" style="302" customWidth="1"/>
    <col min="22" max="22" width="10.5" style="302" bestFit="1" customWidth="1"/>
    <col min="23" max="23" width="26.5" style="302" customWidth="1"/>
    <col min="24" max="24" width="25.625" style="302" customWidth="1"/>
    <col min="25" max="16384" width="9" style="302"/>
  </cols>
  <sheetData>
    <row r="1" spans="1:22" ht="14.25">
      <c r="A1" s="1255" t="s">
        <v>273</v>
      </c>
      <c r="B1" s="1255"/>
      <c r="C1" s="302">
        <v>2013</v>
      </c>
      <c r="D1" s="302">
        <v>11</v>
      </c>
      <c r="E1" s="302">
        <v>20</v>
      </c>
      <c r="R1" s="341"/>
      <c r="S1" s="342" t="s">
        <v>237</v>
      </c>
      <c r="T1" s="342">
        <v>1999</v>
      </c>
      <c r="U1" s="341" t="s">
        <v>274</v>
      </c>
      <c r="V1" s="361">
        <v>0</v>
      </c>
    </row>
    <row r="2" spans="1:22" ht="14.25">
      <c r="A2" s="1267" t="s">
        <v>275</v>
      </c>
      <c r="B2" s="1255"/>
      <c r="R2" s="341"/>
      <c r="S2" s="342" t="s">
        <v>276</v>
      </c>
      <c r="T2" s="342">
        <v>60</v>
      </c>
      <c r="U2" s="341" t="s">
        <v>277</v>
      </c>
      <c r="V2" s="302">
        <v>14</v>
      </c>
    </row>
    <row r="3" spans="1:22" ht="14.25">
      <c r="A3" s="1255"/>
      <c r="B3" s="1255"/>
      <c r="K3" s="302">
        <f>1-14/60</f>
        <v>0.76666666666666661</v>
      </c>
      <c r="R3" s="343"/>
      <c r="S3" s="197" t="s">
        <v>278</v>
      </c>
      <c r="T3" s="197" t="s">
        <v>279</v>
      </c>
    </row>
    <row r="4" spans="1:22" ht="14.25">
      <c r="A4" s="1255" t="s">
        <v>280</v>
      </c>
      <c r="B4" s="1255"/>
      <c r="D4" s="302" t="s">
        <v>281</v>
      </c>
      <c r="E4" s="303"/>
      <c r="F4" s="304"/>
      <c r="N4" s="302">
        <v>2022</v>
      </c>
      <c r="O4" s="302">
        <f>ROUND(M9+M9*N33,2)</f>
        <v>12.1</v>
      </c>
      <c r="R4" s="197" t="s">
        <v>282</v>
      </c>
      <c r="S4" s="344">
        <f>ROUND(1-(1-$V$1)*14/$T$2,2)</f>
        <v>0.77</v>
      </c>
      <c r="T4" s="345">
        <f>ROUND('建筑（商）'!$D$22*S4,0)</f>
        <v>4808</v>
      </c>
    </row>
    <row r="5" spans="1:22" ht="14.25">
      <c r="A5" s="1256" t="s">
        <v>283</v>
      </c>
      <c r="B5" s="1256"/>
      <c r="D5" s="302" t="s">
        <v>281</v>
      </c>
      <c r="E5" s="304"/>
      <c r="N5" s="302">
        <v>2023</v>
      </c>
      <c r="O5" s="302">
        <f>ROUND(O4+O4*N33,2)</f>
        <v>12.58</v>
      </c>
      <c r="R5" s="197" t="s">
        <v>284</v>
      </c>
      <c r="S5" s="344">
        <f>ROUND(1-(1-$V$1)*15/$T$2,2)</f>
        <v>0.75</v>
      </c>
      <c r="T5" s="345">
        <f>ROUND('建筑（商）'!$D$22*S5,0)</f>
        <v>4683</v>
      </c>
    </row>
    <row r="6" spans="1:22" ht="14.25">
      <c r="A6" s="1255" t="s">
        <v>285</v>
      </c>
      <c r="B6" s="1255"/>
      <c r="C6" s="301"/>
      <c r="D6" s="302" t="s">
        <v>281</v>
      </c>
      <c r="G6" s="304"/>
      <c r="N6" s="302">
        <v>2024</v>
      </c>
      <c r="O6" s="302">
        <f>ROUND(O5+O5*N33,2)</f>
        <v>13.08</v>
      </c>
      <c r="R6" s="197" t="s">
        <v>286</v>
      </c>
      <c r="S6" s="344">
        <f>ROUND(1-(1-$V$1)*16/$T$2,2)</f>
        <v>0.73</v>
      </c>
      <c r="T6" s="345">
        <f>ROUND('建筑（商）'!$D$22*S6,0)</f>
        <v>4558</v>
      </c>
    </row>
    <row r="7" spans="1:22" ht="14.25">
      <c r="B7" s="305"/>
      <c r="C7" s="302">
        <f>ROUND(P9+P9*D33,2)</f>
        <v>8.84</v>
      </c>
      <c r="M7" s="302">
        <f>ROUND(K9+K9*D33,2)</f>
        <v>11.18</v>
      </c>
      <c r="R7" s="197" t="s">
        <v>287</v>
      </c>
      <c r="S7" s="344">
        <f>ROUND(1-(1-$V$1)*17/$T$2,2)</f>
        <v>0.72</v>
      </c>
      <c r="T7" s="345">
        <f>ROUND('建筑（商）'!$D$22*S7,0)</f>
        <v>4496</v>
      </c>
    </row>
    <row r="8" spans="1:22" ht="42">
      <c r="A8" s="306" t="s">
        <v>288</v>
      </c>
      <c r="B8" s="307" t="s">
        <v>527</v>
      </c>
      <c r="C8" s="307" t="s">
        <v>528</v>
      </c>
      <c r="D8" s="308" t="s">
        <v>529</v>
      </c>
      <c r="E8" s="308" t="s">
        <v>530</v>
      </c>
      <c r="F8" s="309" t="s">
        <v>531</v>
      </c>
      <c r="G8" s="309" t="s">
        <v>532</v>
      </c>
      <c r="H8" s="310" t="s">
        <v>533</v>
      </c>
      <c r="I8" s="310" t="s">
        <v>534</v>
      </c>
      <c r="J8" s="346" t="s">
        <v>535</v>
      </c>
      <c r="K8" s="346" t="s">
        <v>536</v>
      </c>
      <c r="L8" s="432" t="s">
        <v>537</v>
      </c>
      <c r="M8" s="432" t="s">
        <v>538</v>
      </c>
      <c r="N8" s="433" t="s">
        <v>539</v>
      </c>
      <c r="O8" s="433" t="s">
        <v>540</v>
      </c>
      <c r="P8" s="347" t="s">
        <v>293</v>
      </c>
      <c r="R8" s="197" t="s">
        <v>294</v>
      </c>
      <c r="S8" s="344">
        <f>ROUND(1-(1-$V$1)*18/$T$2,2)</f>
        <v>0.7</v>
      </c>
      <c r="T8" s="345">
        <f>ROUND('建筑（商）'!$D$22*S8,0)</f>
        <v>4371</v>
      </c>
    </row>
    <row r="9" spans="1:22" ht="14.25">
      <c r="A9" s="306" t="s">
        <v>88</v>
      </c>
      <c r="B9" s="311">
        <f>ROUND(B11*10000/B10/365,2)</f>
        <v>11.95</v>
      </c>
      <c r="C9" s="311">
        <f>ROUND(C7+C7*D33,2)</f>
        <v>9.19</v>
      </c>
      <c r="D9" s="311">
        <f>ROUND(D11*10000/D10/365,2)</f>
        <v>7.55</v>
      </c>
      <c r="E9" s="311">
        <f>ROUND(C9+C9*D33,2)</f>
        <v>9.56</v>
      </c>
      <c r="F9" s="311">
        <f>ROUND(F11*10000/F10/365,2)</f>
        <v>4.99</v>
      </c>
      <c r="G9" s="311">
        <f>ROUND(E9+E9*D33,2)</f>
        <v>9.94</v>
      </c>
      <c r="H9" s="311">
        <f>ROUND(H11*10000/H10/365,2)</f>
        <v>4.0599999999999996</v>
      </c>
      <c r="I9" s="311">
        <f>ROUND(G9+G9*D33,2)</f>
        <v>10.34</v>
      </c>
      <c r="J9" s="311">
        <f>ROUND(J11*10000/J10/365,2)</f>
        <v>3.72</v>
      </c>
      <c r="K9" s="311">
        <f>ROUND(I9+I9*D33,2)</f>
        <v>10.75</v>
      </c>
      <c r="L9" s="311">
        <f>ROUND(L11*10000/L10/365,2)</f>
        <v>2.88</v>
      </c>
      <c r="M9" s="311">
        <f>ROUND(M7+M7*L33,2)</f>
        <v>11.63</v>
      </c>
      <c r="N9" s="311">
        <f>ROUND(N11*10000/N10/365,2)</f>
        <v>1.81</v>
      </c>
      <c r="O9" s="311">
        <f>ROUND(O6+O6*N33,2)</f>
        <v>13.6</v>
      </c>
      <c r="P9" s="348">
        <v>8.5</v>
      </c>
      <c r="R9" s="197" t="s">
        <v>295</v>
      </c>
      <c r="S9" s="344">
        <f>ROUND(1-(1-$V$1)*19/$T$2,2)</f>
        <v>0.68</v>
      </c>
      <c r="T9" s="345">
        <f>ROUND('建筑（商）'!$D$22*S9,0)</f>
        <v>4246</v>
      </c>
    </row>
    <row r="10" spans="1:22" ht="14.25">
      <c r="A10" s="306" t="s">
        <v>296</v>
      </c>
      <c r="B10" s="311">
        <f>商租约!E17</f>
        <v>369.15292682926832</v>
      </c>
      <c r="C10" s="311">
        <f>B10</f>
        <v>369.15292682926832</v>
      </c>
      <c r="D10" s="311">
        <f>商租约!E36</f>
        <v>1328.59</v>
      </c>
      <c r="E10" s="311">
        <f>D10</f>
        <v>1328.59</v>
      </c>
      <c r="F10" s="311">
        <f>商租约!E62</f>
        <v>708.20750364086086</v>
      </c>
      <c r="G10" s="311">
        <f>F10</f>
        <v>708.20750364086086</v>
      </c>
      <c r="H10" s="311">
        <f>商租约!E63</f>
        <v>939.05</v>
      </c>
      <c r="I10" s="311">
        <f>H10</f>
        <v>939.05</v>
      </c>
      <c r="J10" s="311">
        <f>商租约!E78</f>
        <v>3805.2399999999993</v>
      </c>
      <c r="K10" s="311">
        <f>J10</f>
        <v>3805.2399999999993</v>
      </c>
      <c r="L10" s="311">
        <f>商租约!E79</f>
        <v>5264.4699999999993</v>
      </c>
      <c r="M10" s="311">
        <f>L10</f>
        <v>5264.4699999999993</v>
      </c>
      <c r="N10" s="311">
        <f>商租约!E80</f>
        <v>1334</v>
      </c>
      <c r="O10" s="311">
        <f>N10</f>
        <v>1334</v>
      </c>
      <c r="P10" s="315" t="e">
        <f>#REF!+#REF!-商租约!E17-商租约!E36-商租约!E62-商租约!E63-商租约!E78-商租约!E79-商租约!E80</f>
        <v>#REF!</v>
      </c>
      <c r="R10" s="197" t="s">
        <v>541</v>
      </c>
      <c r="S10" s="344">
        <f>ROUND(1-(1-$V$1)*20/$T$2,2)</f>
        <v>0.67</v>
      </c>
      <c r="T10" s="345">
        <f>ROUND('建筑（商）'!$D$22*S10,0)</f>
        <v>4183</v>
      </c>
    </row>
    <row r="11" spans="1:22" ht="14.25">
      <c r="A11" s="306" t="s">
        <v>297</v>
      </c>
      <c r="B11" s="312">
        <f>ROUND(商租约!R17*12/10000,0)</f>
        <v>161</v>
      </c>
      <c r="C11" s="312">
        <f>ROUND(C9*C10*365*(1-D21)/10000,0)</f>
        <v>118</v>
      </c>
      <c r="D11" s="313">
        <f>ROUND(商租约!R36*12/10000,0)</f>
        <v>366</v>
      </c>
      <c r="E11" s="312">
        <f>ROUND(E9*365*E10*(1-F21)/10000,0)</f>
        <v>440</v>
      </c>
      <c r="F11" s="312">
        <f>ROUND(商租约!R62*12/10000,0)</f>
        <v>129</v>
      </c>
      <c r="G11" s="312">
        <f>ROUND(G9*G10*365*(1-H21)/10000,0)</f>
        <v>244</v>
      </c>
      <c r="H11" s="312">
        <f>ROUND(商租约!R63*12/10000,0)</f>
        <v>139</v>
      </c>
      <c r="I11" s="312">
        <f>ROUND(I9*I10*365*(1-J21)/10000,0)</f>
        <v>337</v>
      </c>
      <c r="J11" s="312">
        <f>ROUND(商租约!R78*12/10000,0)</f>
        <v>516</v>
      </c>
      <c r="K11" s="312">
        <f>ROUND(K9*K10*365*(1-L21)/10000,0)</f>
        <v>1418</v>
      </c>
      <c r="L11" s="312">
        <f>ROUND(商租约!R79*12/10000,0)</f>
        <v>554</v>
      </c>
      <c r="M11" s="312">
        <f>ROUND(M9*M10*365*(1-N21)/10000,0)</f>
        <v>2123</v>
      </c>
      <c r="N11" s="312">
        <f>ROUND(商租约!R80*12/10000,0)</f>
        <v>88</v>
      </c>
      <c r="O11" s="312">
        <f>ROUND(O9*O10*365*(1-P21)/10000,0)</f>
        <v>629</v>
      </c>
      <c r="P11" s="314" t="e">
        <f>ROUND(P9*P10*(1-Q21)*365/10000,0)</f>
        <v>#REF!</v>
      </c>
      <c r="R11" s="197" t="s">
        <v>542</v>
      </c>
      <c r="S11" s="344">
        <f>ROUND(1-(1-$V$1)*21/$T$2,2)</f>
        <v>0.65</v>
      </c>
      <c r="T11" s="345">
        <f>ROUND('建筑（商）'!$D$22*S11,0)</f>
        <v>4059</v>
      </c>
    </row>
    <row r="12" spans="1:22" ht="14.25">
      <c r="A12" s="306" t="s">
        <v>298</v>
      </c>
      <c r="B12" s="430">
        <v>1.1100000000000001</v>
      </c>
      <c r="C12" s="430">
        <f>P12-B12</f>
        <v>19.010000000000002</v>
      </c>
      <c r="D12" s="314">
        <v>2.11</v>
      </c>
      <c r="E12" s="314">
        <f>P12-D12</f>
        <v>18.010000000000002</v>
      </c>
      <c r="F12" s="314">
        <v>3.52</v>
      </c>
      <c r="G12" s="314">
        <f>P12-F12</f>
        <v>16.600000000000001</v>
      </c>
      <c r="H12" s="314">
        <v>4.6900000000000004</v>
      </c>
      <c r="I12" s="314">
        <f>P12-H12</f>
        <v>15.43</v>
      </c>
      <c r="J12" s="314">
        <v>5.81</v>
      </c>
      <c r="K12" s="314">
        <f>P12-J12</f>
        <v>14.310000000000002</v>
      </c>
      <c r="L12" s="314">
        <v>7.31</v>
      </c>
      <c r="M12" s="314">
        <f>P12-L12</f>
        <v>12.810000000000002</v>
      </c>
      <c r="N12" s="314">
        <v>5.81</v>
      </c>
      <c r="O12" s="314">
        <f>P12-N12</f>
        <v>14.310000000000002</v>
      </c>
      <c r="P12" s="314">
        <v>20.12</v>
      </c>
      <c r="R12" s="197" t="s">
        <v>299</v>
      </c>
      <c r="S12" s="344">
        <f>ROUND(1-(1-$V$1)*22/$T$2,2)</f>
        <v>0.63</v>
      </c>
      <c r="T12" s="345">
        <f>ROUND('建筑（商）'!$D$22*S12,0)</f>
        <v>3934</v>
      </c>
    </row>
    <row r="13" spans="1:22" ht="14.25">
      <c r="A13" s="306" t="s">
        <v>71</v>
      </c>
      <c r="B13" s="311" t="e">
        <f>ROUND(B10/#REF!*(权属依据!B10+权属依据!E10),2)</f>
        <v>#REF!</v>
      </c>
      <c r="C13" s="315">
        <v>19</v>
      </c>
      <c r="D13" s="315" t="e">
        <f>ROUND(D10/#REF!*(权属依据!B10+权属依据!E10),2)</f>
        <v>#REF!</v>
      </c>
      <c r="E13" s="315" t="e">
        <f>D13</f>
        <v>#REF!</v>
      </c>
      <c r="F13" s="315" t="e">
        <f>ROUND(F10/#REF!*(权属依据!B10+权属依据!E10),2)</f>
        <v>#REF!</v>
      </c>
      <c r="G13" s="315" t="e">
        <f>F13</f>
        <v>#REF!</v>
      </c>
      <c r="H13" s="315" t="e">
        <f>ROUND(H10/#REF!*(权属依据!B10+权属依据!E10),2)</f>
        <v>#REF!</v>
      </c>
      <c r="I13" s="315" t="e">
        <f>H13</f>
        <v>#REF!</v>
      </c>
      <c r="J13" s="315" t="e">
        <f>ROUND(J10/#REF!*(权属依据!B10+权属依据!E10),2)</f>
        <v>#REF!</v>
      </c>
      <c r="K13" s="315" t="e">
        <f>J13</f>
        <v>#REF!</v>
      </c>
      <c r="L13" s="315" t="e">
        <f>ROUND(L10/#REF!*(权属依据!B10+权属依据!E10),2)</f>
        <v>#REF!</v>
      </c>
      <c r="M13" s="315" t="e">
        <f>L13</f>
        <v>#REF!</v>
      </c>
      <c r="N13" s="315" t="e">
        <f>ROUND(N10/#REF!*(权属依据!B10+权属依据!E10),2)</f>
        <v>#REF!</v>
      </c>
      <c r="O13" s="315" t="e">
        <f>N13</f>
        <v>#REF!</v>
      </c>
      <c r="P13" s="315" t="e">
        <f>ROUND(P10/#REF!*(权属依据!B10+权属依据!E10),2)</f>
        <v>#REF!</v>
      </c>
      <c r="R13" s="197" t="s">
        <v>300</v>
      </c>
      <c r="S13" s="344">
        <f>ROUND(1-(1-$V$1)*23/$T$2,2)</f>
        <v>0.62</v>
      </c>
      <c r="T13" s="345">
        <f>ROUND('建筑（商）'!$D$22*S13,0)</f>
        <v>3871</v>
      </c>
    </row>
    <row r="14" spans="1:22" ht="14.25">
      <c r="A14" s="316"/>
      <c r="R14" s="197" t="s">
        <v>301</v>
      </c>
      <c r="S14" s="344">
        <f>ROUND(1-(1-$V$1)*24/$T$2,2)</f>
        <v>0.6</v>
      </c>
      <c r="T14" s="345">
        <f>ROUND('建筑（商）'!$D$22*S14,0)</f>
        <v>3746</v>
      </c>
    </row>
    <row r="15" spans="1:22" ht="14.25">
      <c r="A15" s="316"/>
      <c r="B15" s="311"/>
      <c r="C15" s="311"/>
      <c r="D15" s="317"/>
      <c r="R15" s="197" t="s">
        <v>543</v>
      </c>
      <c r="S15" s="344">
        <f>ROUND(1-(1-$V$1)*25/$T$2,2)</f>
        <v>0.57999999999999996</v>
      </c>
      <c r="T15" s="345">
        <f>ROUND('建筑（商）'!$D$22*S15,0)</f>
        <v>3622</v>
      </c>
    </row>
    <row r="16" spans="1:22" ht="14.25">
      <c r="A16" s="316"/>
      <c r="B16" s="318"/>
      <c r="C16" s="318"/>
      <c r="D16" s="317"/>
      <c r="R16" s="197" t="s">
        <v>302</v>
      </c>
      <c r="S16" s="344">
        <f>ROUND(1-(1-$V$1)*26/$T$2,2)</f>
        <v>0.56999999999999995</v>
      </c>
      <c r="T16" s="345">
        <f>ROUND('建筑（商）'!$D$22*S16,0)</f>
        <v>3559</v>
      </c>
    </row>
    <row r="17" spans="1:20" ht="14.25">
      <c r="A17" s="316"/>
      <c r="B17" s="316"/>
      <c r="R17" s="197"/>
      <c r="S17" s="349"/>
      <c r="T17" s="345"/>
    </row>
    <row r="18" spans="1:20" ht="42" customHeight="1">
      <c r="A18" s="319" t="s">
        <v>69</v>
      </c>
      <c r="B18" s="320" t="s">
        <v>87</v>
      </c>
      <c r="C18" s="321" t="str">
        <f t="shared" ref="C18:K18" si="0">B8</f>
        <v>2014年租期租约期内（2013.11.20至2014.12.31）</v>
      </c>
      <c r="D18" s="321" t="str">
        <f t="shared" si="0"/>
        <v>2014年租期租约期外（2015.1.1至2034.1.3）</v>
      </c>
      <c r="E18" s="321" t="str">
        <f t="shared" si="0"/>
        <v>2015租约期内（2013.11.20至2015.12.31）</v>
      </c>
      <c r="F18" s="321" t="str">
        <f t="shared" si="0"/>
        <v>2015租约期外（2016.1.1至2034.1.3）</v>
      </c>
      <c r="G18" s="321" t="str">
        <f t="shared" si="0"/>
        <v>2017租约期内（2013.11.20至2017.5.31）</v>
      </c>
      <c r="H18" s="321" t="str">
        <f t="shared" si="0"/>
        <v>2017租约期外（2017.6.1至2034.1.3）</v>
      </c>
      <c r="I18" s="321" t="str">
        <f t="shared" si="0"/>
        <v>2018租约期内（2013.11.20至2018.7.31）</v>
      </c>
      <c r="J18" s="321" t="str">
        <f t="shared" si="0"/>
        <v>2018租约期外（2018.8.1至2034.1.3）</v>
      </c>
      <c r="K18" s="321" t="str">
        <f t="shared" si="0"/>
        <v>2019租约期内（2013.11.20至2019.9.14）</v>
      </c>
      <c r="L18" s="321" t="str">
        <f t="shared" ref="L18:Q18" si="1">K8</f>
        <v>2019租约期外（2019.9.15至2034.1.3）</v>
      </c>
      <c r="M18" s="321" t="str">
        <f t="shared" si="1"/>
        <v>2021租约期内（2013.11.20至2021.3.14）</v>
      </c>
      <c r="N18" s="321" t="str">
        <f t="shared" si="1"/>
        <v>2021租约期外（2021.3.15至2034.1.3）</v>
      </c>
      <c r="O18" s="321" t="str">
        <f t="shared" si="1"/>
        <v>2025租约期内（2013.11.20至2025.6.30）</v>
      </c>
      <c r="P18" s="321" t="str">
        <f t="shared" si="1"/>
        <v>2025租约期外（2025.7.1至2034.1.3）</v>
      </c>
      <c r="Q18" s="321" t="str">
        <f t="shared" si="1"/>
        <v>租约期外</v>
      </c>
      <c r="R18" s="321"/>
      <c r="S18" s="230" t="s">
        <v>303</v>
      </c>
      <c r="T18" s="230" t="s">
        <v>304</v>
      </c>
    </row>
    <row r="19" spans="1:20">
      <c r="A19" s="229" t="s">
        <v>305</v>
      </c>
      <c r="B19" s="230" t="s">
        <v>306</v>
      </c>
      <c r="C19" s="231">
        <f t="shared" ref="C19:K19" si="2">B10</f>
        <v>369.15292682926832</v>
      </c>
      <c r="D19" s="231">
        <f t="shared" si="2"/>
        <v>369.15292682926832</v>
      </c>
      <c r="E19" s="231">
        <f t="shared" si="2"/>
        <v>1328.59</v>
      </c>
      <c r="F19" s="231">
        <f t="shared" si="2"/>
        <v>1328.59</v>
      </c>
      <c r="G19" s="231">
        <f t="shared" si="2"/>
        <v>708.20750364086086</v>
      </c>
      <c r="H19" s="231">
        <f t="shared" si="2"/>
        <v>708.20750364086086</v>
      </c>
      <c r="I19" s="231">
        <f t="shared" si="2"/>
        <v>939.05</v>
      </c>
      <c r="J19" s="231">
        <f t="shared" si="2"/>
        <v>939.05</v>
      </c>
      <c r="K19" s="231">
        <f t="shared" si="2"/>
        <v>3805.2399999999993</v>
      </c>
      <c r="L19" s="231">
        <f t="shared" ref="L19:Q19" si="3">K10</f>
        <v>3805.2399999999993</v>
      </c>
      <c r="M19" s="231">
        <f t="shared" si="3"/>
        <v>5264.4699999999993</v>
      </c>
      <c r="N19" s="231">
        <f t="shared" si="3"/>
        <v>5264.4699999999993</v>
      </c>
      <c r="O19" s="231">
        <f t="shared" si="3"/>
        <v>1334</v>
      </c>
      <c r="P19" s="231">
        <f t="shared" si="3"/>
        <v>1334</v>
      </c>
      <c r="Q19" s="231" t="e">
        <f t="shared" si="3"/>
        <v>#REF!</v>
      </c>
      <c r="R19" s="231"/>
      <c r="S19" s="230"/>
      <c r="T19" s="350"/>
    </row>
    <row r="20" spans="1:20">
      <c r="A20" s="229" t="s">
        <v>307</v>
      </c>
      <c r="B20" s="232" t="s">
        <v>88</v>
      </c>
      <c r="C20" s="322">
        <f t="shared" ref="C20:J20" si="4">B9</f>
        <v>11.95</v>
      </c>
      <c r="D20" s="322">
        <f t="shared" si="4"/>
        <v>9.19</v>
      </c>
      <c r="E20" s="322">
        <f t="shared" si="4"/>
        <v>7.55</v>
      </c>
      <c r="F20" s="322">
        <f t="shared" si="4"/>
        <v>9.56</v>
      </c>
      <c r="G20" s="322">
        <f t="shared" si="4"/>
        <v>4.99</v>
      </c>
      <c r="H20" s="322">
        <f t="shared" si="4"/>
        <v>9.94</v>
      </c>
      <c r="I20" s="322">
        <f t="shared" si="4"/>
        <v>4.0599999999999996</v>
      </c>
      <c r="J20" s="322">
        <f t="shared" si="4"/>
        <v>10.34</v>
      </c>
      <c r="K20" s="322">
        <f t="shared" ref="K20:Q20" si="5">J9</f>
        <v>3.72</v>
      </c>
      <c r="L20" s="322">
        <f t="shared" si="5"/>
        <v>10.75</v>
      </c>
      <c r="M20" s="322">
        <f t="shared" si="5"/>
        <v>2.88</v>
      </c>
      <c r="N20" s="322">
        <f t="shared" si="5"/>
        <v>11.63</v>
      </c>
      <c r="O20" s="322">
        <f t="shared" si="5"/>
        <v>1.81</v>
      </c>
      <c r="P20" s="322">
        <f t="shared" si="5"/>
        <v>13.6</v>
      </c>
      <c r="Q20" s="322">
        <f t="shared" si="5"/>
        <v>8.5</v>
      </c>
      <c r="R20" s="322"/>
      <c r="S20" s="230"/>
      <c r="T20" s="350"/>
    </row>
    <row r="21" spans="1:20">
      <c r="A21" s="229" t="s">
        <v>308</v>
      </c>
      <c r="B21" s="232" t="s">
        <v>309</v>
      </c>
      <c r="C21" s="323" t="s">
        <v>239</v>
      </c>
      <c r="D21" s="324">
        <v>0.05</v>
      </c>
      <c r="E21" s="323" t="s">
        <v>239</v>
      </c>
      <c r="F21" s="324">
        <f t="shared" ref="F21:P21" si="6">D21</f>
        <v>0.05</v>
      </c>
      <c r="G21" s="324" t="str">
        <f t="shared" si="6"/>
        <v>——</v>
      </c>
      <c r="H21" s="324">
        <f t="shared" si="6"/>
        <v>0.05</v>
      </c>
      <c r="I21" s="324" t="str">
        <f t="shared" si="6"/>
        <v>——</v>
      </c>
      <c r="J21" s="324">
        <f t="shared" si="6"/>
        <v>0.05</v>
      </c>
      <c r="K21" s="324" t="str">
        <f t="shared" si="6"/>
        <v>——</v>
      </c>
      <c r="L21" s="324">
        <f t="shared" si="6"/>
        <v>0.05</v>
      </c>
      <c r="M21" s="324" t="str">
        <f t="shared" si="6"/>
        <v>——</v>
      </c>
      <c r="N21" s="324">
        <f t="shared" si="6"/>
        <v>0.05</v>
      </c>
      <c r="O21" s="324" t="str">
        <f t="shared" si="6"/>
        <v>——</v>
      </c>
      <c r="P21" s="324">
        <f t="shared" si="6"/>
        <v>0.05</v>
      </c>
      <c r="Q21" s="324">
        <f>F21</f>
        <v>0.05</v>
      </c>
      <c r="R21" s="324"/>
      <c r="S21" s="230"/>
      <c r="T21" s="350"/>
    </row>
    <row r="22" spans="1:20" s="300" customFormat="1" ht="21.75" customHeight="1">
      <c r="A22" s="325">
        <v>1</v>
      </c>
      <c r="B22" s="233" t="s">
        <v>310</v>
      </c>
      <c r="C22" s="326">
        <f>B11</f>
        <v>161</v>
      </c>
      <c r="D22" s="326">
        <f t="shared" ref="D22:Q22" si="7">C11</f>
        <v>118</v>
      </c>
      <c r="E22" s="326">
        <f t="shared" si="7"/>
        <v>366</v>
      </c>
      <c r="F22" s="326">
        <f t="shared" si="7"/>
        <v>440</v>
      </c>
      <c r="G22" s="326">
        <f t="shared" si="7"/>
        <v>129</v>
      </c>
      <c r="H22" s="326">
        <f t="shared" si="7"/>
        <v>244</v>
      </c>
      <c r="I22" s="326">
        <f t="shared" si="7"/>
        <v>139</v>
      </c>
      <c r="J22" s="326">
        <f t="shared" si="7"/>
        <v>337</v>
      </c>
      <c r="K22" s="326">
        <f t="shared" si="7"/>
        <v>516</v>
      </c>
      <c r="L22" s="326">
        <f t="shared" si="7"/>
        <v>1418</v>
      </c>
      <c r="M22" s="326">
        <f t="shared" si="7"/>
        <v>554</v>
      </c>
      <c r="N22" s="326">
        <f t="shared" si="7"/>
        <v>2123</v>
      </c>
      <c r="O22" s="326">
        <f t="shared" si="7"/>
        <v>88</v>
      </c>
      <c r="P22" s="326">
        <f t="shared" si="7"/>
        <v>629</v>
      </c>
      <c r="Q22" s="326" t="e">
        <f t="shared" si="7"/>
        <v>#REF!</v>
      </c>
      <c r="R22" s="326" t="e">
        <f>SUM(C22:Q22)</f>
        <v>#REF!</v>
      </c>
      <c r="S22" s="1257" t="s">
        <v>311</v>
      </c>
      <c r="T22" s="1258"/>
    </row>
    <row r="23" spans="1:20" ht="22.5" customHeight="1">
      <c r="A23" s="229" t="s">
        <v>312</v>
      </c>
      <c r="B23" s="234" t="s">
        <v>313</v>
      </c>
      <c r="C23" s="327">
        <f>ROUND(C22*$S$23,2)</f>
        <v>9.02</v>
      </c>
      <c r="D23" s="327">
        <f t="shared" ref="D23:Q23" si="8">ROUND(D22*$S$23,2)</f>
        <v>6.61</v>
      </c>
      <c r="E23" s="327">
        <f t="shared" si="8"/>
        <v>20.5</v>
      </c>
      <c r="F23" s="327">
        <f t="shared" si="8"/>
        <v>24.64</v>
      </c>
      <c r="G23" s="327">
        <f t="shared" si="8"/>
        <v>7.22</v>
      </c>
      <c r="H23" s="327">
        <f t="shared" si="8"/>
        <v>13.66</v>
      </c>
      <c r="I23" s="327">
        <f t="shared" si="8"/>
        <v>7.78</v>
      </c>
      <c r="J23" s="327">
        <f t="shared" si="8"/>
        <v>18.87</v>
      </c>
      <c r="K23" s="327">
        <f t="shared" si="8"/>
        <v>28.9</v>
      </c>
      <c r="L23" s="327">
        <f t="shared" si="8"/>
        <v>79.41</v>
      </c>
      <c r="M23" s="327">
        <f t="shared" si="8"/>
        <v>31.02</v>
      </c>
      <c r="N23" s="327">
        <f t="shared" si="8"/>
        <v>118.89</v>
      </c>
      <c r="O23" s="327">
        <f t="shared" si="8"/>
        <v>4.93</v>
      </c>
      <c r="P23" s="327">
        <f t="shared" si="8"/>
        <v>35.22</v>
      </c>
      <c r="Q23" s="327" t="e">
        <f t="shared" si="8"/>
        <v>#REF!</v>
      </c>
      <c r="R23" s="327"/>
      <c r="S23" s="243">
        <v>5.6000000000000001E-2</v>
      </c>
      <c r="T23" s="240" t="s">
        <v>314</v>
      </c>
    </row>
    <row r="24" spans="1:20" ht="22.9" customHeight="1">
      <c r="A24" s="229" t="s">
        <v>315</v>
      </c>
      <c r="B24" s="328" t="s">
        <v>316</v>
      </c>
      <c r="C24" s="329">
        <f>ROUND(('建筑（商）'!$D$22*(1-'建筑（商）'!$D$20)-'建筑（商）'!$D$19)*70%*1.2%*C19/10000,2)</f>
        <v>1.54</v>
      </c>
      <c r="D24" s="329">
        <f>ROUND(('建筑（商）'!$D$22*(1-'建筑（商）'!$D$20)-'建筑（商）'!$D$19)*70%*1.2%*D19/10000,2)</f>
        <v>1.54</v>
      </c>
      <c r="E24" s="329">
        <f>ROUND(('建筑（商）'!$D$22*(1-'建筑（商）'!$D$20)-'建筑（商）'!$D$19)*70%*1.2%*E19/10000,2)</f>
        <v>5.55</v>
      </c>
      <c r="F24" s="329">
        <f>ROUND(('建筑（商）'!$D$22*(1-'建筑（商）'!$D$20)-'建筑（商）'!$D$19)*70%*1.2%*F19/10000,2)</f>
        <v>5.55</v>
      </c>
      <c r="G24" s="329">
        <f>ROUND(('建筑（商）'!$D$22*(1-'建筑（商）'!$D$20)-'建筑（商）'!$D$19)*70%*1.2%*G19/10000,2)</f>
        <v>2.96</v>
      </c>
      <c r="H24" s="329">
        <f>ROUND(('建筑（商）'!$D$22*(1-'建筑（商）'!$D$20)-'建筑（商）'!$D$19)*70%*1.2%*H19/10000,2)</f>
        <v>2.96</v>
      </c>
      <c r="I24" s="329">
        <f>ROUND(('建筑（商）'!$D$22*(1-'建筑（商）'!$D$20)-'建筑（商）'!$D$19)*70%*1.2%*I19/10000,2)</f>
        <v>3.92</v>
      </c>
      <c r="J24" s="329">
        <f>ROUND(('建筑（商）'!$D$22*(1-'建筑（商）'!$D$20)-'建筑（商）'!$D$19)*70%*1.2%*J19/10000,2)</f>
        <v>3.92</v>
      </c>
      <c r="K24" s="329">
        <f>ROUND(('建筑（商）'!$D$22*(1-'建筑（商）'!$D$20)-'建筑（商）'!$D$19)*70%*1.2%*K19/10000,2)</f>
        <v>15.9</v>
      </c>
      <c r="L24" s="329">
        <f>ROUND(('建筑（商）'!$D$22*(1-'建筑（商）'!$D$20)-'建筑（商）'!$D$19)*70%*1.2%*L19/10000,2)</f>
        <v>15.9</v>
      </c>
      <c r="M24" s="329">
        <f>ROUND(('建筑（商）'!$D$22*(1-'建筑（商）'!$D$20)-'建筑（商）'!$D$19)*70%*1.2%*M19/10000,2)</f>
        <v>21.99</v>
      </c>
      <c r="N24" s="329">
        <f>ROUND(('建筑（商）'!$D$22*(1-'建筑（商）'!$D$20)-'建筑（商）'!$D$19)*70%*1.2%*N19/10000,2)</f>
        <v>21.99</v>
      </c>
      <c r="O24" s="329">
        <f>ROUND(('建筑（商）'!$D$22*(1-'建筑（商）'!$D$20)-'建筑（商）'!$D$19)*70%*1.2%*O19/10000,2)</f>
        <v>5.57</v>
      </c>
      <c r="P24" s="329">
        <f>ROUND(('建筑（商）'!$D$22*(1-'建筑（商）'!$D$20)-'建筑（商）'!$D$19)*70%*1.2%*P19/10000,2)</f>
        <v>5.57</v>
      </c>
      <c r="Q24" s="329" t="e">
        <f>ROUND(('建筑（商）'!$D$22*(1-'建筑（商）'!$D$20)-'建筑（商）'!$D$19)*70%*1.2%*Q19/10000,2)</f>
        <v>#REF!</v>
      </c>
      <c r="R24" s="329"/>
      <c r="S24" s="243">
        <v>1.2E-2</v>
      </c>
      <c r="T24" s="240" t="s">
        <v>317</v>
      </c>
    </row>
    <row r="25" spans="1:20" ht="22.9" customHeight="1">
      <c r="A25" s="229" t="s">
        <v>318</v>
      </c>
      <c r="B25" s="328" t="s">
        <v>319</v>
      </c>
      <c r="C25" s="329" t="e">
        <f>ROUND(B13*$S$25/10000,2)</f>
        <v>#REF!</v>
      </c>
      <c r="D25" s="329">
        <f t="shared" ref="D25:Q25" si="9">ROUND(C13*$S$25/10000,2)</f>
        <v>0.05</v>
      </c>
      <c r="E25" s="329" t="e">
        <f t="shared" si="9"/>
        <v>#REF!</v>
      </c>
      <c r="F25" s="329" t="e">
        <f t="shared" si="9"/>
        <v>#REF!</v>
      </c>
      <c r="G25" s="329" t="e">
        <f t="shared" si="9"/>
        <v>#REF!</v>
      </c>
      <c r="H25" s="329" t="e">
        <f t="shared" si="9"/>
        <v>#REF!</v>
      </c>
      <c r="I25" s="329" t="e">
        <f t="shared" si="9"/>
        <v>#REF!</v>
      </c>
      <c r="J25" s="329" t="e">
        <f t="shared" si="9"/>
        <v>#REF!</v>
      </c>
      <c r="K25" s="329" t="e">
        <f t="shared" si="9"/>
        <v>#REF!</v>
      </c>
      <c r="L25" s="329" t="e">
        <f t="shared" si="9"/>
        <v>#REF!</v>
      </c>
      <c r="M25" s="329" t="e">
        <f t="shared" si="9"/>
        <v>#REF!</v>
      </c>
      <c r="N25" s="329" t="e">
        <f t="shared" si="9"/>
        <v>#REF!</v>
      </c>
      <c r="O25" s="329" t="e">
        <f t="shared" si="9"/>
        <v>#REF!</v>
      </c>
      <c r="P25" s="329" t="e">
        <f t="shared" si="9"/>
        <v>#REF!</v>
      </c>
      <c r="Q25" s="329" t="e">
        <f t="shared" si="9"/>
        <v>#REF!</v>
      </c>
      <c r="R25" s="352"/>
      <c r="S25" s="244">
        <v>24</v>
      </c>
      <c r="T25" s="353" t="s">
        <v>320</v>
      </c>
    </row>
    <row r="26" spans="1:20" ht="24" customHeight="1">
      <c r="A26" s="235" t="s">
        <v>321</v>
      </c>
      <c r="B26" s="330" t="s">
        <v>322</v>
      </c>
      <c r="C26" s="326" t="e">
        <f t="shared" ref="C26:Q26" si="10">ROUND(SUM(C23:C25,0),0)</f>
        <v>#REF!</v>
      </c>
      <c r="D26" s="326">
        <f t="shared" si="10"/>
        <v>8</v>
      </c>
      <c r="E26" s="326" t="e">
        <f t="shared" si="10"/>
        <v>#REF!</v>
      </c>
      <c r="F26" s="326" t="e">
        <f t="shared" si="10"/>
        <v>#REF!</v>
      </c>
      <c r="G26" s="326" t="e">
        <f t="shared" si="10"/>
        <v>#REF!</v>
      </c>
      <c r="H26" s="326" t="e">
        <f t="shared" si="10"/>
        <v>#REF!</v>
      </c>
      <c r="I26" s="326" t="e">
        <f t="shared" si="10"/>
        <v>#REF!</v>
      </c>
      <c r="J26" s="326" t="e">
        <f t="shared" si="10"/>
        <v>#REF!</v>
      </c>
      <c r="K26" s="326" t="e">
        <f t="shared" si="10"/>
        <v>#REF!</v>
      </c>
      <c r="L26" s="326" t="e">
        <f t="shared" si="10"/>
        <v>#REF!</v>
      </c>
      <c r="M26" s="326" t="e">
        <f t="shared" si="10"/>
        <v>#REF!</v>
      </c>
      <c r="N26" s="326" t="e">
        <f t="shared" si="10"/>
        <v>#REF!</v>
      </c>
      <c r="O26" s="326" t="e">
        <f t="shared" si="10"/>
        <v>#REF!</v>
      </c>
      <c r="P26" s="326" t="e">
        <f t="shared" si="10"/>
        <v>#REF!</v>
      </c>
      <c r="Q26" s="326" t="e">
        <f t="shared" si="10"/>
        <v>#REF!</v>
      </c>
      <c r="R26" s="326"/>
      <c r="S26" s="354"/>
      <c r="T26" s="355" t="s">
        <v>323</v>
      </c>
    </row>
    <row r="27" spans="1:20" ht="19.899999999999999" customHeight="1">
      <c r="A27" s="229" t="s">
        <v>324</v>
      </c>
      <c r="B27" s="236" t="s">
        <v>325</v>
      </c>
      <c r="C27" s="327">
        <f>ROUND('建筑（商）'!$D$22*$S$27*C19/10000,2)</f>
        <v>0.46</v>
      </c>
      <c r="D27" s="327">
        <f>ROUND('建筑（商）'!$D$22*$S$27*D19/10000,2)</f>
        <v>0.46</v>
      </c>
      <c r="E27" s="327">
        <f>ROUND('建筑（商）'!$D$22*$S$27*E19/10000,2)</f>
        <v>1.66</v>
      </c>
      <c r="F27" s="327">
        <f>ROUND('建筑（商）'!$D$22*$S$27*F19/10000,2)</f>
        <v>1.66</v>
      </c>
      <c r="G27" s="327">
        <f>ROUND('建筑（商）'!$D$22*$S$27*G19/10000,2)</f>
        <v>0.88</v>
      </c>
      <c r="H27" s="327">
        <f>ROUND('建筑（商）'!$D$22*$S$27*H19/10000,2)</f>
        <v>0.88</v>
      </c>
      <c r="I27" s="327">
        <f>ROUND('建筑（商）'!$D$22*$S$27*I19/10000,2)</f>
        <v>1.17</v>
      </c>
      <c r="J27" s="327">
        <f>ROUND('建筑（商）'!$D$22*$S$27*J19/10000,2)</f>
        <v>1.17</v>
      </c>
      <c r="K27" s="327">
        <f>ROUND('建筑（商）'!$D$22*$S$27*K19/10000,2)</f>
        <v>4.75</v>
      </c>
      <c r="L27" s="327">
        <f>ROUND('建筑（商）'!$D$22*$S$27*L19/10000,2)</f>
        <v>4.75</v>
      </c>
      <c r="M27" s="327">
        <f>ROUND('建筑（商）'!$D$22*$S$27*M19/10000,2)</f>
        <v>6.57</v>
      </c>
      <c r="N27" s="327">
        <f>ROUND('建筑（商）'!$D$22*$S$27*N19/10000,2)</f>
        <v>6.57</v>
      </c>
      <c r="O27" s="327">
        <f>ROUND('建筑（商）'!$D$22*$S$27*O19/10000,2)</f>
        <v>1.67</v>
      </c>
      <c r="P27" s="327">
        <f>ROUND('建筑（商）'!$D$22*$S$27*P19/10000,2)</f>
        <v>1.67</v>
      </c>
      <c r="Q27" s="327" t="e">
        <f>ROUND('建筑（商）'!$D$22*$S$27*Q19/10000,2)</f>
        <v>#REF!</v>
      </c>
      <c r="R27" s="327"/>
      <c r="S27" s="245">
        <v>2E-3</v>
      </c>
      <c r="T27" s="353" t="s">
        <v>326</v>
      </c>
    </row>
    <row r="28" spans="1:20" ht="19.899999999999999" customHeight="1">
      <c r="A28" s="229" t="s">
        <v>327</v>
      </c>
      <c r="B28" s="236" t="s">
        <v>328</v>
      </c>
      <c r="C28" s="327">
        <f>ROUND(T4*C19*$S$28/10000,2)</f>
        <v>0.04</v>
      </c>
      <c r="D28" s="327">
        <f>ROUND(T6*D19*$S$28/10000,2)</f>
        <v>0.04</v>
      </c>
      <c r="E28" s="327">
        <f>ROUND(T4*E19*$S$28/10000,2)</f>
        <v>0.16</v>
      </c>
      <c r="F28" s="327">
        <f>ROUND(T7*F19*$S$28/10000,2)</f>
        <v>0.15</v>
      </c>
      <c r="G28" s="327">
        <f>ROUND(T4*G19*$S$28/10000,2)</f>
        <v>0.09</v>
      </c>
      <c r="H28" s="327">
        <f>ROUND(T8*H19*$S$28/10000,2)</f>
        <v>0.08</v>
      </c>
      <c r="I28" s="327">
        <f>ROUND(T4*I19*$S$28/10000,2)</f>
        <v>0.11</v>
      </c>
      <c r="J28" s="327">
        <f>ROUND(T9*J19*$S$28/10000,2)</f>
        <v>0.1</v>
      </c>
      <c r="K28" s="327">
        <f>ROUND(T4*K19*$S$28/10000,2)</f>
        <v>0.46</v>
      </c>
      <c r="L28" s="327">
        <f>ROUND(T10*L19*$S$28/10000,2)</f>
        <v>0.4</v>
      </c>
      <c r="M28" s="327">
        <f>ROUND(T4*M19*$S$28/10000,2)</f>
        <v>0.63</v>
      </c>
      <c r="N28" s="327">
        <f>ROUND(T12*N19*$S$28/10000,2)</f>
        <v>0.52</v>
      </c>
      <c r="O28" s="327">
        <f>ROUND(T4*O19*$S$28/10000,2)</f>
        <v>0.16</v>
      </c>
      <c r="P28" s="327">
        <f>ROUND(T16*P19*$S$28/10000,2)</f>
        <v>0.12</v>
      </c>
      <c r="Q28" s="327" t="e">
        <f>ROUND(T4*Q19*$S$28/10000,2)</f>
        <v>#REF!</v>
      </c>
      <c r="R28" s="327"/>
      <c r="S28" s="246">
        <v>2.5000000000000001E-4</v>
      </c>
      <c r="T28" s="247" t="s">
        <v>329</v>
      </c>
    </row>
    <row r="29" spans="1:20" ht="19.899999999999999" customHeight="1">
      <c r="A29" s="229" t="s">
        <v>330</v>
      </c>
      <c r="B29" s="236" t="s">
        <v>331</v>
      </c>
      <c r="C29" s="327">
        <f>ROUND(C22*$S$29,2)</f>
        <v>3.22</v>
      </c>
      <c r="D29" s="327">
        <f t="shared" ref="D29:Q29" si="11">ROUND(D22*$S$29,2)</f>
        <v>2.36</v>
      </c>
      <c r="E29" s="327">
        <f t="shared" si="11"/>
        <v>7.32</v>
      </c>
      <c r="F29" s="327">
        <f t="shared" si="11"/>
        <v>8.8000000000000007</v>
      </c>
      <c r="G29" s="327">
        <f t="shared" si="11"/>
        <v>2.58</v>
      </c>
      <c r="H29" s="327">
        <f t="shared" si="11"/>
        <v>4.88</v>
      </c>
      <c r="I29" s="327">
        <f t="shared" si="11"/>
        <v>2.78</v>
      </c>
      <c r="J29" s="327">
        <f t="shared" si="11"/>
        <v>6.74</v>
      </c>
      <c r="K29" s="327">
        <f t="shared" si="11"/>
        <v>10.32</v>
      </c>
      <c r="L29" s="327">
        <f t="shared" si="11"/>
        <v>28.36</v>
      </c>
      <c r="M29" s="327">
        <f t="shared" si="11"/>
        <v>11.08</v>
      </c>
      <c r="N29" s="327">
        <f t="shared" si="11"/>
        <v>42.46</v>
      </c>
      <c r="O29" s="327">
        <f t="shared" si="11"/>
        <v>1.76</v>
      </c>
      <c r="P29" s="327">
        <f t="shared" si="11"/>
        <v>12.58</v>
      </c>
      <c r="Q29" s="327" t="e">
        <f t="shared" si="11"/>
        <v>#REF!</v>
      </c>
      <c r="R29" s="327"/>
      <c r="S29" s="248">
        <v>0.02</v>
      </c>
      <c r="T29" s="242" t="s">
        <v>314</v>
      </c>
    </row>
    <row r="30" spans="1:20" ht="24">
      <c r="A30" s="229">
        <v>2</v>
      </c>
      <c r="B30" s="232" t="s">
        <v>332</v>
      </c>
      <c r="C30" s="331" t="e">
        <f>ROUND(SUM(C26:C29),0)</f>
        <v>#REF!</v>
      </c>
      <c r="D30" s="331">
        <f t="shared" ref="D30:Q30" si="12">ROUND(SUM(D26:D29),0)</f>
        <v>11</v>
      </c>
      <c r="E30" s="331" t="e">
        <f t="shared" si="12"/>
        <v>#REF!</v>
      </c>
      <c r="F30" s="331" t="e">
        <f t="shared" si="12"/>
        <v>#REF!</v>
      </c>
      <c r="G30" s="331" t="e">
        <f t="shared" si="12"/>
        <v>#REF!</v>
      </c>
      <c r="H30" s="331" t="e">
        <f t="shared" si="12"/>
        <v>#REF!</v>
      </c>
      <c r="I30" s="331" t="e">
        <f t="shared" si="12"/>
        <v>#REF!</v>
      </c>
      <c r="J30" s="331" t="e">
        <f t="shared" si="12"/>
        <v>#REF!</v>
      </c>
      <c r="K30" s="331" t="e">
        <f t="shared" si="12"/>
        <v>#REF!</v>
      </c>
      <c r="L30" s="331" t="e">
        <f t="shared" si="12"/>
        <v>#REF!</v>
      </c>
      <c r="M30" s="331" t="e">
        <f t="shared" si="12"/>
        <v>#REF!</v>
      </c>
      <c r="N30" s="331" t="e">
        <f t="shared" si="12"/>
        <v>#REF!</v>
      </c>
      <c r="O30" s="331" t="e">
        <f t="shared" si="12"/>
        <v>#REF!</v>
      </c>
      <c r="P30" s="331" t="e">
        <f t="shared" si="12"/>
        <v>#REF!</v>
      </c>
      <c r="Q30" s="331" t="e">
        <f t="shared" si="12"/>
        <v>#REF!</v>
      </c>
      <c r="R30" s="331"/>
      <c r="S30" s="232"/>
      <c r="T30" s="356" t="s">
        <v>333</v>
      </c>
    </row>
    <row r="31" spans="1:20" ht="24">
      <c r="A31" s="229" t="s">
        <v>334</v>
      </c>
      <c r="B31" s="232" t="s">
        <v>335</v>
      </c>
      <c r="C31" s="331" t="e">
        <f>ROUND(C22-C30,0)</f>
        <v>#REF!</v>
      </c>
      <c r="D31" s="331">
        <f t="shared" ref="D31:Q31" si="13">ROUND(D22-D30,0)</f>
        <v>107</v>
      </c>
      <c r="E31" s="331" t="e">
        <f t="shared" si="13"/>
        <v>#REF!</v>
      </c>
      <c r="F31" s="331" t="e">
        <f t="shared" si="13"/>
        <v>#REF!</v>
      </c>
      <c r="G31" s="331" t="e">
        <f t="shared" si="13"/>
        <v>#REF!</v>
      </c>
      <c r="H31" s="331" t="e">
        <f t="shared" si="13"/>
        <v>#REF!</v>
      </c>
      <c r="I31" s="331" t="e">
        <f t="shared" si="13"/>
        <v>#REF!</v>
      </c>
      <c r="J31" s="331" t="e">
        <f t="shared" si="13"/>
        <v>#REF!</v>
      </c>
      <c r="K31" s="331" t="e">
        <f t="shared" si="13"/>
        <v>#REF!</v>
      </c>
      <c r="L31" s="331" t="e">
        <f t="shared" si="13"/>
        <v>#REF!</v>
      </c>
      <c r="M31" s="331" t="e">
        <f t="shared" si="13"/>
        <v>#REF!</v>
      </c>
      <c r="N31" s="331" t="e">
        <f t="shared" si="13"/>
        <v>#REF!</v>
      </c>
      <c r="O31" s="331" t="e">
        <f t="shared" si="13"/>
        <v>#REF!</v>
      </c>
      <c r="P31" s="331" t="e">
        <f t="shared" si="13"/>
        <v>#REF!</v>
      </c>
      <c r="Q31" s="331" t="e">
        <f t="shared" si="13"/>
        <v>#REF!</v>
      </c>
      <c r="R31" s="331"/>
      <c r="S31" s="232"/>
      <c r="T31" s="249" t="s">
        <v>307</v>
      </c>
    </row>
    <row r="32" spans="1:20" ht="60">
      <c r="A32" s="229" t="s">
        <v>336</v>
      </c>
      <c r="B32" s="237" t="s">
        <v>337</v>
      </c>
      <c r="C32" s="332">
        <v>6.5000000000000002E-2</v>
      </c>
      <c r="D32" s="332">
        <f t="shared" ref="D32:P32" si="14">C32</f>
        <v>6.5000000000000002E-2</v>
      </c>
      <c r="E32" s="332">
        <f t="shared" si="14"/>
        <v>6.5000000000000002E-2</v>
      </c>
      <c r="F32" s="332">
        <f t="shared" si="14"/>
        <v>6.5000000000000002E-2</v>
      </c>
      <c r="G32" s="332">
        <f t="shared" si="14"/>
        <v>6.5000000000000002E-2</v>
      </c>
      <c r="H32" s="332">
        <f t="shared" si="14"/>
        <v>6.5000000000000002E-2</v>
      </c>
      <c r="I32" s="332">
        <f t="shared" si="14"/>
        <v>6.5000000000000002E-2</v>
      </c>
      <c r="J32" s="332">
        <f t="shared" si="14"/>
        <v>6.5000000000000002E-2</v>
      </c>
      <c r="K32" s="332">
        <f t="shared" si="14"/>
        <v>6.5000000000000002E-2</v>
      </c>
      <c r="L32" s="332">
        <f t="shared" si="14"/>
        <v>6.5000000000000002E-2</v>
      </c>
      <c r="M32" s="332">
        <f t="shared" si="14"/>
        <v>6.5000000000000002E-2</v>
      </c>
      <c r="N32" s="332">
        <f t="shared" si="14"/>
        <v>6.5000000000000002E-2</v>
      </c>
      <c r="O32" s="332">
        <f t="shared" si="14"/>
        <v>6.5000000000000002E-2</v>
      </c>
      <c r="P32" s="332">
        <f t="shared" si="14"/>
        <v>6.5000000000000002E-2</v>
      </c>
      <c r="Q32" s="332">
        <f>F32</f>
        <v>6.5000000000000002E-2</v>
      </c>
      <c r="R32" s="332"/>
      <c r="S32" s="250"/>
      <c r="T32" s="357" t="s">
        <v>338</v>
      </c>
    </row>
    <row r="33" spans="1:28" ht="19.5" customHeight="1">
      <c r="A33" s="229" t="s">
        <v>339</v>
      </c>
      <c r="B33" s="237" t="s">
        <v>340</v>
      </c>
      <c r="C33" s="332" t="s">
        <v>239</v>
      </c>
      <c r="D33" s="332">
        <v>0.04</v>
      </c>
      <c r="E33" s="332" t="s">
        <v>239</v>
      </c>
      <c r="F33" s="332">
        <f>D33</f>
        <v>0.04</v>
      </c>
      <c r="G33" s="332" t="s">
        <v>239</v>
      </c>
      <c r="H33" s="332">
        <f>F33</f>
        <v>0.04</v>
      </c>
      <c r="I33" s="332" t="s">
        <v>239</v>
      </c>
      <c r="J33" s="332">
        <f>H33</f>
        <v>0.04</v>
      </c>
      <c r="K33" s="332" t="s">
        <v>239</v>
      </c>
      <c r="L33" s="332">
        <f>J33</f>
        <v>0.04</v>
      </c>
      <c r="M33" s="332" t="s">
        <v>239</v>
      </c>
      <c r="N33" s="332">
        <f>L33</f>
        <v>0.04</v>
      </c>
      <c r="O33" s="332" t="s">
        <v>239</v>
      </c>
      <c r="P33" s="332">
        <f>N33</f>
        <v>0.04</v>
      </c>
      <c r="Q33" s="332">
        <f>F33</f>
        <v>0.04</v>
      </c>
      <c r="R33" s="332"/>
      <c r="S33" s="238" t="s">
        <v>239</v>
      </c>
      <c r="T33" s="238"/>
      <c r="U33" s="250"/>
      <c r="V33" s="362"/>
    </row>
    <row r="34" spans="1:28" ht="24">
      <c r="A34" s="229" t="s">
        <v>341</v>
      </c>
      <c r="B34" s="237" t="s">
        <v>342</v>
      </c>
      <c r="C34" s="333">
        <f>B12</f>
        <v>1.1100000000000001</v>
      </c>
      <c r="D34" s="333">
        <f>C12</f>
        <v>19.010000000000002</v>
      </c>
      <c r="E34" s="333">
        <f>D12</f>
        <v>2.11</v>
      </c>
      <c r="F34" s="333">
        <f>E12</f>
        <v>18.010000000000002</v>
      </c>
      <c r="G34" s="333">
        <f t="shared" ref="G34:Q34" si="15">F12</f>
        <v>3.52</v>
      </c>
      <c r="H34" s="333">
        <f t="shared" si="15"/>
        <v>16.600000000000001</v>
      </c>
      <c r="I34" s="333">
        <f t="shared" si="15"/>
        <v>4.6900000000000004</v>
      </c>
      <c r="J34" s="333">
        <f t="shared" si="15"/>
        <v>15.43</v>
      </c>
      <c r="K34" s="333">
        <f t="shared" si="15"/>
        <v>5.81</v>
      </c>
      <c r="L34" s="333">
        <f t="shared" si="15"/>
        <v>14.310000000000002</v>
      </c>
      <c r="M34" s="333">
        <f t="shared" si="15"/>
        <v>7.31</v>
      </c>
      <c r="N34" s="333">
        <f t="shared" si="15"/>
        <v>12.810000000000002</v>
      </c>
      <c r="O34" s="333">
        <f t="shared" si="15"/>
        <v>5.81</v>
      </c>
      <c r="P34" s="333">
        <f t="shared" si="15"/>
        <v>14.310000000000002</v>
      </c>
      <c r="Q34" s="333">
        <f t="shared" si="15"/>
        <v>20.12</v>
      </c>
      <c r="R34" s="333"/>
      <c r="S34" s="237" t="e">
        <f>#REF!</f>
        <v>#REF!</v>
      </c>
      <c r="T34" s="237"/>
      <c r="U34" s="251"/>
      <c r="V34" s="362"/>
    </row>
    <row r="35" spans="1:28">
      <c r="A35" s="229" t="s">
        <v>343</v>
      </c>
      <c r="B35" s="230" t="s">
        <v>81</v>
      </c>
      <c r="C35" s="334" t="e">
        <f>ROUND(C31/C32*(1-1/(1+C32)^C34),0)</f>
        <v>#REF!</v>
      </c>
      <c r="D35" s="334">
        <f>ROUND(D31/(D32-D33)*(1-((1+D33)/(1+D32))^D34),0)</f>
        <v>1555</v>
      </c>
      <c r="E35" s="334" t="e">
        <f>ROUND(E31/E32*(1-1/(1+E32)^E34),0)</f>
        <v>#REF!</v>
      </c>
      <c r="F35" s="334" t="e">
        <f>ROUND(F31/(F32-F33)*(1-((1+F33)/(1+F32))^F34),0)</f>
        <v>#REF!</v>
      </c>
      <c r="G35" s="334" t="e">
        <f>ROUND(G31/G32*(1-1/(1+G32)^G34),0)</f>
        <v>#REF!</v>
      </c>
      <c r="H35" s="334" t="e">
        <f>ROUND(H31/(H32-H33)*(1-((1+H33)/(1+H32))^H34),0)</f>
        <v>#REF!</v>
      </c>
      <c r="I35" s="334" t="e">
        <f>ROUND(I31/I32*(1-1/(1+I32)^I34),0)</f>
        <v>#REF!</v>
      </c>
      <c r="J35" s="334" t="e">
        <f>ROUND(J31/(J32-J33)*(1-((1+J33)/(1+J32))^J34),0)</f>
        <v>#REF!</v>
      </c>
      <c r="K35" s="334" t="e">
        <f>ROUND(K31/K32*(1-1/(1+K32)^K34),0)</f>
        <v>#REF!</v>
      </c>
      <c r="L35" s="334" t="e">
        <f>ROUND(L31/(L32-L33)*(1-((1+L33)/(1+L32))^L34),0)</f>
        <v>#REF!</v>
      </c>
      <c r="M35" s="334" t="e">
        <f>ROUND(M31/M32*(1-1/(1+M32)^M34),0)</f>
        <v>#REF!</v>
      </c>
      <c r="N35" s="334" t="e">
        <f>ROUND(N31/(N32-N33)*(1-((1+N33)/(1+N32))^N34),0)</f>
        <v>#REF!</v>
      </c>
      <c r="O35" s="334" t="e">
        <f>ROUND(O31/O32*(1-1/(1+O32)^O34),0)</f>
        <v>#REF!</v>
      </c>
      <c r="P35" s="334" t="e">
        <f>ROUND(P31/(P32-P33)*(1-((1+P33)/(1+P32))^P34),0)</f>
        <v>#REF!</v>
      </c>
      <c r="Q35" s="334" t="e">
        <f>ROUND(Q31/(Q32-Q33)*(1-((1+Q33)/(1+Q32))^Q34),0)</f>
        <v>#REF!</v>
      </c>
      <c r="R35" s="334"/>
      <c r="S35" s="358"/>
      <c r="T35" s="358"/>
      <c r="U35" s="363"/>
      <c r="V35" s="364"/>
    </row>
    <row r="36" spans="1:28" s="301" customFormat="1">
      <c r="A36" s="335"/>
      <c r="B36" s="230" t="s">
        <v>344</v>
      </c>
      <c r="C36" s="336"/>
      <c r="D36" s="337">
        <f>C34</f>
        <v>1.1100000000000001</v>
      </c>
      <c r="E36" s="338"/>
      <c r="F36" s="337">
        <f>E34</f>
        <v>2.11</v>
      </c>
      <c r="G36" s="339"/>
      <c r="H36" s="337">
        <f>G34</f>
        <v>3.52</v>
      </c>
      <c r="I36" s="339"/>
      <c r="J36" s="337">
        <f>I34</f>
        <v>4.6900000000000004</v>
      </c>
      <c r="K36" s="339"/>
      <c r="L36" s="337">
        <f>K34</f>
        <v>5.81</v>
      </c>
      <c r="M36" s="339"/>
      <c r="N36" s="337">
        <f>M34</f>
        <v>7.31</v>
      </c>
      <c r="O36" s="339"/>
      <c r="P36" s="337">
        <f>O34</f>
        <v>5.81</v>
      </c>
      <c r="Q36" s="337"/>
      <c r="R36" s="337"/>
      <c r="S36" s="239"/>
      <c r="T36" s="239"/>
      <c r="U36" s="365"/>
      <c r="V36" s="366"/>
    </row>
    <row r="37" spans="1:28">
      <c r="A37" s="229" t="s">
        <v>345</v>
      </c>
      <c r="B37" s="230" t="s">
        <v>346</v>
      </c>
      <c r="C37" s="334" t="e">
        <f>C35</f>
        <v>#REF!</v>
      </c>
      <c r="D37" s="334">
        <f>ROUND(D35/(1+C32)^D36,0)</f>
        <v>1450</v>
      </c>
      <c r="E37" s="334" t="e">
        <f t="shared" ref="E37:K37" si="16">ROUND(E35/(1+E32)^E36,0)</f>
        <v>#REF!</v>
      </c>
      <c r="F37" s="334" t="e">
        <f>ROUND(F35/(1+E32)^F36,0)</f>
        <v>#REF!</v>
      </c>
      <c r="G37" s="334" t="e">
        <f t="shared" si="16"/>
        <v>#REF!</v>
      </c>
      <c r="H37" s="334" t="e">
        <f t="shared" si="16"/>
        <v>#REF!</v>
      </c>
      <c r="I37" s="334" t="e">
        <f t="shared" si="16"/>
        <v>#REF!</v>
      </c>
      <c r="J37" s="334" t="e">
        <f t="shared" si="16"/>
        <v>#REF!</v>
      </c>
      <c r="K37" s="334" t="e">
        <f t="shared" si="16"/>
        <v>#REF!</v>
      </c>
      <c r="L37" s="334" t="e">
        <f t="shared" ref="L37:R37" si="17">ROUND(L35/(1+L32)^L36,0)</f>
        <v>#REF!</v>
      </c>
      <c r="M37" s="334" t="e">
        <f t="shared" si="17"/>
        <v>#REF!</v>
      </c>
      <c r="N37" s="334" t="e">
        <f t="shared" si="17"/>
        <v>#REF!</v>
      </c>
      <c r="O37" s="334" t="e">
        <f t="shared" si="17"/>
        <v>#REF!</v>
      </c>
      <c r="P37" s="334" t="e">
        <f t="shared" si="17"/>
        <v>#REF!</v>
      </c>
      <c r="Q37" s="334" t="e">
        <f t="shared" si="17"/>
        <v>#REF!</v>
      </c>
      <c r="R37" s="334">
        <f t="shared" si="17"/>
        <v>0</v>
      </c>
      <c r="S37" s="358"/>
      <c r="T37" s="358"/>
      <c r="U37" s="363"/>
      <c r="V37" s="241"/>
      <c r="W37" s="367"/>
    </row>
    <row r="38" spans="1:28">
      <c r="A38" s="229" t="s">
        <v>347</v>
      </c>
      <c r="B38" s="232" t="s">
        <v>77</v>
      </c>
      <c r="C38" s="1268" t="e">
        <f>ROUND(SUM(C37:T37),0)</f>
        <v>#REF!</v>
      </c>
      <c r="D38" s="1269"/>
      <c r="E38" s="1269"/>
      <c r="F38" s="1269"/>
      <c r="G38" s="1269"/>
      <c r="H38" s="1269"/>
      <c r="I38" s="1269"/>
      <c r="J38" s="1269"/>
      <c r="K38" s="1269"/>
      <c r="L38" s="1269"/>
      <c r="M38" s="431"/>
      <c r="N38" s="431"/>
      <c r="O38" s="431"/>
      <c r="P38" s="431"/>
      <c r="Q38" s="359"/>
      <c r="R38" s="359"/>
      <c r="S38" s="359"/>
      <c r="T38" s="359"/>
      <c r="U38" s="359"/>
      <c r="V38" s="359"/>
      <c r="W38" s="359"/>
      <c r="X38" s="359"/>
      <c r="Y38" s="359"/>
      <c r="Z38" s="368"/>
      <c r="AA38" s="363"/>
      <c r="AB38" s="367"/>
    </row>
    <row r="39" spans="1:28">
      <c r="A39" s="229" t="s">
        <v>348</v>
      </c>
      <c r="B39" s="230" t="s">
        <v>76</v>
      </c>
      <c r="C39" s="1259" t="e">
        <f>ROUND(C38*10000/(#REF!+#REF!),0)</f>
        <v>#REF!</v>
      </c>
      <c r="D39" s="1260"/>
      <c r="E39" s="1260"/>
      <c r="F39" s="1260"/>
      <c r="G39" s="1260"/>
      <c r="H39" s="1260"/>
      <c r="I39" s="1260"/>
      <c r="J39" s="1260"/>
      <c r="K39" s="1260"/>
      <c r="L39" s="1260"/>
      <c r="M39" s="340"/>
      <c r="N39" s="340"/>
      <c r="O39" s="340"/>
      <c r="P39" s="340"/>
      <c r="Q39" s="360"/>
      <c r="R39" s="360"/>
      <c r="S39" s="360"/>
      <c r="T39" s="360"/>
      <c r="U39" s="360"/>
      <c r="V39" s="360"/>
      <c r="W39" s="360"/>
      <c r="X39" s="360"/>
      <c r="Y39" s="360"/>
      <c r="Z39" s="370"/>
      <c r="AA39" s="363"/>
      <c r="AB39" s="367"/>
    </row>
    <row r="42" spans="1:28">
      <c r="B42" s="95" t="s">
        <v>349</v>
      </c>
      <c r="C42" s="96">
        <f>ROUND(T4*C19/10000*C43,0)</f>
        <v>18</v>
      </c>
      <c r="D42" s="97"/>
      <c r="E42" s="97"/>
    </row>
    <row r="43" spans="1:28" ht="24">
      <c r="B43" s="98" t="s">
        <v>350</v>
      </c>
      <c r="C43" s="99">
        <v>0.1</v>
      </c>
      <c r="D43" s="98" t="s">
        <v>351</v>
      </c>
      <c r="E43" s="99"/>
    </row>
    <row r="44" spans="1:28">
      <c r="B44" s="1261" t="s">
        <v>352</v>
      </c>
      <c r="C44" s="1262"/>
      <c r="D44" s="1262"/>
      <c r="E44" s="1263"/>
    </row>
    <row r="45" spans="1:28">
      <c r="B45" s="1264" t="s">
        <v>353</v>
      </c>
      <c r="C45" s="1264"/>
      <c r="D45" s="1265" t="s">
        <v>354</v>
      </c>
      <c r="E45" s="1266"/>
    </row>
    <row r="46" spans="1:28">
      <c r="B46" s="95" t="s">
        <v>355</v>
      </c>
      <c r="C46" s="100" t="e">
        <f>C42/C31</f>
        <v>#REF!</v>
      </c>
      <c r="D46" s="101"/>
      <c r="E46" s="100"/>
    </row>
    <row r="47" spans="1:28">
      <c r="B47" s="95" t="s">
        <v>356</v>
      </c>
      <c r="C47" s="100" t="e">
        <f>1-C46</f>
        <v>#REF!</v>
      </c>
      <c r="D47" s="101"/>
      <c r="E47" s="102"/>
    </row>
  </sheetData>
  <mergeCells count="11">
    <mergeCell ref="C39:L39"/>
    <mergeCell ref="B44:E44"/>
    <mergeCell ref="B45:C45"/>
    <mergeCell ref="D45:E45"/>
    <mergeCell ref="A2:B3"/>
    <mergeCell ref="C38:L38"/>
    <mergeCell ref="A1:B1"/>
    <mergeCell ref="A4:B4"/>
    <mergeCell ref="A5:B5"/>
    <mergeCell ref="A6:B6"/>
    <mergeCell ref="S22:T22"/>
  </mergeCells>
  <phoneticPr fontId="93" type="noConversion"/>
  <pageMargins left="0.70833333333333337" right="0.70833333333333337" top="0.74791666666666667" bottom="0.74791666666666667" header="0.31458333333333333" footer="0.31458333333333333"/>
  <pageSetup paperSize="9" scale="4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50"/>
  </sheetPr>
  <dimension ref="B1:N24"/>
  <sheetViews>
    <sheetView view="pageBreakPreview" workbookViewId="0">
      <selection activeCell="A25" sqref="A25:IV40"/>
    </sheetView>
  </sheetViews>
  <sheetFormatPr defaultRowHeight="13.5"/>
  <cols>
    <col min="1" max="1" width="2.625" style="45" customWidth="1"/>
    <col min="2" max="2" width="6.125" style="46" customWidth="1"/>
    <col min="3" max="3" width="17.875" style="45" customWidth="1"/>
    <col min="4" max="4" width="9.75" style="45" bestFit="1" customWidth="1"/>
    <col min="5" max="5" width="13.25" style="45" customWidth="1"/>
    <col min="6" max="6" width="13" style="45" customWidth="1"/>
    <col min="7" max="7" width="11.875" style="45" customWidth="1"/>
    <col min="8" max="8" width="25" style="45" bestFit="1" customWidth="1"/>
    <col min="9" max="9" width="9" style="45"/>
    <col min="10" max="10" width="10.625" style="45" bestFit="1" customWidth="1"/>
    <col min="11" max="11" width="9.125" style="45" bestFit="1" customWidth="1"/>
    <col min="12" max="16384" width="9" style="45"/>
  </cols>
  <sheetData>
    <row r="1" spans="2:11">
      <c r="B1" s="1275" t="s">
        <v>544</v>
      </c>
      <c r="C1" s="1276"/>
      <c r="D1" s="1276"/>
      <c r="E1" s="1276"/>
      <c r="F1" s="1276"/>
      <c r="G1" s="1276"/>
      <c r="H1" s="1277"/>
    </row>
    <row r="2" spans="2:11">
      <c r="B2" s="1278" t="s">
        <v>358</v>
      </c>
      <c r="C2" s="1278"/>
      <c r="D2" s="1278"/>
      <c r="E2" s="1278"/>
      <c r="F2" s="1278"/>
      <c r="G2" s="1278"/>
      <c r="H2" s="1278"/>
    </row>
    <row r="3" spans="2:11" customFormat="1">
      <c r="B3" s="58" t="s">
        <v>69</v>
      </c>
      <c r="C3" s="59" t="s">
        <v>87</v>
      </c>
      <c r="D3" s="60" t="s">
        <v>75</v>
      </c>
      <c r="E3" s="61" t="s">
        <v>41</v>
      </c>
      <c r="F3" s="61" t="s">
        <v>359</v>
      </c>
      <c r="G3" s="61" t="s">
        <v>360</v>
      </c>
      <c r="H3" s="62"/>
    </row>
    <row r="4" spans="2:11" customFormat="1">
      <c r="B4" s="58">
        <v>1.1000000000000001</v>
      </c>
      <c r="C4" s="63" t="s">
        <v>361</v>
      </c>
      <c r="D4" s="60">
        <f>SUM(D5:D7)</f>
        <v>3500</v>
      </c>
      <c r="E4" s="64">
        <f>SUM(E5:E7)</f>
        <v>1</v>
      </c>
      <c r="F4" s="61"/>
      <c r="G4" s="65"/>
      <c r="H4" s="66"/>
    </row>
    <row r="5" spans="2:11" customFormat="1">
      <c r="B5" s="58" t="str">
        <f>[2]成本法!B42</f>
        <v>1.1.1</v>
      </c>
      <c r="C5" s="66" t="s">
        <v>545</v>
      </c>
      <c r="D5" s="60">
        <f>ROUND(F5*E5,0)</f>
        <v>3500</v>
      </c>
      <c r="E5" s="64">
        <v>1</v>
      </c>
      <c r="F5" s="64">
        <v>3500</v>
      </c>
      <c r="G5" s="65"/>
      <c r="H5" s="66"/>
      <c r="K5" t="e">
        <f>#REF!/E5*10000/365</f>
        <v>#REF!</v>
      </c>
    </row>
    <row r="6" spans="2:11" customFormat="1">
      <c r="B6" s="58" t="str">
        <f>[2]成本法!B43</f>
        <v>1.1.2</v>
      </c>
      <c r="C6" s="66" t="str">
        <f>[2]成本法!C43</f>
        <v>地下非配套公建</v>
      </c>
      <c r="D6" s="60">
        <f>ROUND(F6*E6/10000,0)</f>
        <v>0</v>
      </c>
      <c r="E6" s="64">
        <f>[2]成本法!E43</f>
        <v>0</v>
      </c>
      <c r="F6" s="64">
        <f>[2]成本法!F43</f>
        <v>0</v>
      </c>
      <c r="G6" s="65"/>
      <c r="H6" s="66"/>
    </row>
    <row r="7" spans="2:11" customFormat="1">
      <c r="B7" s="58" t="str">
        <f>[2]成本法!B44</f>
        <v>1.1.3</v>
      </c>
      <c r="C7" s="66" t="str">
        <f>[2]成本法!C44</f>
        <v>地下车库及其他用房</v>
      </c>
      <c r="D7" s="60">
        <f>ROUND(F7*E7/10000,0)</f>
        <v>0</v>
      </c>
      <c r="E7" s="64">
        <f>[2]成本法!E44</f>
        <v>0</v>
      </c>
      <c r="F7" s="64">
        <f>[2]成本法!F44</f>
        <v>0</v>
      </c>
      <c r="G7" s="65"/>
      <c r="H7" s="66"/>
    </row>
    <row r="8" spans="2:11" customFormat="1">
      <c r="B8" s="58">
        <v>1.2</v>
      </c>
      <c r="C8" s="63" t="s">
        <v>362</v>
      </c>
      <c r="D8" s="60">
        <f>ROUND(D4*G8,0)</f>
        <v>175</v>
      </c>
      <c r="E8" s="67"/>
      <c r="F8" s="67"/>
      <c r="G8" s="65">
        <f>'建筑（住）'!G8</f>
        <v>0.05</v>
      </c>
      <c r="H8" s="66" t="s">
        <v>363</v>
      </c>
    </row>
    <row r="9" spans="2:11" customFormat="1">
      <c r="B9" s="58">
        <v>1.3</v>
      </c>
      <c r="C9" s="63" t="s">
        <v>364</v>
      </c>
      <c r="D9" s="60">
        <f>ROUND(D4*G9,0)</f>
        <v>0</v>
      </c>
      <c r="E9" s="67"/>
      <c r="F9" s="67"/>
      <c r="G9" s="65">
        <v>0</v>
      </c>
      <c r="H9" s="66" t="s">
        <v>365</v>
      </c>
    </row>
    <row r="10" spans="2:11" customFormat="1">
      <c r="B10" s="58">
        <v>1.4</v>
      </c>
      <c r="C10" s="63" t="s">
        <v>366</v>
      </c>
      <c r="D10" s="60">
        <f>ROUND(F10*E10,0)</f>
        <v>200</v>
      </c>
      <c r="E10" s="64">
        <f>E4</f>
        <v>1</v>
      </c>
      <c r="F10" s="61">
        <v>200</v>
      </c>
      <c r="G10" s="63"/>
      <c r="H10" s="66" t="s">
        <v>367</v>
      </c>
    </row>
    <row r="11" spans="2:11" customFormat="1">
      <c r="B11" s="58">
        <v>1.5</v>
      </c>
      <c r="C11" s="63" t="s">
        <v>368</v>
      </c>
      <c r="D11" s="60">
        <f>ROUND(D4*G11,0)</f>
        <v>53</v>
      </c>
      <c r="E11" s="67"/>
      <c r="F11" s="67"/>
      <c r="G11" s="68">
        <f>'建筑（住）'!G11</f>
        <v>1.4999999999999999E-2</v>
      </c>
      <c r="H11" s="66" t="s">
        <v>369</v>
      </c>
    </row>
    <row r="12" spans="2:11" customFormat="1">
      <c r="B12" s="58">
        <v>1</v>
      </c>
      <c r="C12" s="63" t="s">
        <v>370</v>
      </c>
      <c r="D12" s="60">
        <f>SUM(D5:D11)</f>
        <v>3928</v>
      </c>
      <c r="E12" s="63"/>
      <c r="F12" s="67"/>
      <c r="G12" s="67"/>
      <c r="H12" s="69" t="s">
        <v>371</v>
      </c>
    </row>
    <row r="13" spans="2:11" customFormat="1">
      <c r="B13" s="58">
        <v>2</v>
      </c>
      <c r="C13" s="63" t="s">
        <v>331</v>
      </c>
      <c r="D13" s="60">
        <f>ROUND(D12*G13,0)</f>
        <v>118</v>
      </c>
      <c r="E13" s="70"/>
      <c r="F13" s="70"/>
      <c r="G13" s="71">
        <f>'建筑（住）'!G13</f>
        <v>0.03</v>
      </c>
      <c r="H13" s="66" t="s">
        <v>372</v>
      </c>
    </row>
    <row r="14" spans="2:11" customFormat="1">
      <c r="B14" s="58">
        <v>3</v>
      </c>
      <c r="C14" s="63" t="s">
        <v>373</v>
      </c>
      <c r="D14" s="60" t="s">
        <v>239</v>
      </c>
      <c r="E14" s="67"/>
      <c r="F14" s="67"/>
      <c r="G14" s="71">
        <f>'建筑（住）'!G14</f>
        <v>0.03</v>
      </c>
      <c r="H14" s="66" t="s">
        <v>374</v>
      </c>
    </row>
    <row r="15" spans="2:11" customFormat="1">
      <c r="B15" s="58">
        <v>4</v>
      </c>
      <c r="C15" s="72" t="s">
        <v>375</v>
      </c>
      <c r="D15" s="1279"/>
      <c r="E15" s="1280"/>
      <c r="F15" s="1280"/>
      <c r="G15" s="1280"/>
      <c r="H15" s="1281"/>
    </row>
    <row r="16" spans="2:11" customFormat="1" ht="24">
      <c r="B16" s="58">
        <v>4.0999999999999996</v>
      </c>
      <c r="C16" s="63" t="s">
        <v>378</v>
      </c>
      <c r="D16" s="60">
        <f>ROUND((D12+D13)*G16*G17/2,0)</f>
        <v>373</v>
      </c>
      <c r="E16" s="63"/>
      <c r="F16" s="67"/>
      <c r="G16" s="149">
        <f>[2]成本法!G53</f>
        <v>6.1499999999999999E-2</v>
      </c>
      <c r="H16" s="67" t="s">
        <v>379</v>
      </c>
      <c r="I16" s="103" t="s">
        <v>376</v>
      </c>
      <c r="J16" s="104">
        <v>0</v>
      </c>
      <c r="K16" s="1272" t="s">
        <v>377</v>
      </c>
    </row>
    <row r="17" spans="2:14" customFormat="1" ht="24">
      <c r="B17" s="58">
        <v>4.2</v>
      </c>
      <c r="C17" s="63" t="s">
        <v>381</v>
      </c>
      <c r="D17" s="74">
        <f>ROUND(G14*G17*G16/2,4)</f>
        <v>2.8E-3</v>
      </c>
      <c r="E17" s="63"/>
      <c r="F17" s="67"/>
      <c r="G17" s="150">
        <v>3</v>
      </c>
      <c r="H17" s="67" t="s">
        <v>382</v>
      </c>
      <c r="I17" s="103" t="s">
        <v>380</v>
      </c>
      <c r="J17" s="106">
        <v>14</v>
      </c>
      <c r="K17" s="1273"/>
    </row>
    <row r="18" spans="2:14" customFormat="1" ht="24">
      <c r="B18" s="58">
        <v>5</v>
      </c>
      <c r="C18" s="72" t="s">
        <v>384</v>
      </c>
      <c r="D18" s="1279"/>
      <c r="E18" s="1280"/>
      <c r="F18" s="1280"/>
      <c r="G18" s="1280"/>
      <c r="H18" s="1281"/>
      <c r="I18" s="103" t="s">
        <v>383</v>
      </c>
      <c r="J18" s="106">
        <v>60</v>
      </c>
      <c r="K18" s="1273"/>
    </row>
    <row r="19" spans="2:14" customFormat="1">
      <c r="B19" s="58">
        <v>5.0999999999999996</v>
      </c>
      <c r="C19" s="63" t="s">
        <v>386</v>
      </c>
      <c r="D19" s="60">
        <f>ROUND((D12+D13)*G19,0)</f>
        <v>1214</v>
      </c>
      <c r="E19" s="63"/>
      <c r="F19" s="67"/>
      <c r="G19" s="1270">
        <v>0.3</v>
      </c>
      <c r="H19" s="67" t="s">
        <v>387</v>
      </c>
      <c r="I19" s="108" t="s">
        <v>385</v>
      </c>
      <c r="J19" s="109">
        <f>ROUND(1-(1-J16)*J17/J18,2)</f>
        <v>0.77</v>
      </c>
      <c r="K19" s="1274"/>
    </row>
    <row r="20" spans="2:14" customFormat="1">
      <c r="B20" s="58">
        <v>5.2</v>
      </c>
      <c r="C20" s="63" t="s">
        <v>388</v>
      </c>
      <c r="D20" s="74">
        <f>ROUND(G14*G19,4)</f>
        <v>8.9999999999999993E-3</v>
      </c>
      <c r="E20" s="63"/>
      <c r="F20" s="67"/>
      <c r="G20" s="1271"/>
      <c r="H20" s="67" t="s">
        <v>389</v>
      </c>
    </row>
    <row r="21" spans="2:14" customFormat="1">
      <c r="B21" s="58">
        <v>6</v>
      </c>
      <c r="C21" s="72" t="s">
        <v>390</v>
      </c>
      <c r="D21" s="60" t="s">
        <v>239</v>
      </c>
      <c r="E21" s="59"/>
      <c r="F21" s="59"/>
      <c r="G21" s="71">
        <f>'建筑（住）'!G21</f>
        <v>5.6000000000000001E-2</v>
      </c>
      <c r="H21" s="66" t="s">
        <v>391</v>
      </c>
    </row>
    <row r="22" spans="2:14" customFormat="1">
      <c r="B22" s="58">
        <v>7</v>
      </c>
      <c r="C22" s="72" t="s">
        <v>392</v>
      </c>
      <c r="D22" s="60">
        <f>ROUND((D12+D13+D16+D19)/(1-G14-D17-D20-G21),0)</f>
        <v>6244</v>
      </c>
      <c r="E22" s="72"/>
      <c r="F22" s="72"/>
      <c r="G22" s="76"/>
      <c r="H22" s="66" t="s">
        <v>393</v>
      </c>
    </row>
    <row r="23" spans="2:14" customFormat="1">
      <c r="B23" s="58">
        <v>8</v>
      </c>
      <c r="C23" s="72" t="s">
        <v>394</v>
      </c>
      <c r="D23" s="60" t="s">
        <v>239</v>
      </c>
      <c r="E23" s="59"/>
      <c r="F23" s="59"/>
      <c r="G23" s="77">
        <f>J19</f>
        <v>0.77</v>
      </c>
      <c r="H23" s="66"/>
      <c r="J23" s="45"/>
      <c r="K23" s="45"/>
      <c r="L23" s="45"/>
      <c r="N23" s="105"/>
    </row>
    <row r="24" spans="2:14" customFormat="1">
      <c r="B24" s="58">
        <v>9</v>
      </c>
      <c r="C24" s="72" t="s">
        <v>80</v>
      </c>
      <c r="D24" s="60">
        <f>ROUND(D22*G23,0)</f>
        <v>4808</v>
      </c>
      <c r="E24" s="59"/>
      <c r="F24" s="59"/>
      <c r="G24" s="71"/>
      <c r="H24" s="66" t="s">
        <v>395</v>
      </c>
      <c r="J24" s="45"/>
      <c r="K24" s="45"/>
      <c r="L24" s="45"/>
      <c r="N24" s="107"/>
    </row>
  </sheetData>
  <mergeCells count="6">
    <mergeCell ref="K16:K19"/>
    <mergeCell ref="B1:H1"/>
    <mergeCell ref="B2:H2"/>
    <mergeCell ref="D15:H15"/>
    <mergeCell ref="D18:H18"/>
    <mergeCell ref="G19:G20"/>
  </mergeCells>
  <phoneticPr fontId="93" type="noConversion"/>
  <pageMargins left="0.69861111111111107" right="0.69861111111111107" top="0.75" bottom="0.75" header="0.3" footer="0.3"/>
  <pageSetup paperSize="9" scale="65" orientation="portrait"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indexed="40"/>
  </sheetPr>
  <dimension ref="A1:S59"/>
  <sheetViews>
    <sheetView topLeftCell="A25" workbookViewId="0">
      <selection activeCell="S48" sqref="S48"/>
    </sheetView>
  </sheetViews>
  <sheetFormatPr defaultRowHeight="13.5"/>
  <cols>
    <col min="1" max="10" width="9" style="376"/>
    <col min="11" max="11" width="11.125" style="376" bestFit="1" customWidth="1"/>
    <col min="12" max="12" width="9.625" style="376" bestFit="1" customWidth="1"/>
    <col min="13" max="13" width="9" style="376"/>
    <col min="14" max="14" width="13.125" style="376" bestFit="1" customWidth="1"/>
    <col min="15" max="15" width="9" style="376"/>
    <col min="16" max="16" width="9.625" style="376" bestFit="1" customWidth="1"/>
    <col min="17" max="16384" width="9" style="376"/>
  </cols>
  <sheetData>
    <row r="1" spans="1:19" s="371" customFormat="1" ht="14.45" customHeight="1">
      <c r="A1" s="377"/>
      <c r="B1" s="377" t="s">
        <v>546</v>
      </c>
      <c r="C1" s="378" t="s">
        <v>547</v>
      </c>
      <c r="D1" s="378" t="s">
        <v>548</v>
      </c>
      <c r="E1" s="378" t="s">
        <v>549</v>
      </c>
      <c r="F1" s="1283" t="s">
        <v>550</v>
      </c>
      <c r="G1" s="1285" t="s">
        <v>550</v>
      </c>
      <c r="H1" s="1285" t="s">
        <v>551</v>
      </c>
      <c r="I1" s="1283" t="s">
        <v>552</v>
      </c>
      <c r="J1" s="1285" t="s">
        <v>553</v>
      </c>
      <c r="K1" s="1283" t="s">
        <v>554</v>
      </c>
      <c r="L1" s="1285" t="s">
        <v>554</v>
      </c>
      <c r="M1" s="1285" t="s">
        <v>555</v>
      </c>
      <c r="N1" s="379" t="s">
        <v>556</v>
      </c>
      <c r="O1" s="409"/>
      <c r="P1" s="1285" t="s">
        <v>557</v>
      </c>
      <c r="Q1" s="417" t="s">
        <v>558</v>
      </c>
      <c r="R1" s="1289" t="s">
        <v>559</v>
      </c>
      <c r="S1" s="1290"/>
    </row>
    <row r="2" spans="1:19" s="372" customFormat="1" ht="30" customHeight="1">
      <c r="A2" s="380"/>
      <c r="B2" s="380"/>
      <c r="C2" s="372" t="s">
        <v>560</v>
      </c>
      <c r="D2" s="372" t="s">
        <v>560</v>
      </c>
      <c r="E2" s="372" t="s">
        <v>560</v>
      </c>
      <c r="F2" s="1291"/>
      <c r="G2" s="1292"/>
      <c r="H2" s="1292"/>
      <c r="I2" s="1291"/>
      <c r="J2" s="1292"/>
      <c r="K2" s="1291"/>
      <c r="L2" s="1292"/>
      <c r="M2" s="1292"/>
      <c r="N2" s="381" t="s">
        <v>561</v>
      </c>
      <c r="O2" s="410"/>
      <c r="P2" s="1292"/>
      <c r="Q2" s="418" t="s">
        <v>562</v>
      </c>
      <c r="R2" s="419" t="s">
        <v>110</v>
      </c>
      <c r="S2" s="420" t="s">
        <v>111</v>
      </c>
    </row>
    <row r="3" spans="1:19" s="372" customFormat="1" ht="45.75" customHeight="1">
      <c r="A3" s="382"/>
      <c r="B3" s="382"/>
      <c r="C3" s="383"/>
      <c r="D3" s="384"/>
      <c r="E3" s="384"/>
      <c r="F3" s="1284"/>
      <c r="G3" s="1286"/>
      <c r="H3" s="1286"/>
      <c r="I3" s="1284"/>
      <c r="J3" s="1286"/>
      <c r="K3" s="1284"/>
      <c r="L3" s="1286"/>
      <c r="M3" s="1286"/>
      <c r="N3" s="385" t="s">
        <v>424</v>
      </c>
      <c r="O3" s="411" t="s">
        <v>410</v>
      </c>
      <c r="P3" s="1286"/>
      <c r="Q3" s="421"/>
      <c r="R3" s="419"/>
      <c r="S3" s="420"/>
    </row>
    <row r="4" spans="1:19" s="372" customFormat="1" ht="14.45" customHeight="1">
      <c r="A4" s="386"/>
      <c r="B4" s="386"/>
      <c r="C4" s="387" t="s">
        <v>563</v>
      </c>
      <c r="D4" s="387" t="s">
        <v>563</v>
      </c>
      <c r="E4" s="387" t="s">
        <v>563</v>
      </c>
      <c r="F4" s="387" t="s">
        <v>564</v>
      </c>
      <c r="G4" s="387" t="s">
        <v>565</v>
      </c>
      <c r="H4" s="387" t="s">
        <v>113</v>
      </c>
      <c r="I4" s="412" t="s">
        <v>114</v>
      </c>
      <c r="J4" s="387" t="s">
        <v>113</v>
      </c>
      <c r="K4" s="387" t="s">
        <v>114</v>
      </c>
      <c r="L4" s="387" t="s">
        <v>113</v>
      </c>
      <c r="M4" s="387" t="s">
        <v>113</v>
      </c>
      <c r="N4" s="387" t="s">
        <v>114</v>
      </c>
      <c r="O4" s="413"/>
      <c r="P4" s="387" t="s">
        <v>113</v>
      </c>
      <c r="Q4" s="387"/>
      <c r="R4" s="419"/>
      <c r="S4" s="420"/>
    </row>
    <row r="5" spans="1:19" s="373" customFormat="1" ht="15" customHeight="1">
      <c r="A5" s="388" t="s">
        <v>566</v>
      </c>
      <c r="B5" s="389" t="s">
        <v>567</v>
      </c>
      <c r="C5" s="390">
        <v>1883.08</v>
      </c>
      <c r="D5" s="391">
        <f t="shared" ref="D5:D10" si="0">C5</f>
        <v>1883.08</v>
      </c>
      <c r="E5" s="391"/>
      <c r="F5" s="392">
        <v>122</v>
      </c>
      <c r="G5" s="391">
        <f t="shared" ref="G5:G22" si="1">F5/6.2</f>
        <v>19.677419354838708</v>
      </c>
      <c r="H5" s="391">
        <f t="shared" ref="H5:H12" si="2">M5/D5</f>
        <v>16.233870967741932</v>
      </c>
      <c r="I5" s="391">
        <f t="shared" ref="I5:I22" si="3">N5/D5</f>
        <v>100.64999999999998</v>
      </c>
      <c r="J5" s="391">
        <f>28/8</f>
        <v>3.5</v>
      </c>
      <c r="K5" s="390">
        <f t="shared" ref="K5:K22" si="4">D5*F5</f>
        <v>229735.75999999998</v>
      </c>
      <c r="L5" s="390">
        <f>D5*G5</f>
        <v>37054.15483870967</v>
      </c>
      <c r="M5" s="390">
        <f>L5*(33)/40</f>
        <v>30569.677741935477</v>
      </c>
      <c r="N5" s="390">
        <f t="shared" ref="N5:N22" si="5">M5*6.2</f>
        <v>189532.00199999995</v>
      </c>
      <c r="O5" s="414">
        <f>N5/D5/30</f>
        <v>3.3549999999999991</v>
      </c>
      <c r="P5" s="390">
        <f t="shared" ref="P5:P10" si="6">D5*J5</f>
        <v>6590.78</v>
      </c>
      <c r="Q5" s="389" t="s">
        <v>568</v>
      </c>
      <c r="R5" s="422">
        <v>40432</v>
      </c>
      <c r="S5" s="423">
        <v>41649</v>
      </c>
    </row>
    <row r="6" spans="1:19" s="373" customFormat="1" ht="15" customHeight="1">
      <c r="A6" s="393" t="s">
        <v>569</v>
      </c>
      <c r="B6" s="393" t="s">
        <v>570</v>
      </c>
      <c r="C6" s="390">
        <v>901.98</v>
      </c>
      <c r="D6" s="391">
        <f t="shared" si="0"/>
        <v>901.98</v>
      </c>
      <c r="E6" s="391" t="s">
        <v>424</v>
      </c>
      <c r="F6" s="391">
        <v>132</v>
      </c>
      <c r="G6" s="391">
        <f t="shared" si="1"/>
        <v>21.29032258064516</v>
      </c>
      <c r="H6" s="394">
        <f>M6/C6</f>
        <v>19.516129032258064</v>
      </c>
      <c r="I6" s="391">
        <f t="shared" si="3"/>
        <v>121.00000000000001</v>
      </c>
      <c r="J6" s="391">
        <f>28/8</f>
        <v>3.5</v>
      </c>
      <c r="K6" s="391">
        <f t="shared" si="4"/>
        <v>119061.36</v>
      </c>
      <c r="L6" s="391">
        <f>D6*G6</f>
        <v>19203.445161290321</v>
      </c>
      <c r="M6" s="391">
        <f>L6*(36-3)/36</f>
        <v>17603.15806451613</v>
      </c>
      <c r="N6" s="391">
        <f t="shared" si="5"/>
        <v>109139.58000000002</v>
      </c>
      <c r="O6" s="415">
        <f t="shared" ref="O6:O13" si="7">N6/30/D6</f>
        <v>4.0333333333333332</v>
      </c>
      <c r="P6" s="391">
        <f t="shared" si="6"/>
        <v>3156.9300000000003</v>
      </c>
      <c r="Q6" s="389" t="s">
        <v>423</v>
      </c>
      <c r="R6" s="422">
        <v>40568</v>
      </c>
      <c r="S6" s="423">
        <v>41663</v>
      </c>
    </row>
    <row r="7" spans="1:19" s="373" customFormat="1" ht="15" customHeight="1">
      <c r="A7" s="393" t="s">
        <v>571</v>
      </c>
      <c r="B7" s="393">
        <v>1209</v>
      </c>
      <c r="C7" s="390">
        <f>1055.45-C6</f>
        <v>153.47000000000003</v>
      </c>
      <c r="D7" s="391">
        <f t="shared" si="0"/>
        <v>153.47000000000003</v>
      </c>
      <c r="E7" s="391" t="s">
        <v>424</v>
      </c>
      <c r="F7" s="391">
        <v>132</v>
      </c>
      <c r="G7" s="391">
        <f t="shared" si="1"/>
        <v>21.29032258064516</v>
      </c>
      <c r="H7" s="394">
        <f>M7/C7</f>
        <v>19.516129032258064</v>
      </c>
      <c r="I7" s="391">
        <f t="shared" si="3"/>
        <v>121</v>
      </c>
      <c r="J7" s="391">
        <f>28/8</f>
        <v>3.5</v>
      </c>
      <c r="K7" s="391">
        <f t="shared" si="4"/>
        <v>20258.040000000005</v>
      </c>
      <c r="L7" s="391">
        <f>D7*G7</f>
        <v>3267.4258064516134</v>
      </c>
      <c r="M7" s="391">
        <f>L7*(36-3)/36</f>
        <v>2995.1403225806457</v>
      </c>
      <c r="N7" s="391">
        <f t="shared" si="5"/>
        <v>18569.870000000003</v>
      </c>
      <c r="O7" s="415">
        <f t="shared" si="7"/>
        <v>4.0333333333333332</v>
      </c>
      <c r="P7" s="391">
        <f t="shared" si="6"/>
        <v>537.1450000000001</v>
      </c>
      <c r="Q7" s="389" t="s">
        <v>423</v>
      </c>
      <c r="R7" s="422">
        <v>40568</v>
      </c>
      <c r="S7" s="423">
        <v>41663</v>
      </c>
    </row>
    <row r="8" spans="1:19" s="373" customFormat="1" ht="15" customHeight="1">
      <c r="A8" s="393" t="s">
        <v>572</v>
      </c>
      <c r="B8" s="393" t="s">
        <v>573</v>
      </c>
      <c r="C8" s="390">
        <v>1055.45</v>
      </c>
      <c r="D8" s="391">
        <f t="shared" si="0"/>
        <v>1055.45</v>
      </c>
      <c r="E8" s="391" t="s">
        <v>424</v>
      </c>
      <c r="F8" s="391">
        <v>145</v>
      </c>
      <c r="G8" s="391">
        <f t="shared" si="1"/>
        <v>23.387096774193548</v>
      </c>
      <c r="H8" s="394">
        <f>M8/C8</f>
        <v>21.438172043010752</v>
      </c>
      <c r="I8" s="391">
        <f t="shared" si="3"/>
        <v>132.91666666666666</v>
      </c>
      <c r="J8" s="391">
        <f>28/8</f>
        <v>3.5</v>
      </c>
      <c r="K8" s="391">
        <f t="shared" si="4"/>
        <v>153040.25</v>
      </c>
      <c r="L8" s="391">
        <f>D8*G8</f>
        <v>24683.91129032258</v>
      </c>
      <c r="M8" s="391">
        <f>L8*(36-3)/36</f>
        <v>22626.918682795698</v>
      </c>
      <c r="N8" s="391">
        <f t="shared" si="5"/>
        <v>140286.89583333334</v>
      </c>
      <c r="O8" s="415">
        <f t="shared" si="7"/>
        <v>4.4305555555555562</v>
      </c>
      <c r="P8" s="391">
        <f t="shared" si="6"/>
        <v>3694.0750000000003</v>
      </c>
      <c r="Q8" s="389" t="s">
        <v>423</v>
      </c>
      <c r="R8" s="422">
        <v>40589</v>
      </c>
      <c r="S8" s="423">
        <v>41684</v>
      </c>
    </row>
    <row r="9" spans="1:19" s="373" customFormat="1" ht="15" customHeight="1">
      <c r="A9" s="393" t="s">
        <v>574</v>
      </c>
      <c r="B9" s="393" t="s">
        <v>575</v>
      </c>
      <c r="C9" s="390">
        <v>153.47</v>
      </c>
      <c r="D9" s="391">
        <f t="shared" si="0"/>
        <v>153.47</v>
      </c>
      <c r="E9" s="391"/>
      <c r="F9" s="391">
        <v>280</v>
      </c>
      <c r="G9" s="391">
        <f t="shared" si="1"/>
        <v>45.161290322580641</v>
      </c>
      <c r="H9" s="394">
        <f t="shared" si="2"/>
        <v>45.161290322580641</v>
      </c>
      <c r="I9" s="391">
        <f t="shared" si="3"/>
        <v>280</v>
      </c>
      <c r="J9" s="391">
        <f>28/8</f>
        <v>3.5</v>
      </c>
      <c r="K9" s="391">
        <f t="shared" si="4"/>
        <v>42971.6</v>
      </c>
      <c r="L9" s="391">
        <f>D9*G9</f>
        <v>6930.9032258064508</v>
      </c>
      <c r="M9" s="391">
        <f>L9*(24)/24</f>
        <v>6930.9032258064508</v>
      </c>
      <c r="N9" s="391">
        <f t="shared" si="5"/>
        <v>42971.6</v>
      </c>
      <c r="O9" s="415">
        <f t="shared" si="7"/>
        <v>9.3333333333333321</v>
      </c>
      <c r="P9" s="391">
        <f t="shared" si="6"/>
        <v>537.14499999999998</v>
      </c>
      <c r="Q9" s="389" t="s">
        <v>144</v>
      </c>
      <c r="R9" s="422">
        <v>40969</v>
      </c>
      <c r="S9" s="423">
        <v>41698</v>
      </c>
    </row>
    <row r="10" spans="1:19" s="373" customFormat="1" ht="15" customHeight="1">
      <c r="A10" s="393" t="s">
        <v>576</v>
      </c>
      <c r="B10" s="393" t="s">
        <v>577</v>
      </c>
      <c r="C10" s="390">
        <v>565.28</v>
      </c>
      <c r="D10" s="391">
        <f t="shared" si="0"/>
        <v>565.28</v>
      </c>
      <c r="E10" s="391"/>
      <c r="F10" s="391">
        <v>152</v>
      </c>
      <c r="G10" s="391">
        <f t="shared" si="1"/>
        <v>24.516129032258064</v>
      </c>
      <c r="H10" s="394">
        <f t="shared" si="2"/>
        <v>22.473118279569896</v>
      </c>
      <c r="I10" s="391">
        <f t="shared" si="3"/>
        <v>139.33333333333334</v>
      </c>
      <c r="J10" s="391">
        <v>3.5</v>
      </c>
      <c r="K10" s="391">
        <f t="shared" si="4"/>
        <v>85922.559999999998</v>
      </c>
      <c r="L10" s="391">
        <f>G10*D10</f>
        <v>13858.477419354838</v>
      </c>
      <c r="M10" s="391">
        <f>L10*33/36</f>
        <v>12703.604301075269</v>
      </c>
      <c r="N10" s="391">
        <f t="shared" si="5"/>
        <v>78762.346666666665</v>
      </c>
      <c r="O10" s="415">
        <f t="shared" si="7"/>
        <v>4.6444444444444448</v>
      </c>
      <c r="P10" s="391">
        <f t="shared" si="6"/>
        <v>1978.48</v>
      </c>
      <c r="Q10" s="389" t="s">
        <v>423</v>
      </c>
      <c r="R10" s="422">
        <v>40589</v>
      </c>
      <c r="S10" s="423">
        <v>41684</v>
      </c>
    </row>
    <row r="11" spans="1:19" s="374" customFormat="1" ht="18" customHeight="1">
      <c r="A11" s="395" t="s">
        <v>578</v>
      </c>
      <c r="B11" s="395" t="s">
        <v>579</v>
      </c>
      <c r="C11" s="390">
        <f>4934.86-117-20</f>
        <v>4797.8599999999997</v>
      </c>
      <c r="D11" s="391">
        <f>4934.86-84-117+7.5-50+30+84</f>
        <v>4805.3599999999997</v>
      </c>
      <c r="E11" s="391" t="s">
        <v>424</v>
      </c>
      <c r="F11" s="396">
        <v>130</v>
      </c>
      <c r="G11" s="391">
        <f t="shared" si="1"/>
        <v>20.967741935483872</v>
      </c>
      <c r="H11" s="396">
        <f t="shared" si="2"/>
        <v>17.473118279569896</v>
      </c>
      <c r="I11" s="391">
        <f t="shared" si="3"/>
        <v>108.33333333333334</v>
      </c>
      <c r="J11" s="391">
        <f>28/8</f>
        <v>3.5</v>
      </c>
      <c r="K11" s="391">
        <f t="shared" si="4"/>
        <v>624696.79999999993</v>
      </c>
      <c r="L11" s="391">
        <f>G11*D11</f>
        <v>100757.54838709677</v>
      </c>
      <c r="M11" s="391">
        <f>L11*30/36</f>
        <v>83964.62365591398</v>
      </c>
      <c r="N11" s="391">
        <f t="shared" si="5"/>
        <v>520580.66666666669</v>
      </c>
      <c r="O11" s="415">
        <f t="shared" si="7"/>
        <v>3.6111111111111116</v>
      </c>
      <c r="P11" s="391">
        <f>J11*D11</f>
        <v>16818.759999999998</v>
      </c>
      <c r="Q11" s="389" t="s">
        <v>423</v>
      </c>
      <c r="R11" s="423">
        <v>40582</v>
      </c>
      <c r="S11" s="422">
        <v>41677</v>
      </c>
    </row>
    <row r="12" spans="1:19" s="374" customFormat="1" ht="12.75">
      <c r="A12" s="397" t="s">
        <v>580</v>
      </c>
      <c r="B12" s="397" t="s">
        <v>581</v>
      </c>
      <c r="C12" s="396">
        <f>117+20</f>
        <v>137</v>
      </c>
      <c r="D12" s="391">
        <f t="shared" ref="D12:D18" si="8">C12</f>
        <v>137</v>
      </c>
      <c r="E12" s="391"/>
      <c r="F12" s="396">
        <v>130</v>
      </c>
      <c r="G12" s="391">
        <f t="shared" si="1"/>
        <v>20.967741935483872</v>
      </c>
      <c r="H12" s="396">
        <f t="shared" si="2"/>
        <v>17.473118279569892</v>
      </c>
      <c r="I12" s="391">
        <f t="shared" si="3"/>
        <v>108.33333333333334</v>
      </c>
      <c r="J12" s="391">
        <f>28/8</f>
        <v>3.5</v>
      </c>
      <c r="K12" s="391">
        <f t="shared" si="4"/>
        <v>17810</v>
      </c>
      <c r="L12" s="391">
        <f>G12*D12</f>
        <v>2872.5806451612902</v>
      </c>
      <c r="M12" s="391">
        <f>L12*30/36</f>
        <v>2393.8172043010754</v>
      </c>
      <c r="N12" s="391">
        <f t="shared" si="5"/>
        <v>14841.666666666668</v>
      </c>
      <c r="O12" s="415">
        <f t="shared" si="7"/>
        <v>3.6111111111111116</v>
      </c>
      <c r="P12" s="391">
        <f>J12*D12</f>
        <v>479.5</v>
      </c>
      <c r="Q12" s="389" t="s">
        <v>423</v>
      </c>
      <c r="R12" s="424">
        <v>40582</v>
      </c>
      <c r="S12" s="422">
        <v>41677</v>
      </c>
    </row>
    <row r="13" spans="1:19" s="373" customFormat="1" ht="15" customHeight="1">
      <c r="A13" s="393" t="s">
        <v>582</v>
      </c>
      <c r="B13" s="393" t="s">
        <v>583</v>
      </c>
      <c r="C13" s="390">
        <v>248.13</v>
      </c>
      <c r="D13" s="391">
        <f t="shared" si="8"/>
        <v>248.13</v>
      </c>
      <c r="E13" s="391" t="s">
        <v>424</v>
      </c>
      <c r="F13" s="391">
        <v>142</v>
      </c>
      <c r="G13" s="391">
        <f t="shared" si="1"/>
        <v>22.903225806451612</v>
      </c>
      <c r="H13" s="394">
        <f>M13/C13</f>
        <v>22.903225806451612</v>
      </c>
      <c r="I13" s="391">
        <f t="shared" si="3"/>
        <v>142</v>
      </c>
      <c r="J13" s="391">
        <f>28/8</f>
        <v>3.5</v>
      </c>
      <c r="K13" s="391">
        <f t="shared" si="4"/>
        <v>35234.46</v>
      </c>
      <c r="L13" s="391">
        <f>D13*G13</f>
        <v>5682.9774193548383</v>
      </c>
      <c r="M13" s="391">
        <f>L13*(36-0)/36</f>
        <v>5682.9774193548383</v>
      </c>
      <c r="N13" s="391">
        <f t="shared" si="5"/>
        <v>35234.46</v>
      </c>
      <c r="O13" s="415">
        <f t="shared" si="7"/>
        <v>4.7333333333333334</v>
      </c>
      <c r="P13" s="391">
        <f t="shared" ref="P13:P22" si="9">D13*J13</f>
        <v>868.45499999999993</v>
      </c>
      <c r="Q13" s="389" t="s">
        <v>423</v>
      </c>
      <c r="R13" s="422">
        <v>40589</v>
      </c>
      <c r="S13" s="423">
        <v>41684</v>
      </c>
    </row>
    <row r="14" spans="1:19" s="373" customFormat="1" ht="15" customHeight="1">
      <c r="A14" s="388" t="s">
        <v>584</v>
      </c>
      <c r="B14" s="389" t="s">
        <v>585</v>
      </c>
      <c r="C14" s="390">
        <v>408.19</v>
      </c>
      <c r="D14" s="391">
        <v>367.36</v>
      </c>
      <c r="E14" s="391" t="s">
        <v>424</v>
      </c>
      <c r="F14" s="392">
        <v>110</v>
      </c>
      <c r="G14" s="391">
        <f t="shared" si="1"/>
        <v>17.741935483870968</v>
      </c>
      <c r="H14" s="391">
        <f t="shared" ref="H14:H19" si="10">M14/D14</f>
        <v>16.263440860215056</v>
      </c>
      <c r="I14" s="391">
        <f t="shared" si="3"/>
        <v>100.83333333333334</v>
      </c>
      <c r="J14" s="391">
        <f>28/8</f>
        <v>3.5</v>
      </c>
      <c r="K14" s="390">
        <f t="shared" si="4"/>
        <v>40409.599999999999</v>
      </c>
      <c r="L14" s="390">
        <f>D14*G14</f>
        <v>6517.677419354839</v>
      </c>
      <c r="M14" s="390">
        <f>L14*(33)/36</f>
        <v>5974.5376344086026</v>
      </c>
      <c r="N14" s="390">
        <f t="shared" si="5"/>
        <v>37042.133333333339</v>
      </c>
      <c r="O14" s="414">
        <f>N14/D14/30</f>
        <v>3.3611111111111116</v>
      </c>
      <c r="P14" s="390">
        <f t="shared" si="9"/>
        <v>1285.76</v>
      </c>
      <c r="Q14" s="389" t="s">
        <v>423</v>
      </c>
      <c r="R14" s="422">
        <v>40634</v>
      </c>
      <c r="S14" s="423">
        <v>41729</v>
      </c>
    </row>
    <row r="15" spans="1:19" s="373" customFormat="1" ht="15" customHeight="1">
      <c r="A15" s="393" t="s">
        <v>586</v>
      </c>
      <c r="B15" s="393" t="s">
        <v>587</v>
      </c>
      <c r="C15" s="390">
        <v>263.91000000000003</v>
      </c>
      <c r="D15" s="391">
        <f t="shared" si="8"/>
        <v>263.91000000000003</v>
      </c>
      <c r="E15" s="391" t="s">
        <v>424</v>
      </c>
      <c r="F15" s="391">
        <v>157</v>
      </c>
      <c r="G15" s="391">
        <f t="shared" si="1"/>
        <v>25.322580645161288</v>
      </c>
      <c r="H15" s="394">
        <f>M15/C15</f>
        <v>24.619175627240143</v>
      </c>
      <c r="I15" s="391">
        <f t="shared" si="3"/>
        <v>152.63888888888889</v>
      </c>
      <c r="J15" s="391">
        <f>28/8</f>
        <v>3.5</v>
      </c>
      <c r="K15" s="391">
        <f t="shared" si="4"/>
        <v>41433.870000000003</v>
      </c>
      <c r="L15" s="391">
        <f>D15*G15</f>
        <v>6682.8822580645165</v>
      </c>
      <c r="M15" s="391">
        <f>L15*(36-1)/36</f>
        <v>6497.2466397849466</v>
      </c>
      <c r="N15" s="391">
        <f t="shared" si="5"/>
        <v>40282.929166666669</v>
      </c>
      <c r="O15" s="415">
        <f>N15/30/D15</f>
        <v>5.0879629629629628</v>
      </c>
      <c r="P15" s="391">
        <f t="shared" si="9"/>
        <v>923.68500000000006</v>
      </c>
      <c r="Q15" s="389" t="s">
        <v>423</v>
      </c>
      <c r="R15" s="422">
        <v>40634</v>
      </c>
      <c r="S15" s="423">
        <v>41729</v>
      </c>
    </row>
    <row r="16" spans="1:19" s="373" customFormat="1" ht="15" customHeight="1">
      <c r="A16" s="393" t="s">
        <v>588</v>
      </c>
      <c r="B16" s="393" t="s">
        <v>589</v>
      </c>
      <c r="C16" s="390">
        <v>242.04</v>
      </c>
      <c r="D16" s="391">
        <f t="shared" si="8"/>
        <v>242.04</v>
      </c>
      <c r="E16" s="391"/>
      <c r="F16" s="391">
        <v>178.5</v>
      </c>
      <c r="G16" s="391">
        <f t="shared" si="1"/>
        <v>28.79032258064516</v>
      </c>
      <c r="H16" s="394">
        <f t="shared" si="10"/>
        <v>26.391129032258061</v>
      </c>
      <c r="I16" s="391">
        <f t="shared" si="3"/>
        <v>163.625</v>
      </c>
      <c r="J16" s="391">
        <v>3.5</v>
      </c>
      <c r="K16" s="391">
        <f t="shared" si="4"/>
        <v>43204.14</v>
      </c>
      <c r="L16" s="391">
        <f>G16*D16</f>
        <v>6968.409677419354</v>
      </c>
      <c r="M16" s="391">
        <f>L16*33/36</f>
        <v>6387.7088709677409</v>
      </c>
      <c r="N16" s="391">
        <f t="shared" si="5"/>
        <v>39603.794999999998</v>
      </c>
      <c r="O16" s="415">
        <f>N16/30/D16</f>
        <v>5.4541666666666666</v>
      </c>
      <c r="P16" s="391">
        <f t="shared" si="9"/>
        <v>847.14</v>
      </c>
      <c r="Q16" s="389" t="s">
        <v>423</v>
      </c>
      <c r="R16" s="422">
        <v>40611</v>
      </c>
      <c r="S16" s="423">
        <v>41706</v>
      </c>
    </row>
    <row r="17" spans="1:19" s="373" customFormat="1" ht="15" customHeight="1">
      <c r="A17" s="393" t="s">
        <v>590</v>
      </c>
      <c r="B17" s="393" t="s">
        <v>591</v>
      </c>
      <c r="C17" s="390">
        <v>238.02</v>
      </c>
      <c r="D17" s="391">
        <f t="shared" si="8"/>
        <v>238.02</v>
      </c>
      <c r="E17" s="391"/>
      <c r="F17" s="391">
        <v>300</v>
      </c>
      <c r="G17" s="391">
        <f t="shared" si="1"/>
        <v>48.387096774193544</v>
      </c>
      <c r="H17" s="391">
        <f t="shared" si="10"/>
        <v>48.387096774193544</v>
      </c>
      <c r="I17" s="391">
        <f t="shared" si="3"/>
        <v>300</v>
      </c>
      <c r="J17" s="391">
        <f t="shared" ref="J17:J22" si="11">28/8</f>
        <v>3.5</v>
      </c>
      <c r="K17" s="390">
        <f t="shared" si="4"/>
        <v>71406</v>
      </c>
      <c r="L17" s="390">
        <f t="shared" ref="L17:L22" si="12">D17*G17</f>
        <v>11517.096774193547</v>
      </c>
      <c r="M17" s="390">
        <f t="shared" ref="M17:M22" si="13">L17*(36)/36</f>
        <v>11517.096774193547</v>
      </c>
      <c r="N17" s="390">
        <f t="shared" si="5"/>
        <v>71406</v>
      </c>
      <c r="O17" s="415">
        <f>N17/30/D17</f>
        <v>9.9999999999999982</v>
      </c>
      <c r="P17" s="390">
        <f t="shared" si="9"/>
        <v>833.07</v>
      </c>
      <c r="Q17" s="389" t="s">
        <v>121</v>
      </c>
      <c r="R17" s="422">
        <v>41370</v>
      </c>
      <c r="S17" s="423">
        <v>41734</v>
      </c>
    </row>
    <row r="18" spans="1:19" s="373" customFormat="1" ht="12.75" customHeight="1">
      <c r="A18" s="397" t="s">
        <v>592</v>
      </c>
      <c r="B18" s="842" t="s">
        <v>593</v>
      </c>
      <c r="C18" s="390">
        <v>153.47999999999999</v>
      </c>
      <c r="D18" s="391">
        <f t="shared" si="8"/>
        <v>153.47999999999999</v>
      </c>
      <c r="E18" s="391" t="s">
        <v>424</v>
      </c>
      <c r="F18" s="391">
        <v>272</v>
      </c>
      <c r="G18" s="391">
        <f t="shared" si="1"/>
        <v>43.87096774193548</v>
      </c>
      <c r="H18" s="394">
        <f t="shared" si="10"/>
        <v>43.87096774193548</v>
      </c>
      <c r="I18" s="391">
        <f t="shared" si="3"/>
        <v>271.99999999999994</v>
      </c>
      <c r="J18" s="391">
        <v>3.5</v>
      </c>
      <c r="K18" s="391">
        <f t="shared" si="4"/>
        <v>41746.559999999998</v>
      </c>
      <c r="L18" s="391">
        <f>G18*D18</f>
        <v>6733.3161290322569</v>
      </c>
      <c r="M18" s="391">
        <f>L18*36/36</f>
        <v>6733.3161290322569</v>
      </c>
      <c r="N18" s="391">
        <f t="shared" si="5"/>
        <v>41746.55999999999</v>
      </c>
      <c r="O18" s="415">
        <f>N18/30/D18</f>
        <v>9.0666666666666647</v>
      </c>
      <c r="P18" s="391">
        <f t="shared" si="9"/>
        <v>537.17999999999995</v>
      </c>
      <c r="Q18" s="389" t="s">
        <v>144</v>
      </c>
      <c r="R18" s="422">
        <v>41091</v>
      </c>
      <c r="S18" s="423">
        <v>41820</v>
      </c>
    </row>
    <row r="19" spans="1:19" s="373" customFormat="1" ht="15" customHeight="1">
      <c r="A19" s="397" t="s">
        <v>594</v>
      </c>
      <c r="B19" s="389" t="s">
        <v>595</v>
      </c>
      <c r="C19" s="390">
        <v>242.96</v>
      </c>
      <c r="D19" s="391">
        <v>218.66</v>
      </c>
      <c r="E19" s="391"/>
      <c r="F19" s="392">
        <v>162</v>
      </c>
      <c r="G19" s="391">
        <f t="shared" si="1"/>
        <v>26.129032258064516</v>
      </c>
      <c r="H19" s="391">
        <f t="shared" si="10"/>
        <v>24.677419354838708</v>
      </c>
      <c r="I19" s="391">
        <f t="shared" si="3"/>
        <v>152.99999999999997</v>
      </c>
      <c r="J19" s="391">
        <f t="shared" si="11"/>
        <v>3.5</v>
      </c>
      <c r="K19" s="390">
        <f t="shared" si="4"/>
        <v>35422.92</v>
      </c>
      <c r="L19" s="390">
        <f t="shared" si="12"/>
        <v>5713.3741935483868</v>
      </c>
      <c r="M19" s="390">
        <f>L19*(36-2)/36</f>
        <v>5395.9645161290318</v>
      </c>
      <c r="N19" s="390">
        <f t="shared" si="5"/>
        <v>33454.979999999996</v>
      </c>
      <c r="O19" s="414">
        <f>N19/D19/30</f>
        <v>5.0999999999999988</v>
      </c>
      <c r="P19" s="390">
        <f t="shared" si="9"/>
        <v>765.31</v>
      </c>
      <c r="Q19" s="389" t="s">
        <v>423</v>
      </c>
      <c r="R19" s="422">
        <v>40756</v>
      </c>
      <c r="S19" s="423">
        <v>41851</v>
      </c>
    </row>
    <row r="20" spans="1:19" s="373" customFormat="1" ht="15" customHeight="1">
      <c r="A20" s="393" t="s">
        <v>596</v>
      </c>
      <c r="B20" s="393" t="s">
        <v>597</v>
      </c>
      <c r="C20" s="390">
        <v>323.62</v>
      </c>
      <c r="D20" s="391">
        <f>C20</f>
        <v>323.62</v>
      </c>
      <c r="E20" s="391" t="s">
        <v>424</v>
      </c>
      <c r="F20" s="391">
        <v>220</v>
      </c>
      <c r="G20" s="391">
        <f t="shared" si="1"/>
        <v>35.483870967741936</v>
      </c>
      <c r="H20" s="394">
        <f>M20/C20</f>
        <v>33.512544802867382</v>
      </c>
      <c r="I20" s="391">
        <f t="shared" si="3"/>
        <v>207.77777777777777</v>
      </c>
      <c r="J20" s="391">
        <f t="shared" si="11"/>
        <v>3.5</v>
      </c>
      <c r="K20" s="391">
        <f t="shared" si="4"/>
        <v>71196.399999999994</v>
      </c>
      <c r="L20" s="391">
        <f t="shared" si="12"/>
        <v>11483.290322580646</v>
      </c>
      <c r="M20" s="391">
        <f>L20*(36-2)/36</f>
        <v>10845.329749103943</v>
      </c>
      <c r="N20" s="391">
        <f t="shared" si="5"/>
        <v>67241.044444444444</v>
      </c>
      <c r="O20" s="415">
        <f>N20/30/D20</f>
        <v>6.9259259259259256</v>
      </c>
      <c r="P20" s="391">
        <f t="shared" si="9"/>
        <v>1132.67</v>
      </c>
      <c r="Q20" s="389" t="s">
        <v>423</v>
      </c>
      <c r="R20" s="422">
        <v>40801</v>
      </c>
      <c r="S20" s="423">
        <v>41896</v>
      </c>
    </row>
    <row r="21" spans="1:19" s="373" customFormat="1" ht="15" customHeight="1">
      <c r="A21" s="398" t="s">
        <v>598</v>
      </c>
      <c r="B21" s="389" t="s">
        <v>599</v>
      </c>
      <c r="C21" s="390">
        <v>560.41</v>
      </c>
      <c r="D21" s="391">
        <f>C21</f>
        <v>560.41</v>
      </c>
      <c r="E21" s="391"/>
      <c r="F21" s="392">
        <v>210</v>
      </c>
      <c r="G21" s="391">
        <f t="shared" si="1"/>
        <v>33.87096774193548</v>
      </c>
      <c r="H21" s="391">
        <f>M21/D21</f>
        <v>33.87096774193548</v>
      </c>
      <c r="I21" s="391">
        <f t="shared" si="3"/>
        <v>209.99999999999997</v>
      </c>
      <c r="J21" s="391">
        <f t="shared" si="11"/>
        <v>3.5</v>
      </c>
      <c r="K21" s="390">
        <f t="shared" si="4"/>
        <v>117686.09999999999</v>
      </c>
      <c r="L21" s="390">
        <f t="shared" si="12"/>
        <v>18981.629032258061</v>
      </c>
      <c r="M21" s="390">
        <f t="shared" si="13"/>
        <v>18981.629032258061</v>
      </c>
      <c r="N21" s="390">
        <f t="shared" si="5"/>
        <v>117686.09999999998</v>
      </c>
      <c r="O21" s="414">
        <f>N21/D21/30</f>
        <v>6.9999999999999991</v>
      </c>
      <c r="P21" s="390">
        <f t="shared" si="9"/>
        <v>1961.4349999999999</v>
      </c>
      <c r="Q21" s="389" t="s">
        <v>423</v>
      </c>
      <c r="R21" s="422">
        <v>40878</v>
      </c>
      <c r="S21" s="423">
        <v>41973</v>
      </c>
    </row>
    <row r="22" spans="1:19" s="373" customFormat="1" ht="15" customHeight="1">
      <c r="A22" s="388" t="s">
        <v>600</v>
      </c>
      <c r="B22" s="389" t="s">
        <v>601</v>
      </c>
      <c r="C22" s="390">
        <v>1072.1300000000001</v>
      </c>
      <c r="D22" s="391">
        <f>C22</f>
        <v>1072.1300000000001</v>
      </c>
      <c r="E22" s="391"/>
      <c r="F22" s="392">
        <v>200</v>
      </c>
      <c r="G22" s="391">
        <f t="shared" si="1"/>
        <v>32.258064516129032</v>
      </c>
      <c r="H22" s="391">
        <f>M22/D22</f>
        <v>32.258064516129032</v>
      </c>
      <c r="I22" s="391">
        <f t="shared" si="3"/>
        <v>200</v>
      </c>
      <c r="J22" s="391">
        <f t="shared" si="11"/>
        <v>3.5</v>
      </c>
      <c r="K22" s="391">
        <f t="shared" si="4"/>
        <v>214426.00000000003</v>
      </c>
      <c r="L22" s="390">
        <f t="shared" si="12"/>
        <v>34584.838709677424</v>
      </c>
      <c r="M22" s="390">
        <f t="shared" si="13"/>
        <v>34584.838709677424</v>
      </c>
      <c r="N22" s="390">
        <f t="shared" si="5"/>
        <v>214426.00000000003</v>
      </c>
      <c r="O22" s="414">
        <f>N22/D22/30</f>
        <v>6.666666666666667</v>
      </c>
      <c r="P22" s="390">
        <f t="shared" si="9"/>
        <v>3752.4550000000004</v>
      </c>
      <c r="Q22" s="389" t="s">
        <v>423</v>
      </c>
      <c r="R22" s="422">
        <v>40878</v>
      </c>
      <c r="S22" s="423">
        <v>41973</v>
      </c>
    </row>
    <row r="23" spans="1:19" s="375" customFormat="1" ht="15" customHeight="1">
      <c r="A23" s="399"/>
      <c r="B23" s="399"/>
      <c r="C23" s="400"/>
      <c r="D23" s="401">
        <f>SUM(D5:D22)</f>
        <v>13342.850000000002</v>
      </c>
      <c r="E23" s="401"/>
      <c r="F23" s="401"/>
      <c r="G23" s="402"/>
      <c r="H23" s="403"/>
      <c r="I23" s="401"/>
      <c r="J23" s="401"/>
      <c r="K23" s="400"/>
      <c r="L23" s="400"/>
      <c r="M23" s="400"/>
      <c r="N23" s="400">
        <f>SUM(N5:N22)</f>
        <v>1812808.6297777775</v>
      </c>
      <c r="O23" s="401">
        <f>N23/30/D23</f>
        <v>4.5287891511877829</v>
      </c>
      <c r="P23" s="401"/>
      <c r="Q23" s="405"/>
      <c r="R23" s="425"/>
      <c r="S23" s="426"/>
    </row>
    <row r="24" spans="1:19" s="373" customFormat="1" ht="15" customHeight="1">
      <c r="A24" s="393" t="s">
        <v>582</v>
      </c>
      <c r="B24" s="393" t="s">
        <v>602</v>
      </c>
      <c r="C24" s="390">
        <v>283.64999999999998</v>
      </c>
      <c r="D24" s="391">
        <f t="shared" ref="D24:D29" si="14">C24</f>
        <v>283.64999999999998</v>
      </c>
      <c r="E24" s="391"/>
      <c r="F24" s="391">
        <v>252</v>
      </c>
      <c r="G24" s="391">
        <f t="shared" ref="G24:G48" si="15">F24/6.2</f>
        <v>40.645161290322577</v>
      </c>
      <c r="H24" s="394">
        <f t="shared" ref="H24:H37" si="16">M24/D24</f>
        <v>40.645161290322577</v>
      </c>
      <c r="I24" s="391">
        <f t="shared" ref="I24:I48" si="17">N24/D24</f>
        <v>251.99999999999997</v>
      </c>
      <c r="J24" s="391">
        <f t="shared" ref="J24:J48" si="18">28/8</f>
        <v>3.5</v>
      </c>
      <c r="K24" s="391">
        <f t="shared" ref="K24:K31" si="19">D24*F24</f>
        <v>71479.799999999988</v>
      </c>
      <c r="L24" s="391">
        <f t="shared" ref="L24:L48" si="20">D24*G24</f>
        <v>11528.999999999998</v>
      </c>
      <c r="M24" s="391">
        <f>L24*(36)/36</f>
        <v>11528.999999999998</v>
      </c>
      <c r="N24" s="391">
        <f t="shared" ref="N24:N48" si="21">M24*6.2</f>
        <v>71479.799999999988</v>
      </c>
      <c r="O24" s="415">
        <f>N24/30/D24</f>
        <v>8.3999999999999986</v>
      </c>
      <c r="P24" s="391">
        <f t="shared" ref="P24:P48" si="22">D24*J24</f>
        <v>992.77499999999986</v>
      </c>
      <c r="Q24" s="389" t="s">
        <v>423</v>
      </c>
      <c r="R24" s="422">
        <v>40940</v>
      </c>
      <c r="S24" s="423">
        <v>42035</v>
      </c>
    </row>
    <row r="25" spans="1:19" s="373" customFormat="1" ht="15" customHeight="1">
      <c r="A25" s="388" t="s">
        <v>603</v>
      </c>
      <c r="B25" s="389" t="s">
        <v>604</v>
      </c>
      <c r="C25" s="390">
        <v>1020.36</v>
      </c>
      <c r="D25" s="391">
        <f t="shared" si="14"/>
        <v>1020.36</v>
      </c>
      <c r="E25" s="391"/>
      <c r="F25" s="392">
        <v>240</v>
      </c>
      <c r="G25" s="391">
        <f t="shared" si="15"/>
        <v>38.70967741935484</v>
      </c>
      <c r="H25" s="391">
        <f t="shared" si="16"/>
        <v>38.70967741935484</v>
      </c>
      <c r="I25" s="391">
        <f t="shared" si="17"/>
        <v>240</v>
      </c>
      <c r="J25" s="391">
        <f t="shared" si="18"/>
        <v>3.5</v>
      </c>
      <c r="K25" s="390">
        <f t="shared" si="19"/>
        <v>244886.39999999999</v>
      </c>
      <c r="L25" s="390">
        <f t="shared" si="20"/>
        <v>39497.806451612902</v>
      </c>
      <c r="M25" s="390">
        <f>L25*(36)/36</f>
        <v>39497.806451612902</v>
      </c>
      <c r="N25" s="390">
        <f t="shared" si="21"/>
        <v>244886.39999999999</v>
      </c>
      <c r="O25" s="414">
        <f>N25/D25/30</f>
        <v>8</v>
      </c>
      <c r="P25" s="390">
        <f t="shared" si="22"/>
        <v>3571.26</v>
      </c>
      <c r="Q25" s="389" t="s">
        <v>423</v>
      </c>
      <c r="R25" s="422">
        <v>40940</v>
      </c>
      <c r="S25" s="423">
        <v>42035</v>
      </c>
    </row>
    <row r="26" spans="1:19" s="373" customFormat="1" ht="15" customHeight="1">
      <c r="A26" s="393" t="s">
        <v>605</v>
      </c>
      <c r="B26" s="393" t="s">
        <v>606</v>
      </c>
      <c r="C26" s="390">
        <v>175.88</v>
      </c>
      <c r="D26" s="391">
        <f t="shared" si="14"/>
        <v>175.88</v>
      </c>
      <c r="E26" s="391"/>
      <c r="F26" s="391">
        <v>280</v>
      </c>
      <c r="G26" s="391">
        <f t="shared" si="15"/>
        <v>45.161290322580641</v>
      </c>
      <c r="H26" s="394">
        <f t="shared" si="16"/>
        <v>41.397849462365585</v>
      </c>
      <c r="I26" s="391">
        <f t="shared" si="17"/>
        <v>256.66666666666663</v>
      </c>
      <c r="J26" s="391">
        <f t="shared" si="18"/>
        <v>3.5</v>
      </c>
      <c r="K26" s="391">
        <f t="shared" si="19"/>
        <v>49246.400000000001</v>
      </c>
      <c r="L26" s="391">
        <f t="shared" si="20"/>
        <v>7942.967741935483</v>
      </c>
      <c r="M26" s="391">
        <f>L26*(33)/36</f>
        <v>7281.0537634408593</v>
      </c>
      <c r="N26" s="391">
        <f t="shared" si="21"/>
        <v>45142.533333333326</v>
      </c>
      <c r="O26" s="415">
        <f>N26/30/D26</f>
        <v>8.5555555555555554</v>
      </c>
      <c r="P26" s="391">
        <f t="shared" si="22"/>
        <v>615.57999999999993</v>
      </c>
      <c r="Q26" s="389" t="s">
        <v>423</v>
      </c>
      <c r="R26" s="422">
        <v>40954</v>
      </c>
      <c r="S26" s="423">
        <v>42049</v>
      </c>
    </row>
    <row r="27" spans="1:19" s="373" customFormat="1" ht="15" customHeight="1">
      <c r="A27" s="393" t="s">
        <v>607</v>
      </c>
      <c r="B27" s="393" t="s">
        <v>608</v>
      </c>
      <c r="C27" s="390">
        <v>59.17</v>
      </c>
      <c r="D27" s="391">
        <f t="shared" si="14"/>
        <v>59.17</v>
      </c>
      <c r="E27" s="391"/>
      <c r="F27" s="391">
        <v>280</v>
      </c>
      <c r="G27" s="391">
        <f t="shared" si="15"/>
        <v>45.161290322580641</v>
      </c>
      <c r="H27" s="394">
        <f t="shared" si="16"/>
        <v>41.397849462365585</v>
      </c>
      <c r="I27" s="391">
        <f t="shared" si="17"/>
        <v>256.66666666666663</v>
      </c>
      <c r="J27" s="391">
        <f t="shared" si="18"/>
        <v>3.5</v>
      </c>
      <c r="K27" s="391">
        <f t="shared" si="19"/>
        <v>16567.600000000002</v>
      </c>
      <c r="L27" s="391">
        <f t="shared" si="20"/>
        <v>2672.1935483870966</v>
      </c>
      <c r="M27" s="391">
        <f>L27*(33)/36</f>
        <v>2449.5107526881716</v>
      </c>
      <c r="N27" s="391">
        <f t="shared" si="21"/>
        <v>15186.966666666664</v>
      </c>
      <c r="O27" s="415">
        <f>N27/30/D27</f>
        <v>8.5555555555555536</v>
      </c>
      <c r="P27" s="391">
        <f t="shared" si="22"/>
        <v>207.095</v>
      </c>
      <c r="Q27" s="389" t="s">
        <v>423</v>
      </c>
      <c r="R27" s="422">
        <v>40954</v>
      </c>
      <c r="S27" s="423">
        <v>42049</v>
      </c>
    </row>
    <row r="28" spans="1:19" s="373" customFormat="1" ht="15" customHeight="1">
      <c r="A28" s="393" t="s">
        <v>609</v>
      </c>
      <c r="B28" s="393" t="s">
        <v>610</v>
      </c>
      <c r="C28" s="390">
        <v>88.57</v>
      </c>
      <c r="D28" s="391">
        <f t="shared" si="14"/>
        <v>88.57</v>
      </c>
      <c r="E28" s="391"/>
      <c r="F28" s="391">
        <v>270</v>
      </c>
      <c r="G28" s="391">
        <f t="shared" si="15"/>
        <v>43.548387096774192</v>
      </c>
      <c r="H28" s="394">
        <f t="shared" si="16"/>
        <v>42.338709677419359</v>
      </c>
      <c r="I28" s="391">
        <f t="shared" si="17"/>
        <v>262.5</v>
      </c>
      <c r="J28" s="391">
        <f t="shared" si="18"/>
        <v>3.5</v>
      </c>
      <c r="K28" s="391">
        <f t="shared" si="19"/>
        <v>23913.899999999998</v>
      </c>
      <c r="L28" s="391">
        <f t="shared" si="20"/>
        <v>3857.0806451612898</v>
      </c>
      <c r="M28" s="391">
        <f>L28*(35)/36</f>
        <v>3749.9395161290322</v>
      </c>
      <c r="N28" s="391">
        <f t="shared" si="21"/>
        <v>23249.625</v>
      </c>
      <c r="O28" s="415">
        <f>N28/30/D28</f>
        <v>8.75</v>
      </c>
      <c r="P28" s="391">
        <f t="shared" si="22"/>
        <v>309.995</v>
      </c>
      <c r="Q28" s="389" t="s">
        <v>423</v>
      </c>
      <c r="R28" s="422">
        <v>40951</v>
      </c>
      <c r="S28" s="423">
        <v>42046</v>
      </c>
    </row>
    <row r="29" spans="1:19" s="373" customFormat="1" ht="15" customHeight="1">
      <c r="A29" s="393" t="s">
        <v>611</v>
      </c>
      <c r="B29" s="393" t="s">
        <v>612</v>
      </c>
      <c r="C29" s="390">
        <v>235.05</v>
      </c>
      <c r="D29" s="391">
        <f t="shared" si="14"/>
        <v>235.05</v>
      </c>
      <c r="E29" s="391"/>
      <c r="F29" s="391">
        <v>270</v>
      </c>
      <c r="G29" s="391">
        <f t="shared" si="15"/>
        <v>43.548387096774192</v>
      </c>
      <c r="H29" s="394">
        <f t="shared" si="16"/>
        <v>42.338709677419352</v>
      </c>
      <c r="I29" s="391">
        <f t="shared" si="17"/>
        <v>262.5</v>
      </c>
      <c r="J29" s="391">
        <f t="shared" si="18"/>
        <v>3.5</v>
      </c>
      <c r="K29" s="391">
        <f t="shared" si="19"/>
        <v>63463.5</v>
      </c>
      <c r="L29" s="391">
        <f t="shared" si="20"/>
        <v>10236.048387096775</v>
      </c>
      <c r="M29" s="391">
        <f>L29*(35)/36</f>
        <v>9951.7137096774186</v>
      </c>
      <c r="N29" s="391">
        <f t="shared" si="21"/>
        <v>61700.625</v>
      </c>
      <c r="O29" s="415">
        <f>N29/30/D29</f>
        <v>8.75</v>
      </c>
      <c r="P29" s="391">
        <f t="shared" si="22"/>
        <v>822.67500000000007</v>
      </c>
      <c r="Q29" s="389" t="s">
        <v>423</v>
      </c>
      <c r="R29" s="422">
        <v>40951</v>
      </c>
      <c r="S29" s="423">
        <v>42046</v>
      </c>
    </row>
    <row r="30" spans="1:19" s="374" customFormat="1" ht="12.75">
      <c r="A30" s="397" t="s">
        <v>613</v>
      </c>
      <c r="B30" s="397" t="s">
        <v>614</v>
      </c>
      <c r="C30" s="390">
        <v>2110.9</v>
      </c>
      <c r="D30" s="391">
        <v>2467.4299999999998</v>
      </c>
      <c r="E30" s="391"/>
      <c r="F30" s="391">
        <v>200</v>
      </c>
      <c r="G30" s="396">
        <f t="shared" si="15"/>
        <v>32.258064516129032</v>
      </c>
      <c r="H30" s="391">
        <f t="shared" si="16"/>
        <v>29.569892473118284</v>
      </c>
      <c r="I30" s="391">
        <f t="shared" si="17"/>
        <v>183.33333333333334</v>
      </c>
      <c r="J30" s="391">
        <f t="shared" si="18"/>
        <v>3.5</v>
      </c>
      <c r="K30" s="390">
        <f t="shared" si="19"/>
        <v>493485.99999999994</v>
      </c>
      <c r="L30" s="390">
        <f t="shared" si="20"/>
        <v>79594.516129032258</v>
      </c>
      <c r="M30" s="390">
        <f>(L30*33)/36</f>
        <v>72961.639784946237</v>
      </c>
      <c r="N30" s="390">
        <f t="shared" si="21"/>
        <v>452362.16666666669</v>
      </c>
      <c r="O30" s="415">
        <f>N30/30/D30</f>
        <v>6.1111111111111116</v>
      </c>
      <c r="P30" s="391">
        <f t="shared" si="22"/>
        <v>8636.0049999999992</v>
      </c>
      <c r="Q30" s="389" t="s">
        <v>423</v>
      </c>
      <c r="R30" s="422">
        <v>41044</v>
      </c>
      <c r="S30" s="423">
        <v>42138</v>
      </c>
    </row>
    <row r="31" spans="1:19" s="373" customFormat="1" ht="15" customHeight="1">
      <c r="A31" s="388" t="s">
        <v>615</v>
      </c>
      <c r="B31" s="393" t="s">
        <v>616</v>
      </c>
      <c r="C31" s="390">
        <v>1694.77</v>
      </c>
      <c r="D31" s="391">
        <f t="shared" ref="D31:D48" si="23">C31</f>
        <v>1694.77</v>
      </c>
      <c r="E31" s="391"/>
      <c r="F31" s="392">
        <v>250</v>
      </c>
      <c r="G31" s="391">
        <f t="shared" si="15"/>
        <v>40.322580645161288</v>
      </c>
      <c r="H31" s="391">
        <f t="shared" si="16"/>
        <v>40.322580645161288</v>
      </c>
      <c r="I31" s="391">
        <f t="shared" si="17"/>
        <v>250</v>
      </c>
      <c r="J31" s="391">
        <f t="shared" si="18"/>
        <v>3.5</v>
      </c>
      <c r="K31" s="390">
        <f t="shared" si="19"/>
        <v>423692.5</v>
      </c>
      <c r="L31" s="390">
        <f t="shared" si="20"/>
        <v>68337.5</v>
      </c>
      <c r="M31" s="390">
        <f>L31*(36)/36</f>
        <v>68337.5</v>
      </c>
      <c r="N31" s="390">
        <f t="shared" si="21"/>
        <v>423692.5</v>
      </c>
      <c r="O31" s="414">
        <f t="shared" ref="O31:O36" si="24">N31/D31/30</f>
        <v>8.3333333333333339</v>
      </c>
      <c r="P31" s="390">
        <f t="shared" si="22"/>
        <v>5931.6949999999997</v>
      </c>
      <c r="Q31" s="389" t="s">
        <v>423</v>
      </c>
      <c r="R31" s="422">
        <v>41061</v>
      </c>
      <c r="S31" s="423">
        <v>42155</v>
      </c>
    </row>
    <row r="32" spans="1:19" s="373" customFormat="1" ht="12.75" customHeight="1">
      <c r="A32" s="397" t="s">
        <v>617</v>
      </c>
      <c r="B32" s="397">
        <v>601</v>
      </c>
      <c r="C32" s="390">
        <v>149.04</v>
      </c>
      <c r="D32" s="391">
        <f t="shared" si="23"/>
        <v>149.04</v>
      </c>
      <c r="E32" s="391" t="s">
        <v>424</v>
      </c>
      <c r="F32" s="391">
        <v>280</v>
      </c>
      <c r="G32" s="391">
        <f t="shared" si="15"/>
        <v>45.161290322580641</v>
      </c>
      <c r="H32" s="394">
        <f t="shared" si="16"/>
        <v>41.397849462365585</v>
      </c>
      <c r="I32" s="391">
        <f t="shared" si="17"/>
        <v>256.66666666666669</v>
      </c>
      <c r="J32" s="391">
        <f t="shared" si="18"/>
        <v>3.5</v>
      </c>
      <c r="K32" s="391">
        <f>F32*D32</f>
        <v>41731.199999999997</v>
      </c>
      <c r="L32" s="391">
        <f t="shared" si="20"/>
        <v>6730.8387096774186</v>
      </c>
      <c r="M32" s="391">
        <f>L32*33/36</f>
        <v>6169.9354838709669</v>
      </c>
      <c r="N32" s="391">
        <f t="shared" si="21"/>
        <v>38253.599999999999</v>
      </c>
      <c r="O32" s="415">
        <f>N32/30/D32</f>
        <v>8.5555555555555554</v>
      </c>
      <c r="P32" s="391">
        <f t="shared" si="22"/>
        <v>521.64</v>
      </c>
      <c r="Q32" s="389" t="s">
        <v>423</v>
      </c>
      <c r="R32" s="422">
        <v>41044</v>
      </c>
      <c r="S32" s="423">
        <v>42138</v>
      </c>
    </row>
    <row r="33" spans="1:19" s="373" customFormat="1" ht="15" customHeight="1">
      <c r="A33" s="388" t="s">
        <v>618</v>
      </c>
      <c r="B33" s="393" t="s">
        <v>619</v>
      </c>
      <c r="C33" s="390">
        <f>453.67+50.43-219.1</f>
        <v>285</v>
      </c>
      <c r="D33" s="391">
        <f t="shared" si="23"/>
        <v>285</v>
      </c>
      <c r="E33" s="391"/>
      <c r="F33" s="392">
        <v>200</v>
      </c>
      <c r="G33" s="391">
        <f t="shared" si="15"/>
        <v>32.258064516129032</v>
      </c>
      <c r="H33" s="391">
        <f t="shared" si="16"/>
        <v>29.121863799283151</v>
      </c>
      <c r="I33" s="391">
        <f t="shared" si="17"/>
        <v>180.55555555555554</v>
      </c>
      <c r="J33" s="391">
        <f t="shared" si="18"/>
        <v>3.5</v>
      </c>
      <c r="K33" s="390">
        <f t="shared" ref="K33:K48" si="25">D33*F33</f>
        <v>57000</v>
      </c>
      <c r="L33" s="390">
        <f t="shared" si="20"/>
        <v>9193.5483870967746</v>
      </c>
      <c r="M33" s="390">
        <f>L33*(32.5)/36</f>
        <v>8299.7311827956983</v>
      </c>
      <c r="N33" s="390">
        <f t="shared" si="21"/>
        <v>51458.333333333328</v>
      </c>
      <c r="O33" s="414">
        <f t="shared" si="24"/>
        <v>6.0185185185185182</v>
      </c>
      <c r="P33" s="390">
        <f t="shared" si="22"/>
        <v>997.5</v>
      </c>
      <c r="Q33" s="389" t="s">
        <v>423</v>
      </c>
      <c r="R33" s="422">
        <v>41061</v>
      </c>
      <c r="S33" s="423">
        <v>42155</v>
      </c>
    </row>
    <row r="34" spans="1:19" s="373" customFormat="1" ht="15" customHeight="1">
      <c r="A34" s="388" t="s">
        <v>620</v>
      </c>
      <c r="B34" s="393" t="s">
        <v>621</v>
      </c>
      <c r="C34" s="390">
        <v>219.1</v>
      </c>
      <c r="D34" s="391">
        <f t="shared" si="23"/>
        <v>219.1</v>
      </c>
      <c r="E34" s="391"/>
      <c r="F34" s="392">
        <v>200</v>
      </c>
      <c r="G34" s="391">
        <f t="shared" si="15"/>
        <v>32.258064516129032</v>
      </c>
      <c r="H34" s="391">
        <f t="shared" si="16"/>
        <v>29.121863799283151</v>
      </c>
      <c r="I34" s="391">
        <f t="shared" si="17"/>
        <v>180.55555555555554</v>
      </c>
      <c r="J34" s="391">
        <f t="shared" si="18"/>
        <v>3.5</v>
      </c>
      <c r="K34" s="390">
        <f t="shared" si="25"/>
        <v>43820</v>
      </c>
      <c r="L34" s="390">
        <f t="shared" si="20"/>
        <v>7067.7419354838703</v>
      </c>
      <c r="M34" s="390">
        <f>L34*(32.5)/36</f>
        <v>6380.6003584229384</v>
      </c>
      <c r="N34" s="390">
        <f t="shared" si="21"/>
        <v>39559.722222222219</v>
      </c>
      <c r="O34" s="414">
        <f t="shared" si="24"/>
        <v>6.0185185185185182</v>
      </c>
      <c r="P34" s="390">
        <f t="shared" si="22"/>
        <v>766.85</v>
      </c>
      <c r="Q34" s="389" t="s">
        <v>423</v>
      </c>
      <c r="R34" s="422">
        <v>41061</v>
      </c>
      <c r="S34" s="423">
        <v>42155</v>
      </c>
    </row>
    <row r="35" spans="1:19" s="373" customFormat="1" ht="15" customHeight="1">
      <c r="A35" s="388" t="s">
        <v>622</v>
      </c>
      <c r="B35" s="393" t="s">
        <v>623</v>
      </c>
      <c r="C35" s="390">
        <v>188.31</v>
      </c>
      <c r="D35" s="391">
        <f t="shared" si="23"/>
        <v>188.31</v>
      </c>
      <c r="E35" s="391"/>
      <c r="F35" s="392">
        <v>250</v>
      </c>
      <c r="G35" s="391">
        <f t="shared" si="15"/>
        <v>40.322580645161288</v>
      </c>
      <c r="H35" s="391">
        <f t="shared" si="16"/>
        <v>40.322580645161288</v>
      </c>
      <c r="I35" s="391">
        <f t="shared" si="17"/>
        <v>250</v>
      </c>
      <c r="J35" s="391">
        <f t="shared" si="18"/>
        <v>3.5</v>
      </c>
      <c r="K35" s="390">
        <f t="shared" si="25"/>
        <v>47077.5</v>
      </c>
      <c r="L35" s="390">
        <f t="shared" si="20"/>
        <v>7593.145161290322</v>
      </c>
      <c r="M35" s="390">
        <f>L35*(36)/36</f>
        <v>7593.145161290322</v>
      </c>
      <c r="N35" s="390">
        <f t="shared" si="21"/>
        <v>47077.5</v>
      </c>
      <c r="O35" s="414">
        <f t="shared" si="24"/>
        <v>8.3333333333333339</v>
      </c>
      <c r="P35" s="390">
        <f t="shared" si="22"/>
        <v>659.08500000000004</v>
      </c>
      <c r="Q35" s="389" t="s">
        <v>423</v>
      </c>
      <c r="R35" s="422">
        <v>41061</v>
      </c>
      <c r="S35" s="423">
        <v>42155</v>
      </c>
    </row>
    <row r="36" spans="1:19" s="373" customFormat="1" ht="15" customHeight="1">
      <c r="A36" s="388" t="s">
        <v>624</v>
      </c>
      <c r="B36" s="389" t="s">
        <v>625</v>
      </c>
      <c r="C36" s="390">
        <v>1084.28</v>
      </c>
      <c r="D36" s="391">
        <f t="shared" si="23"/>
        <v>1084.28</v>
      </c>
      <c r="E36" s="391"/>
      <c r="F36" s="392">
        <v>177</v>
      </c>
      <c r="G36" s="391">
        <f t="shared" si="15"/>
        <v>28.548387096774192</v>
      </c>
      <c r="H36" s="391">
        <f t="shared" si="16"/>
        <v>27.358870967741932</v>
      </c>
      <c r="I36" s="391">
        <f t="shared" si="17"/>
        <v>169.625</v>
      </c>
      <c r="J36" s="391">
        <f t="shared" si="18"/>
        <v>3.5</v>
      </c>
      <c r="K36" s="390">
        <f t="shared" si="25"/>
        <v>191917.56</v>
      </c>
      <c r="L36" s="390">
        <f t="shared" si="20"/>
        <v>30954.445161290321</v>
      </c>
      <c r="M36" s="390">
        <f>L36*(69)/72</f>
        <v>29664.676612903222</v>
      </c>
      <c r="N36" s="390">
        <f t="shared" si="21"/>
        <v>183920.995</v>
      </c>
      <c r="O36" s="414">
        <f t="shared" si="24"/>
        <v>5.6541666666666668</v>
      </c>
      <c r="P36" s="390">
        <f t="shared" si="22"/>
        <v>3794.98</v>
      </c>
      <c r="Q36" s="389" t="s">
        <v>442</v>
      </c>
      <c r="R36" s="422">
        <v>39995</v>
      </c>
      <c r="S36" s="423">
        <v>42185</v>
      </c>
    </row>
    <row r="37" spans="1:19" s="373" customFormat="1" ht="15" customHeight="1">
      <c r="A37" s="393" t="s">
        <v>626</v>
      </c>
      <c r="B37" s="393" t="s">
        <v>627</v>
      </c>
      <c r="C37" s="390">
        <v>655.1</v>
      </c>
      <c r="D37" s="391">
        <f t="shared" si="23"/>
        <v>655.1</v>
      </c>
      <c r="E37" s="391"/>
      <c r="F37" s="391">
        <v>300</v>
      </c>
      <c r="G37" s="391">
        <f t="shared" si="15"/>
        <v>48.387096774193544</v>
      </c>
      <c r="H37" s="391">
        <f t="shared" si="16"/>
        <v>44.354838709677416</v>
      </c>
      <c r="I37" s="391">
        <f t="shared" si="17"/>
        <v>275</v>
      </c>
      <c r="J37" s="391">
        <f t="shared" si="18"/>
        <v>3.5</v>
      </c>
      <c r="K37" s="390">
        <f t="shared" si="25"/>
        <v>196530</v>
      </c>
      <c r="L37" s="390">
        <f t="shared" si="20"/>
        <v>31698.387096774193</v>
      </c>
      <c r="M37" s="390">
        <f>L37*(33)/36</f>
        <v>29056.854838709678</v>
      </c>
      <c r="N37" s="390">
        <f t="shared" si="21"/>
        <v>180152.5</v>
      </c>
      <c r="O37" s="415">
        <f>N37/30/D37</f>
        <v>9.1666666666666661</v>
      </c>
      <c r="P37" s="390">
        <f t="shared" si="22"/>
        <v>2292.85</v>
      </c>
      <c r="Q37" s="389" t="s">
        <v>423</v>
      </c>
      <c r="R37" s="422">
        <v>41091</v>
      </c>
      <c r="S37" s="423">
        <v>42185</v>
      </c>
    </row>
    <row r="38" spans="1:19" s="373" customFormat="1" ht="15" customHeight="1">
      <c r="A38" s="393" t="s">
        <v>628</v>
      </c>
      <c r="B38" s="393">
        <v>1109</v>
      </c>
      <c r="C38" s="390">
        <v>153.47</v>
      </c>
      <c r="D38" s="391">
        <f t="shared" si="23"/>
        <v>153.47</v>
      </c>
      <c r="E38" s="391"/>
      <c r="F38" s="391">
        <v>300</v>
      </c>
      <c r="G38" s="391">
        <f t="shared" si="15"/>
        <v>48.387096774193544</v>
      </c>
      <c r="H38" s="394">
        <f>G38</f>
        <v>48.387096774193544</v>
      </c>
      <c r="I38" s="391">
        <f t="shared" si="17"/>
        <v>275</v>
      </c>
      <c r="J38" s="391">
        <f t="shared" si="18"/>
        <v>3.5</v>
      </c>
      <c r="K38" s="391">
        <f t="shared" si="25"/>
        <v>46041</v>
      </c>
      <c r="L38" s="391">
        <f t="shared" si="20"/>
        <v>7425.967741935483</v>
      </c>
      <c r="M38" s="391">
        <f>L38*(24-2)/24</f>
        <v>6807.1370967741932</v>
      </c>
      <c r="N38" s="391">
        <f t="shared" si="21"/>
        <v>42204.25</v>
      </c>
      <c r="O38" s="391">
        <f>N38/30/D38</f>
        <v>9.1666666666666679</v>
      </c>
      <c r="P38" s="391">
        <f t="shared" si="22"/>
        <v>537.14499999999998</v>
      </c>
      <c r="Q38" s="389" t="s">
        <v>144</v>
      </c>
      <c r="R38" s="422">
        <v>41470</v>
      </c>
      <c r="S38" s="423">
        <v>42199</v>
      </c>
    </row>
    <row r="39" spans="1:19" s="373" customFormat="1" ht="15" customHeight="1">
      <c r="A39" s="388" t="s">
        <v>629</v>
      </c>
      <c r="B39" s="389" t="s">
        <v>630</v>
      </c>
      <c r="C39" s="390">
        <v>774.84</v>
      </c>
      <c r="D39" s="391">
        <f t="shared" si="23"/>
        <v>774.84</v>
      </c>
      <c r="E39" s="391"/>
      <c r="F39" s="392">
        <v>259.41000000000003</v>
      </c>
      <c r="G39" s="391">
        <f t="shared" si="15"/>
        <v>41.840322580645164</v>
      </c>
      <c r="H39" s="391">
        <f>M39/D39</f>
        <v>41.840322580645164</v>
      </c>
      <c r="I39" s="391">
        <f t="shared" si="17"/>
        <v>259.41000000000003</v>
      </c>
      <c r="J39" s="391">
        <f t="shared" si="18"/>
        <v>3.5</v>
      </c>
      <c r="K39" s="390">
        <f t="shared" si="25"/>
        <v>201001.24440000003</v>
      </c>
      <c r="L39" s="390">
        <f t="shared" si="20"/>
        <v>32419.555548387099</v>
      </c>
      <c r="M39" s="390">
        <f>L39*(36)/36</f>
        <v>32419.555548387099</v>
      </c>
      <c r="N39" s="390">
        <f t="shared" si="21"/>
        <v>201001.24440000003</v>
      </c>
      <c r="O39" s="414">
        <f>N39/D39/30</f>
        <v>8.6470000000000002</v>
      </c>
      <c r="P39" s="390">
        <f t="shared" si="22"/>
        <v>2711.94</v>
      </c>
      <c r="Q39" s="389" t="s">
        <v>423</v>
      </c>
      <c r="R39" s="422">
        <v>41153</v>
      </c>
      <c r="S39" s="423">
        <v>42247</v>
      </c>
    </row>
    <row r="40" spans="1:19" s="373" customFormat="1" ht="15" customHeight="1">
      <c r="A40" s="397" t="s">
        <v>617</v>
      </c>
      <c r="B40" s="393" t="s">
        <v>631</v>
      </c>
      <c r="C40" s="390">
        <v>130.80000000000001</v>
      </c>
      <c r="D40" s="391">
        <f t="shared" si="23"/>
        <v>130.80000000000001</v>
      </c>
      <c r="E40" s="391"/>
      <c r="F40" s="391">
        <v>280</v>
      </c>
      <c r="G40" s="391">
        <f t="shared" si="15"/>
        <v>45.161290322580641</v>
      </c>
      <c r="H40" s="391">
        <f>M40/D40</f>
        <v>41.397849462365592</v>
      </c>
      <c r="I40" s="391">
        <f t="shared" si="17"/>
        <v>256.66666666666663</v>
      </c>
      <c r="J40" s="391">
        <f t="shared" si="18"/>
        <v>3.5</v>
      </c>
      <c r="K40" s="390">
        <f t="shared" si="25"/>
        <v>36624</v>
      </c>
      <c r="L40" s="391">
        <f t="shared" si="20"/>
        <v>5907.0967741935483</v>
      </c>
      <c r="M40" s="391">
        <f>L40*33/36</f>
        <v>5414.8387096774195</v>
      </c>
      <c r="N40" s="390">
        <f t="shared" si="21"/>
        <v>33572</v>
      </c>
      <c r="O40" s="415">
        <f>N40/30/D40</f>
        <v>8.5555555555555536</v>
      </c>
      <c r="P40" s="390">
        <f t="shared" si="22"/>
        <v>457.80000000000007</v>
      </c>
      <c r="Q40" s="389" t="s">
        <v>423</v>
      </c>
      <c r="R40" s="422">
        <v>41157</v>
      </c>
      <c r="S40" s="422">
        <v>42251</v>
      </c>
    </row>
    <row r="41" spans="1:19" s="373" customFormat="1" ht="15" customHeight="1">
      <c r="A41" s="397" t="s">
        <v>632</v>
      </c>
      <c r="B41" s="389" t="s">
        <v>633</v>
      </c>
      <c r="C41" s="390">
        <v>924.17</v>
      </c>
      <c r="D41" s="391">
        <f t="shared" si="23"/>
        <v>924.17</v>
      </c>
      <c r="E41" s="391"/>
      <c r="F41" s="391">
        <v>300</v>
      </c>
      <c r="G41" s="391">
        <f t="shared" si="15"/>
        <v>48.387096774193544</v>
      </c>
      <c r="H41" s="391">
        <f>M41/D41</f>
        <v>48.387096774193544</v>
      </c>
      <c r="I41" s="391">
        <f t="shared" si="17"/>
        <v>300</v>
      </c>
      <c r="J41" s="391">
        <f t="shared" si="18"/>
        <v>3.5</v>
      </c>
      <c r="K41" s="390">
        <f t="shared" si="25"/>
        <v>277251</v>
      </c>
      <c r="L41" s="390">
        <f t="shared" si="20"/>
        <v>44717.903225806447</v>
      </c>
      <c r="M41" s="390">
        <f>L41*(36)/36</f>
        <v>44717.903225806447</v>
      </c>
      <c r="N41" s="390">
        <f t="shared" si="21"/>
        <v>277251</v>
      </c>
      <c r="O41" s="414">
        <f>N41/D41/30</f>
        <v>10</v>
      </c>
      <c r="P41" s="390">
        <f t="shared" si="22"/>
        <v>3234.5949999999998</v>
      </c>
      <c r="Q41" s="389" t="s">
        <v>423</v>
      </c>
      <c r="R41" s="422">
        <v>41207</v>
      </c>
      <c r="S41" s="423">
        <v>42301</v>
      </c>
    </row>
    <row r="42" spans="1:19" s="373" customFormat="1" ht="15" customHeight="1">
      <c r="A42" s="397" t="s">
        <v>634</v>
      </c>
      <c r="B42" s="389" t="s">
        <v>635</v>
      </c>
      <c r="C42" s="390">
        <v>417.13</v>
      </c>
      <c r="D42" s="391">
        <f t="shared" si="23"/>
        <v>417.13</v>
      </c>
      <c r="E42" s="391"/>
      <c r="F42" s="391">
        <v>322</v>
      </c>
      <c r="G42" s="391">
        <f t="shared" si="15"/>
        <v>51.935483870967744</v>
      </c>
      <c r="H42" s="391">
        <f>M42/D42</f>
        <v>51.935483870967744</v>
      </c>
      <c r="I42" s="391">
        <f t="shared" si="17"/>
        <v>322.00000000000006</v>
      </c>
      <c r="J42" s="391">
        <f t="shared" si="18"/>
        <v>3.5</v>
      </c>
      <c r="K42" s="390">
        <f t="shared" si="25"/>
        <v>134315.85999999999</v>
      </c>
      <c r="L42" s="390">
        <f t="shared" si="20"/>
        <v>21663.848387096776</v>
      </c>
      <c r="M42" s="390">
        <f>L42*(36)/36</f>
        <v>21663.848387096776</v>
      </c>
      <c r="N42" s="390">
        <f t="shared" si="21"/>
        <v>134315.86000000002</v>
      </c>
      <c r="O42" s="414">
        <f>N42/D42/30</f>
        <v>10.733333333333336</v>
      </c>
      <c r="P42" s="390">
        <f t="shared" si="22"/>
        <v>1459.9549999999999</v>
      </c>
      <c r="Q42" s="389" t="s">
        <v>423</v>
      </c>
      <c r="R42" s="422">
        <v>41240</v>
      </c>
      <c r="S42" s="423">
        <v>42334</v>
      </c>
    </row>
    <row r="43" spans="1:19" s="373" customFormat="1" ht="15" customHeight="1">
      <c r="A43" s="393" t="s">
        <v>636</v>
      </c>
      <c r="B43" s="393" t="s">
        <v>637</v>
      </c>
      <c r="C43" s="390">
        <v>424.88</v>
      </c>
      <c r="D43" s="391">
        <f t="shared" si="23"/>
        <v>424.88</v>
      </c>
      <c r="E43" s="391" t="s">
        <v>424</v>
      </c>
      <c r="F43" s="391">
        <v>162.5</v>
      </c>
      <c r="G43" s="391">
        <f t="shared" si="15"/>
        <v>26.209677419354836</v>
      </c>
      <c r="H43" s="394">
        <f>M43/C43</f>
        <v>26.209677419354836</v>
      </c>
      <c r="I43" s="391">
        <f t="shared" si="17"/>
        <v>162.5</v>
      </c>
      <c r="J43" s="391">
        <f t="shared" si="18"/>
        <v>3.5</v>
      </c>
      <c r="K43" s="391">
        <f t="shared" si="25"/>
        <v>69043</v>
      </c>
      <c r="L43" s="391">
        <f t="shared" si="20"/>
        <v>11135.967741935483</v>
      </c>
      <c r="M43" s="391">
        <f>L43</f>
        <v>11135.967741935483</v>
      </c>
      <c r="N43" s="391">
        <f t="shared" si="21"/>
        <v>69043</v>
      </c>
      <c r="O43" s="415">
        <f t="shared" ref="O43:O51" si="26">N43/30/D43</f>
        <v>5.416666666666667</v>
      </c>
      <c r="P43" s="391">
        <f t="shared" si="22"/>
        <v>1487.08</v>
      </c>
      <c r="Q43" s="389" t="s">
        <v>447</v>
      </c>
      <c r="R43" s="422">
        <v>40513</v>
      </c>
      <c r="S43" s="422">
        <v>42338</v>
      </c>
    </row>
    <row r="44" spans="1:19" s="373" customFormat="1" ht="15" customHeight="1">
      <c r="A44" s="393" t="s">
        <v>638</v>
      </c>
      <c r="B44" s="393" t="s">
        <v>639</v>
      </c>
      <c r="C44" s="390">
        <v>527.42999999999995</v>
      </c>
      <c r="D44" s="391">
        <f t="shared" si="23"/>
        <v>527.42999999999995</v>
      </c>
      <c r="E44" s="391" t="s">
        <v>424</v>
      </c>
      <c r="F44" s="391">
        <v>300</v>
      </c>
      <c r="G44" s="391">
        <f t="shared" si="15"/>
        <v>48.387096774193544</v>
      </c>
      <c r="H44" s="394">
        <f>M44/C44</f>
        <v>47.043010752688168</v>
      </c>
      <c r="I44" s="391">
        <f t="shared" si="17"/>
        <v>291.66666666666663</v>
      </c>
      <c r="J44" s="391">
        <f t="shared" si="18"/>
        <v>3.5</v>
      </c>
      <c r="K44" s="391">
        <f t="shared" si="25"/>
        <v>158228.99999999997</v>
      </c>
      <c r="L44" s="391">
        <f t="shared" si="20"/>
        <v>25520.806451612898</v>
      </c>
      <c r="M44" s="391">
        <f>L44*(36-1)/36</f>
        <v>24811.895161290318</v>
      </c>
      <c r="N44" s="391">
        <f t="shared" si="21"/>
        <v>153833.74999999997</v>
      </c>
      <c r="O44" s="415">
        <f t="shared" si="26"/>
        <v>9.7222222222222214</v>
      </c>
      <c r="P44" s="391">
        <f t="shared" si="22"/>
        <v>1846.0049999999999</v>
      </c>
      <c r="Q44" s="389" t="s">
        <v>423</v>
      </c>
      <c r="R44" s="422">
        <v>41263</v>
      </c>
      <c r="S44" s="423">
        <v>42357</v>
      </c>
    </row>
    <row r="45" spans="1:19" s="373" customFormat="1" ht="15" customHeight="1">
      <c r="A45" s="393" t="s">
        <v>640</v>
      </c>
      <c r="B45" s="393" t="s">
        <v>641</v>
      </c>
      <c r="C45" s="390">
        <v>323.62</v>
      </c>
      <c r="D45" s="391">
        <f t="shared" si="23"/>
        <v>323.62</v>
      </c>
      <c r="E45" s="391" t="s">
        <v>424</v>
      </c>
      <c r="F45" s="391">
        <v>300</v>
      </c>
      <c r="G45" s="391">
        <f t="shared" si="15"/>
        <v>48.387096774193544</v>
      </c>
      <c r="H45" s="394">
        <f>M45/C45</f>
        <v>47.028400998949365</v>
      </c>
      <c r="I45" s="391">
        <f t="shared" si="17"/>
        <v>291.57608619348605</v>
      </c>
      <c r="J45" s="391">
        <f t="shared" si="18"/>
        <v>3.5</v>
      </c>
      <c r="K45" s="391">
        <f t="shared" si="25"/>
        <v>97086</v>
      </c>
      <c r="L45" s="391">
        <f t="shared" si="20"/>
        <v>15659.032258064515</v>
      </c>
      <c r="M45" s="391">
        <f>L45*(35.6129-1)/35.6129</f>
        <v>15219.331131279994</v>
      </c>
      <c r="N45" s="391">
        <f t="shared" si="21"/>
        <v>94359.853013935965</v>
      </c>
      <c r="O45" s="415">
        <f t="shared" si="26"/>
        <v>9.7192028731162026</v>
      </c>
      <c r="P45" s="391">
        <f t="shared" si="22"/>
        <v>1132.67</v>
      </c>
      <c r="Q45" s="427">
        <v>35.612900000000003</v>
      </c>
      <c r="R45" s="422">
        <v>41275</v>
      </c>
      <c r="S45" s="423">
        <v>42357</v>
      </c>
    </row>
    <row r="46" spans="1:19" s="373" customFormat="1" ht="15" customHeight="1">
      <c r="A46" s="393" t="s">
        <v>640</v>
      </c>
      <c r="B46" s="393" t="s">
        <v>642</v>
      </c>
      <c r="C46" s="390">
        <f>191.72+101.26</f>
        <v>292.98</v>
      </c>
      <c r="D46" s="391">
        <f t="shared" si="23"/>
        <v>292.98</v>
      </c>
      <c r="E46" s="391"/>
      <c r="F46" s="391">
        <v>300</v>
      </c>
      <c r="G46" s="391">
        <f t="shared" si="15"/>
        <v>48.387096774193544</v>
      </c>
      <c r="H46" s="394">
        <f>G46</f>
        <v>48.387096774193544</v>
      </c>
      <c r="I46" s="391">
        <f t="shared" si="17"/>
        <v>291.17647058823525</v>
      </c>
      <c r="J46" s="391">
        <f t="shared" si="18"/>
        <v>3.5</v>
      </c>
      <c r="K46" s="391">
        <f t="shared" si="25"/>
        <v>87894</v>
      </c>
      <c r="L46" s="391">
        <f t="shared" si="20"/>
        <v>14176.451612903225</v>
      </c>
      <c r="M46" s="391">
        <f>L46*(33)/34</f>
        <v>13759.497153700189</v>
      </c>
      <c r="N46" s="391">
        <f t="shared" si="21"/>
        <v>85308.882352941175</v>
      </c>
      <c r="O46" s="415">
        <f t="shared" si="26"/>
        <v>9.7058823529411757</v>
      </c>
      <c r="P46" s="391">
        <f t="shared" si="22"/>
        <v>1025.43</v>
      </c>
      <c r="Q46" s="389" t="s">
        <v>144</v>
      </c>
      <c r="R46" s="422">
        <v>41325</v>
      </c>
      <c r="S46" s="423">
        <v>42357</v>
      </c>
    </row>
    <row r="47" spans="1:19" s="373" customFormat="1" ht="15" customHeight="1">
      <c r="A47" s="393" t="s">
        <v>643</v>
      </c>
      <c r="B47" s="393" t="s">
        <v>644</v>
      </c>
      <c r="C47" s="390">
        <f>233.7-80.23</f>
        <v>153.46999999999997</v>
      </c>
      <c r="D47" s="391">
        <f t="shared" si="23"/>
        <v>153.46999999999997</v>
      </c>
      <c r="E47" s="391" t="s">
        <v>424</v>
      </c>
      <c r="F47" s="391">
        <v>162.5</v>
      </c>
      <c r="G47" s="391">
        <f t="shared" si="15"/>
        <v>26.209677419354836</v>
      </c>
      <c r="H47" s="394">
        <f>M47/C47</f>
        <v>26.209677419354833</v>
      </c>
      <c r="I47" s="391">
        <f t="shared" si="17"/>
        <v>162.49999999999997</v>
      </c>
      <c r="J47" s="391">
        <f t="shared" si="18"/>
        <v>3.5</v>
      </c>
      <c r="K47" s="391">
        <f t="shared" si="25"/>
        <v>24938.874999999996</v>
      </c>
      <c r="L47" s="391">
        <f t="shared" si="20"/>
        <v>4022.3991935483859</v>
      </c>
      <c r="M47" s="391">
        <f>L47*(36-0)/36</f>
        <v>4022.3991935483855</v>
      </c>
      <c r="N47" s="391">
        <f t="shared" si="21"/>
        <v>24938.874999999989</v>
      </c>
      <c r="O47" s="415">
        <f t="shared" si="26"/>
        <v>5.4166666666666652</v>
      </c>
      <c r="P47" s="391">
        <f t="shared" si="22"/>
        <v>537.14499999999987</v>
      </c>
      <c r="Q47" s="389" t="s">
        <v>645</v>
      </c>
      <c r="R47" s="422">
        <v>40909</v>
      </c>
      <c r="S47" s="423">
        <v>42369</v>
      </c>
    </row>
    <row r="48" spans="1:19" s="373" customFormat="1" ht="15" customHeight="1">
      <c r="A48" s="393" t="s">
        <v>646</v>
      </c>
      <c r="B48" s="393" t="s">
        <v>647</v>
      </c>
      <c r="C48" s="390">
        <v>80.23</v>
      </c>
      <c r="D48" s="391">
        <f t="shared" si="23"/>
        <v>80.23</v>
      </c>
      <c r="E48" s="391" t="s">
        <v>424</v>
      </c>
      <c r="F48" s="391">
        <v>162.5</v>
      </c>
      <c r="G48" s="391">
        <f t="shared" si="15"/>
        <v>26.209677419354836</v>
      </c>
      <c r="H48" s="394">
        <f>M48/C48</f>
        <v>26.209677419354836</v>
      </c>
      <c r="I48" s="391">
        <f t="shared" si="17"/>
        <v>162.5</v>
      </c>
      <c r="J48" s="391">
        <f t="shared" si="18"/>
        <v>3.5</v>
      </c>
      <c r="K48" s="391">
        <f t="shared" si="25"/>
        <v>13037.375</v>
      </c>
      <c r="L48" s="391">
        <f t="shared" si="20"/>
        <v>2102.8024193548385</v>
      </c>
      <c r="M48" s="391">
        <f>L48*(36-0)/36</f>
        <v>2102.8024193548385</v>
      </c>
      <c r="N48" s="391">
        <f t="shared" si="21"/>
        <v>13037.375</v>
      </c>
      <c r="O48" s="415">
        <f t="shared" si="26"/>
        <v>5.4166666666666661</v>
      </c>
      <c r="P48" s="391">
        <f t="shared" si="22"/>
        <v>280.80500000000001</v>
      </c>
      <c r="Q48" s="389" t="s">
        <v>645</v>
      </c>
      <c r="R48" s="422">
        <v>40909</v>
      </c>
      <c r="S48" s="423">
        <v>42369</v>
      </c>
    </row>
    <row r="49" spans="1:19" s="375" customFormat="1" ht="15" customHeight="1">
      <c r="A49" s="404"/>
      <c r="B49" s="399"/>
      <c r="C49" s="400"/>
      <c r="D49" s="401">
        <f>SUM(D24:D48)</f>
        <v>12808.729999999996</v>
      </c>
      <c r="E49" s="401"/>
      <c r="F49" s="401"/>
      <c r="G49" s="401"/>
      <c r="H49" s="403"/>
      <c r="I49" s="401"/>
      <c r="J49" s="401"/>
      <c r="K49" s="400"/>
      <c r="L49" s="401"/>
      <c r="M49" s="401"/>
      <c r="N49" s="400">
        <f>SUM(N24:N48)</f>
        <v>3006989.3569890996</v>
      </c>
      <c r="O49" s="415">
        <f t="shared" si="26"/>
        <v>7.825364307492106</v>
      </c>
      <c r="P49" s="400"/>
      <c r="Q49" s="405"/>
      <c r="R49" s="425"/>
      <c r="S49" s="426"/>
    </row>
    <row r="50" spans="1:19" s="373" customFormat="1" ht="12.75" customHeight="1">
      <c r="A50" s="397" t="s">
        <v>617</v>
      </c>
      <c r="B50" s="397">
        <v>605</v>
      </c>
      <c r="C50" s="390">
        <v>100.61</v>
      </c>
      <c r="D50" s="391">
        <f>C50</f>
        <v>100.61</v>
      </c>
      <c r="E50" s="391"/>
      <c r="F50" s="391">
        <v>280</v>
      </c>
      <c r="G50" s="391">
        <f>F50/6.2</f>
        <v>45.161290322580641</v>
      </c>
      <c r="H50" s="394">
        <f>M50/D50</f>
        <v>41.397849462365585</v>
      </c>
      <c r="I50" s="391">
        <f t="shared" ref="I50:I58" si="27">N50/D50</f>
        <v>256.66666666666663</v>
      </c>
      <c r="J50" s="391">
        <f>28/8</f>
        <v>3.5</v>
      </c>
      <c r="K50" s="391">
        <f>D50*F50</f>
        <v>28170.799999999999</v>
      </c>
      <c r="L50" s="391">
        <f>D50*G50</f>
        <v>4543.6774193548381</v>
      </c>
      <c r="M50" s="391">
        <f>L50*33/36</f>
        <v>4165.0376344086017</v>
      </c>
      <c r="N50" s="391">
        <f>M50*6.2</f>
        <v>25823.23333333333</v>
      </c>
      <c r="O50" s="415">
        <f t="shared" si="26"/>
        <v>8.5555555555555554</v>
      </c>
      <c r="P50" s="391">
        <f>D50*J50</f>
        <v>352.13499999999999</v>
      </c>
      <c r="Q50" s="389" t="s">
        <v>423</v>
      </c>
      <c r="R50" s="422">
        <v>41284</v>
      </c>
      <c r="S50" s="423">
        <v>42378</v>
      </c>
    </row>
    <row r="51" spans="1:19" s="373" customFormat="1" ht="15" customHeight="1">
      <c r="A51" s="393" t="s">
        <v>648</v>
      </c>
      <c r="B51" s="393" t="s">
        <v>649</v>
      </c>
      <c r="C51" s="390">
        <v>13957.42</v>
      </c>
      <c r="D51" s="391">
        <f>C51</f>
        <v>13957.42</v>
      </c>
      <c r="E51" s="391"/>
      <c r="F51" s="391">
        <v>138</v>
      </c>
      <c r="G51" s="391">
        <f>F51/6.2</f>
        <v>22.258064516129032</v>
      </c>
      <c r="H51" s="394">
        <f>M51/D51</f>
        <v>17.879428873611847</v>
      </c>
      <c r="I51" s="391">
        <f t="shared" si="27"/>
        <v>110.85245901639345</v>
      </c>
      <c r="J51" s="391">
        <f>28/8</f>
        <v>3.5</v>
      </c>
      <c r="K51" s="391">
        <f>D51*F51</f>
        <v>1926123.96</v>
      </c>
      <c r="L51" s="391">
        <f>D51*G51</f>
        <v>310665.15483870968</v>
      </c>
      <c r="M51" s="391">
        <f>L51*(61-6-6)/61</f>
        <v>249550.69814912745</v>
      </c>
      <c r="N51" s="391">
        <f>M51*6.2</f>
        <v>1547214.3285245902</v>
      </c>
      <c r="O51" s="415">
        <f t="shared" si="26"/>
        <v>3.6950819672131145</v>
      </c>
      <c r="P51" s="391">
        <f>D51*J51</f>
        <v>48850.97</v>
      </c>
      <c r="Q51" s="389" t="s">
        <v>650</v>
      </c>
      <c r="R51" s="422">
        <v>40527</v>
      </c>
      <c r="S51" s="423">
        <v>42383</v>
      </c>
    </row>
    <row r="52" spans="1:19" s="373" customFormat="1" ht="15" customHeight="1">
      <c r="A52" s="397" t="s">
        <v>651</v>
      </c>
      <c r="B52" s="389" t="s">
        <v>652</v>
      </c>
      <c r="C52" s="390">
        <v>143.93</v>
      </c>
      <c r="D52" s="391">
        <f>C52</f>
        <v>143.93</v>
      </c>
      <c r="E52" s="391"/>
      <c r="F52" s="391">
        <v>265</v>
      </c>
      <c r="G52" s="391">
        <f>F52/6.2</f>
        <v>42.741935483870968</v>
      </c>
      <c r="H52" s="391">
        <f>M52/D52</f>
        <v>42.741935483870968</v>
      </c>
      <c r="I52" s="391">
        <f t="shared" si="27"/>
        <v>264.99999999999994</v>
      </c>
      <c r="J52" s="391">
        <f>28/8</f>
        <v>3.5</v>
      </c>
      <c r="K52" s="390">
        <f>D52*F52</f>
        <v>38141.450000000004</v>
      </c>
      <c r="L52" s="390">
        <f>D52*G52</f>
        <v>6151.8467741935483</v>
      </c>
      <c r="M52" s="390">
        <f>L52*(36)/36</f>
        <v>6151.8467741935483</v>
      </c>
      <c r="N52" s="390">
        <f>M52*6.2</f>
        <v>38141.449999999997</v>
      </c>
      <c r="O52" s="414">
        <f>N52/D52/30</f>
        <v>8.8333333333333321</v>
      </c>
      <c r="P52" s="390">
        <f>D52*J52</f>
        <v>503.755</v>
      </c>
      <c r="Q52" s="389" t="s">
        <v>423</v>
      </c>
      <c r="R52" s="422">
        <v>41379</v>
      </c>
      <c r="S52" s="423">
        <v>42474</v>
      </c>
    </row>
    <row r="53" spans="1:19" s="375" customFormat="1" ht="15" customHeight="1">
      <c r="A53" s="404"/>
      <c r="B53" s="405"/>
      <c r="C53" s="400"/>
      <c r="D53" s="401">
        <f>SUM(D50:D52)</f>
        <v>14201.960000000001</v>
      </c>
      <c r="E53" s="401"/>
      <c r="F53" s="401"/>
      <c r="G53" s="401"/>
      <c r="H53" s="403"/>
      <c r="I53" s="401">
        <f t="shared" si="27"/>
        <v>113.44765172257375</v>
      </c>
      <c r="J53" s="401"/>
      <c r="K53" s="400"/>
      <c r="L53" s="400"/>
      <c r="M53" s="400"/>
      <c r="N53" s="400">
        <f>SUM(N50:N52)</f>
        <v>1611179.0118579236</v>
      </c>
      <c r="O53" s="414">
        <f>N53/D53/30</f>
        <v>3.7815883907524586</v>
      </c>
      <c r="P53" s="400"/>
      <c r="Q53" s="405"/>
      <c r="R53" s="425"/>
      <c r="S53" s="426"/>
    </row>
    <row r="54" spans="1:19" s="373" customFormat="1" ht="15" customHeight="1">
      <c r="A54" s="393" t="s">
        <v>653</v>
      </c>
      <c r="B54" s="393" t="s">
        <v>654</v>
      </c>
      <c r="C54" s="390">
        <f>2467.43-600</f>
        <v>1867.4299999999998</v>
      </c>
      <c r="D54" s="391">
        <f>C54</f>
        <v>1867.4299999999998</v>
      </c>
      <c r="E54" s="391"/>
      <c r="F54" s="391">
        <v>130</v>
      </c>
      <c r="G54" s="391">
        <f>F54/6.2</f>
        <v>20.967741935483872</v>
      </c>
      <c r="H54" s="394">
        <f>M54/D54</f>
        <v>16.553480475382006</v>
      </c>
      <c r="I54" s="391">
        <f t="shared" si="27"/>
        <v>102.63157894736845</v>
      </c>
      <c r="J54" s="391">
        <v>3.5</v>
      </c>
      <c r="K54" s="391">
        <f>D54*F54</f>
        <v>242765.89999999997</v>
      </c>
      <c r="L54" s="391">
        <f>G54*D54</f>
        <v>39155.790322580644</v>
      </c>
      <c r="M54" s="391">
        <f>L54*60/76</f>
        <v>30912.466044142617</v>
      </c>
      <c r="N54" s="391">
        <f>M54*6.2</f>
        <v>191657.28947368424</v>
      </c>
      <c r="O54" s="415">
        <f>N54/30/D54</f>
        <v>3.4210526315789482</v>
      </c>
      <c r="P54" s="391">
        <f>D54*J54</f>
        <v>6536.0049999999992</v>
      </c>
      <c r="Q54" s="389" t="s">
        <v>462</v>
      </c>
      <c r="R54" s="422">
        <v>40452</v>
      </c>
      <c r="S54" s="423">
        <v>42766</v>
      </c>
    </row>
    <row r="55" spans="1:19" s="373" customFormat="1" ht="15" customHeight="1">
      <c r="A55" s="393" t="s">
        <v>655</v>
      </c>
      <c r="B55" s="393" t="s">
        <v>656</v>
      </c>
      <c r="C55" s="390">
        <v>600</v>
      </c>
      <c r="D55" s="391">
        <f>C55</f>
        <v>600</v>
      </c>
      <c r="E55" s="391"/>
      <c r="F55" s="391">
        <v>130</v>
      </c>
      <c r="G55" s="391">
        <f>F55/6.2</f>
        <v>20.967741935483872</v>
      </c>
      <c r="H55" s="394">
        <f>M55/D55</f>
        <v>16.553480475382006</v>
      </c>
      <c r="I55" s="391">
        <f t="shared" si="27"/>
        <v>102.63157894736844</v>
      </c>
      <c r="J55" s="391">
        <v>3.5</v>
      </c>
      <c r="K55" s="391">
        <f>D55*F55</f>
        <v>78000</v>
      </c>
      <c r="L55" s="391">
        <f>G55*D55</f>
        <v>12580.645161290324</v>
      </c>
      <c r="M55" s="391">
        <f>L55*60/76</f>
        <v>9932.0882852292034</v>
      </c>
      <c r="N55" s="391">
        <f>M55*6.2</f>
        <v>61578.947368421061</v>
      </c>
      <c r="O55" s="415">
        <f>N55/30/D55</f>
        <v>3.4210526315789478</v>
      </c>
      <c r="P55" s="391">
        <f>D55*J55</f>
        <v>2100</v>
      </c>
      <c r="Q55" s="389" t="s">
        <v>462</v>
      </c>
      <c r="R55" s="422">
        <v>40452</v>
      </c>
      <c r="S55" s="423">
        <v>42766</v>
      </c>
    </row>
    <row r="56" spans="1:19" s="373" customFormat="1" ht="15" customHeight="1">
      <c r="A56" s="393" t="s">
        <v>657</v>
      </c>
      <c r="B56" s="393" t="s">
        <v>658</v>
      </c>
      <c r="C56" s="390">
        <v>2467.4299999999998</v>
      </c>
      <c r="D56" s="391">
        <f>C56</f>
        <v>2467.4299999999998</v>
      </c>
      <c r="E56" s="391"/>
      <c r="F56" s="391">
        <v>130</v>
      </c>
      <c r="G56" s="391">
        <f>F56/6.2</f>
        <v>20.967741935483872</v>
      </c>
      <c r="H56" s="394">
        <f>M56/D56</f>
        <v>16.553480475382003</v>
      </c>
      <c r="I56" s="391">
        <f t="shared" si="27"/>
        <v>102.63157894736842</v>
      </c>
      <c r="J56" s="391">
        <v>3.5</v>
      </c>
      <c r="K56" s="391">
        <f>D56*F56</f>
        <v>320765.89999999997</v>
      </c>
      <c r="L56" s="391">
        <f>G56*D56</f>
        <v>51736.43548387097</v>
      </c>
      <c r="M56" s="391">
        <f>L56*60/76</f>
        <v>40844.554329371815</v>
      </c>
      <c r="N56" s="391">
        <f>M56*6.2</f>
        <v>253236.23684210525</v>
      </c>
      <c r="O56" s="415">
        <f>N56/30/D56</f>
        <v>3.4210526315789469</v>
      </c>
      <c r="P56" s="391">
        <f>D56*J56</f>
        <v>8636.0049999999992</v>
      </c>
      <c r="Q56" s="389" t="s">
        <v>462</v>
      </c>
      <c r="R56" s="422">
        <v>40452</v>
      </c>
      <c r="S56" s="423">
        <v>42766</v>
      </c>
    </row>
    <row r="57" spans="1:19" s="375" customFormat="1" ht="15" customHeight="1">
      <c r="A57" s="399"/>
      <c r="B57" s="405"/>
      <c r="C57" s="400"/>
      <c r="D57" s="401">
        <f>SUM(D54:D56)</f>
        <v>4934.8599999999997</v>
      </c>
      <c r="E57" s="401"/>
      <c r="F57" s="401"/>
      <c r="G57" s="401"/>
      <c r="H57" s="403"/>
      <c r="I57" s="401">
        <f t="shared" si="27"/>
        <v>102.63157894736844</v>
      </c>
      <c r="J57" s="401"/>
      <c r="K57" s="400"/>
      <c r="L57" s="400"/>
      <c r="M57" s="400"/>
      <c r="N57" s="400">
        <f>SUM(N54:N56)</f>
        <v>506472.47368421056</v>
      </c>
      <c r="O57" s="415">
        <f>N57/30/D57</f>
        <v>3.4210526315789478</v>
      </c>
      <c r="P57" s="400"/>
      <c r="Q57" s="405"/>
      <c r="R57" s="425"/>
      <c r="S57" s="426"/>
    </row>
    <row r="58" spans="1:19" s="373" customFormat="1" ht="15" customHeight="1">
      <c r="A58" s="406" t="s">
        <v>659</v>
      </c>
      <c r="B58" s="389" t="s">
        <v>660</v>
      </c>
      <c r="C58" s="390">
        <v>588.36</v>
      </c>
      <c r="D58" s="391">
        <f>C58</f>
        <v>588.36</v>
      </c>
      <c r="E58" s="391"/>
      <c r="F58" s="392">
        <v>120</v>
      </c>
      <c r="G58" s="391">
        <f>F58/6.2</f>
        <v>19.35483870967742</v>
      </c>
      <c r="H58" s="391">
        <f>M58/D58</f>
        <v>19.354838709677423</v>
      </c>
      <c r="I58" s="391">
        <f t="shared" si="27"/>
        <v>120.00000000000001</v>
      </c>
      <c r="J58" s="391">
        <f>28/8</f>
        <v>3.5</v>
      </c>
      <c r="K58" s="390">
        <f>D58*F58</f>
        <v>70603.199999999997</v>
      </c>
      <c r="L58" s="390">
        <f>D58*G58</f>
        <v>11387.612903225807</v>
      </c>
      <c r="M58" s="390">
        <f>L58*(96)/96</f>
        <v>11387.612903225809</v>
      </c>
      <c r="N58" s="390">
        <f>M58*6.2</f>
        <v>70603.200000000012</v>
      </c>
      <c r="O58" s="414">
        <f>N58/D58/30</f>
        <v>4.0000000000000009</v>
      </c>
      <c r="P58" s="390">
        <f>D58*J58</f>
        <v>2059.2600000000002</v>
      </c>
      <c r="Q58" s="389" t="s">
        <v>478</v>
      </c>
      <c r="R58" s="422">
        <v>40725</v>
      </c>
      <c r="S58" s="423">
        <v>43646</v>
      </c>
    </row>
    <row r="59" spans="1:19" s="375" customFormat="1" ht="12.75">
      <c r="A59" s="407" t="s">
        <v>661</v>
      </c>
      <c r="B59" s="407"/>
      <c r="C59" s="408"/>
      <c r="D59" s="408">
        <f>SUM(D58)</f>
        <v>588.36</v>
      </c>
      <c r="E59" s="408"/>
      <c r="F59" s="408"/>
      <c r="G59" s="408"/>
      <c r="H59" s="408"/>
      <c r="I59" s="408"/>
      <c r="J59" s="408"/>
      <c r="K59" s="416"/>
      <c r="L59" s="416"/>
      <c r="M59" s="416"/>
      <c r="N59" s="416">
        <f>SUM(N58)</f>
        <v>70603.200000000012</v>
      </c>
      <c r="O59" s="401">
        <f>N59/30/D59</f>
        <v>4.0000000000000009</v>
      </c>
      <c r="P59" s="416"/>
      <c r="Q59" s="416"/>
      <c r="R59" s="428"/>
      <c r="S59" s="429"/>
    </row>
  </sheetData>
  <mergeCells count="10">
    <mergeCell ref="R1:S1"/>
    <mergeCell ref="F1:F3"/>
    <mergeCell ref="G1:G3"/>
    <mergeCell ref="H1:H3"/>
    <mergeCell ref="I1:I3"/>
    <mergeCell ref="J1:J3"/>
    <mergeCell ref="K1:K3"/>
    <mergeCell ref="L1:L3"/>
    <mergeCell ref="M1:M3"/>
    <mergeCell ref="P1:P3"/>
  </mergeCells>
  <phoneticPr fontId="93" type="noConversion"/>
  <pageMargins left="0.69861111111111107" right="0.69861111111111107" top="0.75" bottom="0.75" header="0.3" footer="0.3"/>
  <headerFooter alignWithMargins="0"/>
  <legacyDrawing r:id="rId1"/>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工作表</vt:lpstr>
      </vt:variant>
      <vt:variant>
        <vt:i4>23</vt:i4>
      </vt:variant>
      <vt:variant>
        <vt:lpstr>命名范围</vt:lpstr>
      </vt:variant>
      <vt:variant>
        <vt:i4>12</vt:i4>
      </vt:variant>
    </vt:vector>
  </HeadingPairs>
  <TitlesOfParts>
    <vt:vector size="35" baseType="lpstr">
      <vt:lpstr>权属依据</vt:lpstr>
      <vt:lpstr>住租约</vt:lpstr>
      <vt:lpstr>市（住）</vt:lpstr>
      <vt:lpstr>收（住租约）</vt:lpstr>
      <vt:lpstr>建筑（住）</vt:lpstr>
      <vt:lpstr>商租约</vt:lpstr>
      <vt:lpstr>收（商租约）</vt:lpstr>
      <vt:lpstr>建筑（商）</vt:lpstr>
      <vt:lpstr>办租约</vt:lpstr>
      <vt:lpstr>结果</vt:lpstr>
      <vt:lpstr>面积</vt:lpstr>
      <vt:lpstr>收（办租约）</vt:lpstr>
      <vt:lpstr>建筑（办）</vt:lpstr>
      <vt:lpstr>比较</vt:lpstr>
      <vt:lpstr>收益法 </vt:lpstr>
      <vt:lpstr>市（停车楼）</vt:lpstr>
      <vt:lpstr>收（停车楼）</vt:lpstr>
      <vt:lpstr>税费</vt:lpstr>
      <vt:lpstr>收益（仓储）</vt:lpstr>
      <vt:lpstr>市（车）</vt:lpstr>
      <vt:lpstr>收（车）</vt:lpstr>
      <vt:lpstr>案例及位置图</vt:lpstr>
      <vt:lpstr>租金</vt:lpstr>
      <vt:lpstr>案例及位置图!Print_Area</vt:lpstr>
      <vt:lpstr>比较!Print_Area</vt:lpstr>
      <vt:lpstr>结果!Print_Area</vt:lpstr>
      <vt:lpstr>面积!Print_Area</vt:lpstr>
      <vt:lpstr>'市（车）'!Print_Area</vt:lpstr>
      <vt:lpstr>'收（办租约）'!Print_Area</vt:lpstr>
      <vt:lpstr>'收（车）'!Print_Area</vt:lpstr>
      <vt:lpstr>'收（商租约）'!Print_Area</vt:lpstr>
      <vt:lpstr>'收（住租约）'!Print_Area</vt:lpstr>
      <vt:lpstr>'收益法 '!Print_Area</vt:lpstr>
      <vt:lpstr>税费!Print_Area</vt:lpstr>
      <vt:lpstr>租金!Print_Area</vt:lpstr>
    </vt:vector>
  </TitlesOfParts>
  <Manager/>
  <Company>Microsoft</Company>
  <LinksUpToDate>false</LinksUpToDate>
  <CharactersWithSpaces>0</CharactersWithSpaces>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USER</cp:lastModifiedBy>
  <cp:revision/>
  <cp:lastPrinted>2016-06-27T06:13:03Z</cp:lastPrinted>
  <dcterms:created xsi:type="dcterms:W3CDTF">2011-07-03T10:05:06Z</dcterms:created>
  <dcterms:modified xsi:type="dcterms:W3CDTF">2017-01-17T07:17:07Z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2052-9.1.0.4739</vt:lpwstr>
  </property>
</Properties>
</file>