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120" windowWidth="11385" windowHeight="9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53" i="15"/>
  <c r="J60" i="15"/>
  <c r="L46" i="15"/>
  <c r="B2" i="15"/>
  <c r="B3" i="15"/>
  <c r="C20" i="9"/>
  <c r="D4" i="73"/>
  <c r="E20" i="43"/>
  <c r="P28" i="43"/>
  <c r="G20" i="43"/>
  <c r="C20" i="43"/>
  <c r="C29" i="43"/>
  <c r="E29"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D20" i="9"/>
  <c r="G20" i="9"/>
  <c r="AE6" i="1"/>
  <c r="F19" i="6"/>
  <c r="G82" i="43"/>
  <c r="G83" i="43"/>
  <c r="G84" i="43"/>
  <c r="G85" i="43"/>
  <c r="G86" i="43"/>
  <c r="G87" i="43"/>
  <c r="G88" i="43"/>
  <c r="D5" i="9"/>
  <c r="Y6" i="1"/>
  <c r="D29" i="43"/>
  <c r="AH6" i="1"/>
  <c r="V6" i="71"/>
  <c r="U6" i="71"/>
  <c r="T6" i="71"/>
  <c r="S6" i="71"/>
  <c r="AH5" i="71"/>
  <c r="AG5" i="71"/>
  <c r="AE5" i="71"/>
  <c r="AF5" i="71"/>
  <c r="AD5" i="71"/>
  <c r="Q5" i="71"/>
  <c r="P5" i="71"/>
  <c r="O5" i="71"/>
  <c r="N5" i="71"/>
  <c r="AB8" i="71"/>
  <c r="Q7" i="71"/>
  <c r="AB7" i="71"/>
  <c r="P7" i="71"/>
  <c r="AA7" i="71"/>
  <c r="O7" i="71"/>
  <c r="Y7" i="71"/>
  <c r="Z7" i="71"/>
  <c r="N7" i="71"/>
  <c r="X7" i="71"/>
  <c r="AH6" i="71"/>
  <c r="AG6" i="71"/>
  <c r="AE6" i="71"/>
  <c r="AF6" i="71"/>
  <c r="AD6" i="71"/>
  <c r="Q6" i="71"/>
  <c r="AB5" i="71"/>
  <c r="P6" i="71"/>
  <c r="AA5" i="71"/>
  <c r="O6" i="71"/>
  <c r="N6" i="71"/>
  <c r="X5" i="71"/>
  <c r="F7" i="71"/>
  <c r="E7" i="71"/>
  <c r="E6" i="71"/>
  <c r="E5" i="71"/>
  <c r="C7" i="71"/>
  <c r="C6" i="71"/>
  <c r="C5" i="71"/>
  <c r="D5" i="7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6" i="71"/>
  <c r="P16" i="71"/>
  <c r="O16" i="71"/>
  <c r="N16"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4" i="43"/>
  <c r="D67" i="43"/>
  <c r="D60" i="43"/>
  <c r="D61" i="43"/>
  <c r="D62" i="43"/>
  <c r="D63" i="43"/>
  <c r="D64" i="43"/>
  <c r="D65" i="43"/>
  <c r="D66" i="43"/>
  <c r="D59" i="43"/>
  <c r="M88" i="43"/>
  <c r="N88" i="43"/>
  <c r="K88" i="43"/>
  <c r="J88" i="43"/>
  <c r="M87" i="43"/>
  <c r="N87" i="43"/>
  <c r="K87" i="43"/>
  <c r="D87" i="43"/>
  <c r="M86" i="43"/>
  <c r="N86" i="43"/>
  <c r="K86" i="43"/>
  <c r="J86" i="43"/>
  <c r="M85" i="43"/>
  <c r="N85" i="43"/>
  <c r="K85" i="43"/>
  <c r="D85" i="43"/>
  <c r="M84" i="43"/>
  <c r="N84" i="43"/>
  <c r="K84" i="43"/>
  <c r="J84" i="43"/>
  <c r="M83" i="43"/>
  <c r="N83" i="43"/>
  <c r="K83" i="43"/>
  <c r="D83" i="43"/>
  <c r="M82" i="43"/>
  <c r="N82" i="43"/>
  <c r="K82" i="43"/>
  <c r="J82"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E48" i="43"/>
  <c r="B46"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L101" i="43"/>
  <c r="L105"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69" i="3"/>
  <c r="BA13" i="3"/>
  <c r="E10" i="6"/>
  <c r="BA5" i="3"/>
  <c r="E11" i="6"/>
  <c r="E61" i="39"/>
  <c r="BL17" i="3"/>
  <c r="AZ17" i="3"/>
  <c r="BL13" i="3"/>
  <c r="G30" i="6"/>
  <c r="G31" i="6"/>
  <c r="J56" i="9"/>
  <c r="J57" i="9"/>
  <c r="A24" i="51"/>
  <c r="B18" i="72"/>
  <c r="U29" i="34"/>
  <c r="E14" i="6"/>
  <c r="E64" i="39"/>
  <c r="E5" i="6"/>
  <c r="D9" i="11"/>
  <c r="C9" i="1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c r="C7" i="21"/>
  <c r="C58" i="21"/>
  <c r="C7" i="40"/>
  <c r="C63" i="40"/>
  <c r="D63" i="40"/>
  <c r="D65" i="40"/>
  <c r="M47" i="9"/>
  <c r="G19" i="43"/>
  <c r="O19" i="43"/>
  <c r="T35" i="4"/>
  <c r="A19" i="51"/>
  <c r="B14" i="72"/>
  <c r="C46" i="36"/>
  <c r="C59" i="34"/>
  <c r="D59" i="34"/>
  <c r="E59" i="34"/>
  <c r="F59" i="34"/>
  <c r="C52" i="37"/>
  <c r="A4" i="51"/>
  <c r="B6" i="72"/>
  <c r="C48" i="35"/>
  <c r="C4" i="12"/>
  <c r="H66" i="43"/>
  <c r="H65" i="43"/>
  <c r="H64" i="43"/>
  <c r="H63" i="43"/>
  <c r="H55" i="43"/>
  <c r="H56" i="43"/>
  <c r="H72" i="43"/>
  <c r="L20" i="6"/>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c r="H16" i="1"/>
  <c r="AB45" i="21"/>
  <c r="AC33" i="21"/>
  <c r="W33" i="21"/>
  <c r="S33" i="21"/>
  <c r="AA33" i="21"/>
  <c r="W32" i="21"/>
  <c r="AC32" i="21"/>
  <c r="AB9" i="21"/>
  <c r="U9" i="21"/>
  <c r="AA32" i="21"/>
  <c r="S32" i="21"/>
  <c r="W9" i="21"/>
  <c r="AC9" i="21"/>
  <c r="AB32" i="21"/>
  <c r="U32" i="21"/>
  <c r="AA10" i="21"/>
  <c r="S10" i="21"/>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D37" i="11"/>
  <c r="D14" i="12"/>
  <c r="D17" i="12"/>
  <c r="C17" i="12"/>
  <c r="M18" i="9"/>
  <c r="B118" i="9"/>
  <c r="B14" i="74"/>
  <c r="B1" i="74"/>
  <c r="C7" i="74"/>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c r="F11" i="12"/>
  <c r="C23" i="12"/>
  <c r="R8" i="1"/>
  <c r="C34" i="69"/>
  <c r="C35" i="69"/>
  <c r="AE7"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77" i="9"/>
  <c r="C74" i="9"/>
  <c r="H77" i="43"/>
  <c r="H76" i="43"/>
  <c r="H51" i="43"/>
  <c r="H67" i="43"/>
  <c r="H59" i="43"/>
  <c r="H60" i="43"/>
  <c r="H61" i="43"/>
  <c r="M4" i="43"/>
  <c r="C6" i="43"/>
  <c r="M5" i="43"/>
  <c r="N12" i="43"/>
  <c r="N11" i="43"/>
  <c r="M10" i="43"/>
  <c r="M2" i="43"/>
  <c r="M7" i="43"/>
  <c r="H70" i="43"/>
  <c r="H54" i="43"/>
  <c r="N9" i="43"/>
  <c r="M8" i="43"/>
  <c r="N10" i="43"/>
  <c r="H48" i="43"/>
  <c r="H74" i="43"/>
  <c r="M6" i="43"/>
  <c r="N7" i="43"/>
  <c r="N4" i="43"/>
  <c r="F81" i="43"/>
  <c r="N2" i="43"/>
  <c r="H49" i="43"/>
  <c r="N17" i="43"/>
  <c r="L17" i="43"/>
  <c r="O17" i="43"/>
  <c r="M17" i="43"/>
  <c r="E17" i="43"/>
  <c r="G59" i="34"/>
  <c r="H59" i="34"/>
  <c r="C70" i="39"/>
  <c r="D68" i="39"/>
  <c r="D70" i="39"/>
  <c r="D58" i="21"/>
  <c r="E58" i="2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E63" i="40"/>
  <c r="F58" i="21"/>
  <c r="G58" i="21"/>
  <c r="H58" i="21"/>
  <c r="E68" i="39"/>
  <c r="V10" i="71"/>
  <c r="C10" i="71"/>
  <c r="D11" i="71"/>
  <c r="E65" i="40"/>
  <c r="F63" i="40"/>
  <c r="F68" i="39"/>
  <c r="E70" i="39"/>
  <c r="I59" i="34"/>
  <c r="J59" i="34"/>
  <c r="D8" i="71"/>
  <c r="T10" i="71"/>
  <c r="D9" i="71"/>
  <c r="D10" i="71"/>
  <c r="F65" i="40"/>
  <c r="G63" i="40"/>
  <c r="G68" i="39"/>
  <c r="G70" i="39"/>
  <c r="F70" i="39"/>
  <c r="U10" i="71"/>
  <c r="G65" i="40"/>
  <c r="H63" i="40"/>
  <c r="H68" i="39"/>
  <c r="H70" i="39"/>
  <c r="H65" i="40"/>
  <c r="I63" i="40"/>
  <c r="I68" i="39"/>
  <c r="I70" i="39"/>
  <c r="I65" i="40"/>
  <c r="J63" i="40"/>
  <c r="J68" i="39"/>
  <c r="J70" i="39"/>
  <c r="K63" i="40"/>
  <c r="K65" i="40"/>
  <c r="J65" i="40"/>
  <c r="L63" i="40"/>
  <c r="L65" i="40"/>
  <c r="M63" i="40"/>
  <c r="M65" i="40"/>
  <c r="N63" i="40"/>
  <c r="N65" i="40"/>
  <c r="B10" i="49"/>
  <c r="E4" i="4"/>
  <c r="B5" i="62"/>
  <c r="B73" i="72"/>
  <c r="M6" i="67"/>
  <c r="M24" i="67"/>
  <c r="F26" i="67"/>
  <c r="F43" i="67"/>
  <c r="F6" i="67"/>
  <c r="F37" i="67"/>
  <c r="M24" i="15"/>
  <c r="M28" i="67"/>
  <c r="F36" i="67"/>
  <c r="B13" i="76"/>
  <c r="D35" i="9"/>
  <c r="B9" i="76"/>
  <c r="E9" i="76"/>
  <c r="E8" i="76"/>
  <c r="F5" i="73"/>
  <c r="F7" i="73"/>
  <c r="D6" i="73"/>
  <c r="D3" i="73"/>
  <c r="AO11" i="1"/>
  <c r="AO10" i="1"/>
  <c r="D7" i="73"/>
  <c r="B7" i="76"/>
  <c r="E2" i="68"/>
  <c r="F20" i="31"/>
  <c r="F16" i="67"/>
  <c r="E13" i="76"/>
  <c r="F9" i="67"/>
  <c r="F3" i="73"/>
  <c r="F38" i="67"/>
  <c r="AO13" i="1"/>
  <c r="AO7" i="1"/>
  <c r="B12" i="76"/>
  <c r="F42" i="67"/>
  <c r="M22" i="67"/>
  <c r="M8" i="67"/>
  <c r="M22" i="15"/>
  <c r="D2" i="36"/>
  <c r="M29" i="67"/>
  <c r="B10" i="76"/>
  <c r="D2" i="37"/>
  <c r="M28" i="15"/>
  <c r="L48" i="67"/>
  <c r="F40" i="67"/>
  <c r="E7" i="76"/>
  <c r="M9" i="67"/>
  <c r="B8" i="76"/>
  <c r="F7" i="67"/>
  <c r="E2" i="69"/>
  <c r="B11" i="76"/>
  <c r="F13" i="67"/>
  <c r="E11" i="76"/>
  <c r="M26" i="15"/>
  <c r="E10" i="76"/>
  <c r="AO9" i="1"/>
  <c r="M23" i="67"/>
  <c r="D2" i="35"/>
  <c r="C76" i="15"/>
  <c r="J15" i="67"/>
  <c r="M26" i="67"/>
  <c r="C76" i="67"/>
  <c r="F6" i="73"/>
  <c r="AO8" i="1"/>
  <c r="F8" i="67"/>
  <c r="J15" i="15"/>
  <c r="D34" i="9"/>
  <c r="L47" i="67"/>
  <c r="L47" i="15"/>
  <c r="E12" i="76"/>
  <c r="D2" i="34"/>
  <c r="D2" i="33"/>
  <c r="M29" i="15"/>
  <c r="M23" i="15"/>
  <c r="D2" i="21"/>
  <c r="AO12" i="1"/>
  <c r="E59" i="43"/>
  <c r="B57" i="43"/>
  <c r="B6" i="49"/>
  <c r="C4" i="4"/>
  <c r="B4" i="62"/>
  <c r="B71" i="72"/>
  <c r="E13" i="49"/>
  <c r="E6" i="49"/>
  <c r="B4" i="49"/>
  <c r="E8" i="49"/>
  <c r="E9" i="49"/>
  <c r="B8" i="49"/>
  <c r="E14" i="49"/>
  <c r="C36" i="11"/>
  <c r="C8" i="74"/>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c r="J22" i="43"/>
  <c r="H101" i="43"/>
  <c r="H102" i="43"/>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c r="G22" i="43"/>
  <c r="Q16" i="1"/>
  <c r="E12" i="6"/>
  <c r="F27" i="6"/>
  <c r="E27" i="6"/>
  <c r="E51" i="40"/>
  <c r="E56" i="39"/>
  <c r="AC6" i="3"/>
  <c r="E6" i="3"/>
  <c r="E302" i="3"/>
  <c r="E535" i="3"/>
  <c r="E503" i="3"/>
  <c r="E550" i="3"/>
  <c r="E17" i="3"/>
  <c r="E445" i="3"/>
  <c r="E361" i="3"/>
  <c r="E260" i="3"/>
  <c r="E213" i="3"/>
  <c r="E172" i="3"/>
  <c r="E183" i="3"/>
  <c r="E395" i="3"/>
  <c r="E565" i="3"/>
  <c r="E563" i="3"/>
  <c r="E528" i="3"/>
  <c r="E415" i="3"/>
  <c r="E304" i="3"/>
  <c r="E278" i="3"/>
  <c r="E261" i="3"/>
  <c r="E114" i="3"/>
  <c r="E237" i="3"/>
  <c r="D19" i="12"/>
  <c r="C19" i="12"/>
  <c r="E13" i="6"/>
  <c r="E15" i="6"/>
  <c r="D24" i="6"/>
  <c r="F32" i="15"/>
  <c r="F60" i="15"/>
  <c r="F31" i="12"/>
  <c r="C31" i="12"/>
  <c r="L103" i="43"/>
  <c r="L107" i="43"/>
  <c r="L109" i="43"/>
  <c r="M100" i="43"/>
  <c r="I100" i="43"/>
  <c r="E100" i="43"/>
  <c r="D100" i="43"/>
  <c r="D88" i="43"/>
  <c r="D86" i="43"/>
  <c r="D82" i="43"/>
  <c r="J83" i="43"/>
  <c r="J85" i="43"/>
  <c r="J87" i="43"/>
  <c r="C94" i="9"/>
  <c r="C92" i="9"/>
  <c r="C20" i="11"/>
  <c r="F54" i="9"/>
  <c r="M18" i="15"/>
  <c r="M18" i="67"/>
  <c r="F30" i="68"/>
  <c r="D68" i="9"/>
  <c r="F28" i="15"/>
  <c r="F30" i="69"/>
  <c r="C30" i="69"/>
  <c r="F32" i="67"/>
  <c r="F60" i="67"/>
  <c r="F52" i="9"/>
  <c r="F28" i="67"/>
  <c r="C28" i="67"/>
  <c r="F30" i="11"/>
  <c r="C40" i="68"/>
  <c r="P61" i="15"/>
  <c r="E11" i="43"/>
  <c r="E9" i="43"/>
  <c r="E10" i="43"/>
  <c r="E8" i="43"/>
  <c r="H106" i="43"/>
  <c r="H109" i="43"/>
  <c r="H105" i="43"/>
  <c r="H107" i="43"/>
  <c r="H83" i="43"/>
  <c r="H86" i="43"/>
  <c r="H87" i="43"/>
  <c r="H81" i="43"/>
  <c r="G81" i="43"/>
  <c r="H88" i="43"/>
  <c r="H82" i="43"/>
  <c r="H85" i="43"/>
  <c r="H84" i="43"/>
  <c r="G17" i="43"/>
  <c r="C16" i="43"/>
  <c r="C5" i="43"/>
  <c r="D23" i="67"/>
  <c r="E61" i="40"/>
  <c r="D9" i="6"/>
  <c r="D20" i="6"/>
  <c r="D15" i="6"/>
  <c r="H104" i="43"/>
  <c r="H103" i="43"/>
  <c r="AR7" i="1"/>
  <c r="M7" i="1"/>
  <c r="O7" i="1"/>
  <c r="P7" i="1"/>
  <c r="F27" i="69"/>
  <c r="C47" i="69"/>
  <c r="D45" i="69"/>
  <c r="F27" i="11"/>
  <c r="C28" i="11"/>
  <c r="C27" i="11"/>
  <c r="T7" i="1"/>
  <c r="E30" i="6"/>
  <c r="K15" i="1"/>
  <c r="K16" i="1"/>
  <c r="D29" i="6"/>
  <c r="D23" i="6"/>
  <c r="C18" i="4"/>
  <c r="D19" i="6"/>
  <c r="M19" i="9"/>
  <c r="C118" i="9"/>
  <c r="C14" i="74"/>
  <c r="B2" i="74"/>
  <c r="D3" i="37"/>
  <c r="E6" i="6"/>
  <c r="D10" i="69"/>
  <c r="D3" i="33"/>
  <c r="D9" i="69"/>
  <c r="C9" i="69"/>
  <c r="E16" i="6"/>
  <c r="F31" i="6"/>
  <c r="D20" i="12"/>
  <c r="C20" i="12"/>
  <c r="F28" i="12"/>
  <c r="C29" i="12"/>
  <c r="D28" i="12"/>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c r="O9" i="1"/>
  <c r="P9" i="1"/>
  <c r="F22" i="43"/>
  <c r="K101" i="43"/>
  <c r="F101" i="43"/>
  <c r="N101" i="43"/>
  <c r="E22" i="43"/>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O8" i="1"/>
  <c r="P8" i="1"/>
  <c r="H75" i="43"/>
  <c r="G11" i="1"/>
  <c r="G9" i="1"/>
  <c r="G16" i="1"/>
  <c r="F10" i="40"/>
  <c r="K59" i="34"/>
  <c r="L59" i="34"/>
  <c r="M59" i="34"/>
  <c r="N59" i="34"/>
  <c r="O59" i="34"/>
  <c r="F7" i="34"/>
  <c r="H7" i="34"/>
  <c r="O63" i="40"/>
  <c r="O65" i="40"/>
  <c r="K68" i="39"/>
  <c r="I58" i="21"/>
  <c r="J58" i="21"/>
  <c r="K58" i="21"/>
  <c r="L58" i="21"/>
  <c r="M58" i="21"/>
  <c r="N58" i="21"/>
  <c r="O58" i="21"/>
  <c r="F7" i="21"/>
  <c r="J7" i="21"/>
  <c r="J7" i="34"/>
  <c r="D46" i="36"/>
  <c r="H7" i="21"/>
  <c r="D48" i="35"/>
  <c r="D52" i="37"/>
  <c r="D58" i="33"/>
  <c r="E58" i="33"/>
  <c r="F58" i="33"/>
  <c r="G58" i="33"/>
  <c r="H58" i="33"/>
  <c r="I58" i="33"/>
  <c r="J58" i="33"/>
  <c r="K58" i="33"/>
  <c r="L58" i="33"/>
  <c r="M58" i="33"/>
  <c r="N58" i="33"/>
  <c r="O58" i="33"/>
  <c r="J7" i="33"/>
  <c r="F7" i="33"/>
  <c r="H7" i="33"/>
  <c r="C28" i="15"/>
  <c r="C48" i="69"/>
  <c r="Y6" i="71"/>
  <c r="Z6" i="71"/>
  <c r="Y5" i="71"/>
  <c r="AA6" i="71"/>
  <c r="AB3" i="71"/>
  <c r="E22" i="49"/>
  <c r="E21" i="49"/>
  <c r="B14" i="49"/>
  <c r="B9" i="49"/>
  <c r="E11" i="49"/>
  <c r="B11" i="49"/>
  <c r="E4" i="49"/>
  <c r="B13" i="49"/>
  <c r="E7" i="49"/>
  <c r="B6" i="71"/>
  <c r="B5" i="71"/>
  <c r="X6" i="71"/>
  <c r="AB6" i="71"/>
  <c r="Z5" i="71"/>
  <c r="Y3" i="71"/>
  <c r="Z3" i="71"/>
  <c r="D6" i="71"/>
  <c r="F6" i="71"/>
  <c r="F5" i="71"/>
  <c r="C14" i="12"/>
  <c r="AF3" i="71"/>
  <c r="P22" i="43"/>
  <c r="P21" i="43"/>
  <c r="P24" i="43"/>
  <c r="B66" i="40"/>
  <c r="C38" i="69"/>
  <c r="C6" i="67"/>
  <c r="B10" i="70"/>
  <c r="Q71" i="15"/>
  <c r="L56" i="15"/>
  <c r="Q50" i="15"/>
  <c r="I54" i="15"/>
  <c r="K1" i="73"/>
  <c r="B20" i="31"/>
  <c r="F51" i="67"/>
  <c r="F65" i="67"/>
  <c r="B12" i="70"/>
  <c r="J53" i="67"/>
  <c r="J57" i="67"/>
  <c r="J55" i="67"/>
  <c r="J58" i="67"/>
  <c r="Q50" i="67"/>
  <c r="L56" i="67"/>
  <c r="I54" i="67"/>
  <c r="F50" i="15"/>
  <c r="F51" i="15"/>
  <c r="F71" i="15"/>
  <c r="B7" i="70"/>
  <c r="F66" i="67"/>
  <c r="B11" i="70"/>
  <c r="L59" i="15"/>
  <c r="N59" i="15"/>
  <c r="L58" i="15"/>
  <c r="M59" i="15"/>
  <c r="B8" i="70"/>
  <c r="F66" i="15"/>
  <c r="Q71" i="67"/>
  <c r="F64" i="15"/>
  <c r="F70" i="67"/>
  <c r="C27" i="67"/>
  <c r="F71" i="67"/>
  <c r="F65" i="15"/>
  <c r="B9" i="70"/>
  <c r="N59" i="67"/>
  <c r="L59" i="67"/>
  <c r="L58" i="67"/>
  <c r="M59" i="67"/>
  <c r="B13" i="70"/>
  <c r="M7" i="67"/>
  <c r="J6" i="67"/>
  <c r="F50" i="67"/>
  <c r="F68" i="67"/>
  <c r="F64" i="67"/>
  <c r="F68" i="15"/>
  <c r="C14" i="67"/>
  <c r="M17" i="67"/>
  <c r="C17" i="67"/>
  <c r="M17" i="15"/>
  <c r="F59" i="15"/>
  <c r="F31" i="67"/>
  <c r="F41" i="67"/>
  <c r="F59" i="67"/>
  <c r="F31" i="15"/>
  <c r="C16" i="67"/>
  <c r="K4" i="4"/>
  <c r="B46" i="48"/>
  <c r="B4" i="72"/>
  <c r="M16" i="1"/>
  <c r="L16" i="1"/>
  <c r="D26" i="6"/>
  <c r="D8" i="6"/>
  <c r="D14" i="6"/>
  <c r="D21" i="6"/>
  <c r="D5" i="6"/>
  <c r="D10" i="6"/>
  <c r="D13" i="6"/>
  <c r="F69" i="67"/>
  <c r="F69" i="15"/>
  <c r="D25" i="6"/>
  <c r="D22" i="6"/>
  <c r="D11" i="6"/>
  <c r="D28" i="6"/>
  <c r="D30" i="6"/>
  <c r="C18" i="12"/>
  <c r="K20" i="6"/>
  <c r="M20" i="6"/>
  <c r="I20" i="6"/>
  <c r="K24" i="6"/>
  <c r="M24" i="6"/>
  <c r="I24" i="6"/>
  <c r="K26" i="6"/>
  <c r="M26" i="6"/>
  <c r="I26" i="6"/>
  <c r="K19" i="6"/>
  <c r="K23" i="6"/>
  <c r="M23" i="6"/>
  <c r="I23" i="6"/>
  <c r="K21" i="6"/>
  <c r="M21" i="6"/>
  <c r="I21" i="6"/>
  <c r="K22" i="6"/>
  <c r="M22" i="6"/>
  <c r="I22" i="6"/>
  <c r="K25" i="6"/>
  <c r="M25" i="6"/>
  <c r="I25" i="6"/>
  <c r="D16" i="6"/>
  <c r="E31" i="6"/>
  <c r="E62" i="39"/>
  <c r="E57" i="40"/>
  <c r="E60" i="40"/>
  <c r="E65" i="39"/>
  <c r="E58" i="40"/>
  <c r="E63" i="39"/>
  <c r="E66" i="39"/>
  <c r="D8" i="74"/>
  <c r="D7" i="74"/>
  <c r="AG6" i="1"/>
  <c r="K81" i="43"/>
  <c r="M81" i="43"/>
  <c r="N81" i="43"/>
  <c r="C48" i="68"/>
  <c r="C30" i="68"/>
  <c r="C48" i="11"/>
  <c r="C30" i="11"/>
  <c r="D5" i="43"/>
  <c r="D22" i="43"/>
  <c r="C21" i="43"/>
  <c r="C29" i="69"/>
  <c r="D27" i="69"/>
  <c r="C34" i="11"/>
  <c r="C29" i="11"/>
  <c r="D27" i="11"/>
  <c r="C47" i="11"/>
  <c r="D45" i="11"/>
  <c r="C10" i="69"/>
  <c r="C8" i="69"/>
  <c r="C5" i="69"/>
  <c r="D19" i="69"/>
  <c r="D27" i="6"/>
  <c r="C4" i="52"/>
  <c r="B45" i="72"/>
  <c r="A10" i="51"/>
  <c r="B9" i="72"/>
  <c r="A7" i="51"/>
  <c r="B7" i="72"/>
  <c r="D10" i="11"/>
  <c r="C10" i="11"/>
  <c r="D6" i="6"/>
  <c r="P16" i="1"/>
  <c r="C11" i="12"/>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c r="K118" i="43"/>
  <c r="L118" i="43"/>
  <c r="M118" i="43"/>
  <c r="D118" i="43"/>
  <c r="E118" i="43"/>
  <c r="F118"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I115" i="43"/>
  <c r="J115" i="43"/>
  <c r="K115" i="43"/>
  <c r="L115" i="43"/>
  <c r="M115" i="43"/>
  <c r="B116" i="43"/>
  <c r="C116" i="43"/>
  <c r="I117" i="43"/>
  <c r="J117" i="43"/>
  <c r="K117" i="43"/>
  <c r="L117" i="43"/>
  <c r="M117" i="43"/>
  <c r="B117" i="43"/>
  <c r="C117" i="43"/>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c r="F10" i="39"/>
  <c r="S10" i="39"/>
  <c r="W7" i="33"/>
  <c r="AC7" i="33"/>
  <c r="V48" i="33"/>
  <c r="I48" i="33"/>
  <c r="AA7" i="33"/>
  <c r="R48" i="33"/>
  <c r="S7" i="33"/>
  <c r="E48" i="35"/>
  <c r="AA10" i="40"/>
  <c r="S10" i="40"/>
  <c r="U7" i="21"/>
  <c r="AB7" i="21"/>
  <c r="T48" i="21"/>
  <c r="G48" i="21"/>
  <c r="E46" i="36"/>
  <c r="AC7" i="34"/>
  <c r="V49" i="34"/>
  <c r="I49" i="34"/>
  <c r="W7" i="34"/>
  <c r="AC7" i="21"/>
  <c r="V48" i="21"/>
  <c r="I48" i="21"/>
  <c r="W7" i="21"/>
  <c r="F7" i="40"/>
  <c r="J7" i="40"/>
  <c r="H7" i="40"/>
  <c r="AA7" i="34"/>
  <c r="R49" i="34"/>
  <c r="S7" i="34"/>
  <c r="U7" i="33"/>
  <c r="AB7" i="33"/>
  <c r="T48" i="33"/>
  <c r="G48" i="33"/>
  <c r="E52" i="37"/>
  <c r="AA7" i="21"/>
  <c r="R48" i="21"/>
  <c r="S7" i="21"/>
  <c r="K70" i="39"/>
  <c r="L68" i="39"/>
  <c r="U7" i="34"/>
  <c r="AB7" i="34"/>
  <c r="T49" i="34"/>
  <c r="G49" i="34"/>
  <c r="C49" i="67"/>
  <c r="P25" i="43"/>
  <c r="P23" i="43"/>
  <c r="B71" i="39"/>
  <c r="M20" i="43"/>
  <c r="C19" i="43"/>
  <c r="C49" i="15"/>
  <c r="C15" i="67"/>
  <c r="C18" i="67"/>
  <c r="J18" i="15"/>
  <c r="C32" i="67"/>
  <c r="Q60" i="67"/>
  <c r="Q73" i="67"/>
  <c r="M28" i="43"/>
  <c r="N28" i="43"/>
  <c r="O28" i="43"/>
  <c r="M11" i="67"/>
  <c r="J10" i="67"/>
  <c r="J5" i="67"/>
  <c r="F11" i="67"/>
  <c r="F1" i="15"/>
  <c r="Q52" i="15"/>
  <c r="J18" i="67"/>
  <c r="F1" i="67"/>
  <c r="Q52" i="67"/>
  <c r="Q60" i="15"/>
  <c r="Q73" i="15"/>
  <c r="Q61" i="67"/>
  <c r="Q74" i="67"/>
  <c r="Q74" i="15"/>
  <c r="Q61" i="15"/>
  <c r="M27" i="67"/>
  <c r="M27" i="15"/>
  <c r="N16" i="1"/>
  <c r="C23" i="43"/>
  <c r="S3" i="43"/>
  <c r="S2" i="43"/>
  <c r="S4" i="43"/>
  <c r="S7" i="43"/>
  <c r="S6" i="43"/>
  <c r="S5" i="43"/>
  <c r="D31" i="6"/>
  <c r="S25" i="6"/>
  <c r="H25" i="6"/>
  <c r="R25" i="6"/>
  <c r="S21" i="6"/>
  <c r="H21" i="6"/>
  <c r="R21" i="6"/>
  <c r="M19" i="6"/>
  <c r="K27" i="6"/>
  <c r="S6" i="1"/>
  <c r="S24" i="6"/>
  <c r="H24" i="6"/>
  <c r="R24" i="6"/>
  <c r="S22" i="6"/>
  <c r="H22" i="6"/>
  <c r="R22" i="6"/>
  <c r="S23" i="6"/>
  <c r="H23" i="6"/>
  <c r="R23" i="6"/>
  <c r="S26" i="6"/>
  <c r="H26" i="6"/>
  <c r="R26" i="6"/>
  <c r="S20" i="6"/>
  <c r="H20" i="6"/>
  <c r="R20" i="6"/>
  <c r="D81" i="43"/>
  <c r="E81" i="43"/>
  <c r="B79" i="43"/>
  <c r="C24" i="43"/>
  <c r="J81" i="43"/>
  <c r="E41" i="43"/>
  <c r="C41" i="43"/>
  <c r="C38" i="11"/>
  <c r="C35" i="11"/>
  <c r="I5" i="6"/>
  <c r="I6" i="6"/>
  <c r="C19" i="69"/>
  <c r="C20" i="69"/>
  <c r="C28" i="69"/>
  <c r="C27" i="69"/>
  <c r="D37" i="69"/>
  <c r="C37" i="69"/>
  <c r="C33" i="69"/>
  <c r="C39" i="69"/>
  <c r="AB10" i="40"/>
  <c r="C115" i="43"/>
  <c r="D113" i="43"/>
  <c r="C15" i="12"/>
  <c r="C12" i="12"/>
  <c r="AA10" i="39"/>
  <c r="U10" i="39"/>
  <c r="AB10" i="39"/>
  <c r="W10" i="39"/>
  <c r="AC10" i="39"/>
  <c r="W10" i="40"/>
  <c r="AC10" i="40"/>
  <c r="G54" i="34"/>
  <c r="H54" i="34"/>
  <c r="G53" i="34"/>
  <c r="H53" i="34"/>
  <c r="U7" i="40"/>
  <c r="AB7" i="40"/>
  <c r="T42" i="40"/>
  <c r="G42" i="40"/>
  <c r="AA7" i="40"/>
  <c r="R42" i="40"/>
  <c r="S7" i="40"/>
  <c r="I52" i="21"/>
  <c r="J52" i="21"/>
  <c r="I53" i="34"/>
  <c r="J53" i="34"/>
  <c r="G52" i="21"/>
  <c r="H52" i="21"/>
  <c r="G53" i="21"/>
  <c r="H53" i="21"/>
  <c r="I52" i="33"/>
  <c r="J52" i="33"/>
  <c r="L70" i="39"/>
  <c r="M68" i="39"/>
  <c r="G52" i="33"/>
  <c r="H52" i="33"/>
  <c r="G53" i="33"/>
  <c r="H53" i="33"/>
  <c r="R49" i="21"/>
  <c r="E48" i="21"/>
  <c r="I53" i="21"/>
  <c r="J53" i="21"/>
  <c r="F52" i="37"/>
  <c r="R50" i="34"/>
  <c r="E49" i="34"/>
  <c r="AC7" i="40"/>
  <c r="V42" i="40"/>
  <c r="I42" i="40"/>
  <c r="W7" i="40"/>
  <c r="F46" i="36"/>
  <c r="F48" i="35"/>
  <c r="R49" i="33"/>
  <c r="E48" i="33"/>
  <c r="I53" i="33"/>
  <c r="J53" i="33"/>
  <c r="C19" i="67"/>
  <c r="C20" i="67"/>
  <c r="C26" i="67"/>
  <c r="J26" i="67"/>
  <c r="J29" i="67"/>
  <c r="J24" i="67"/>
  <c r="J24" i="15"/>
  <c r="C53" i="67"/>
  <c r="C48" i="67"/>
  <c r="C10" i="67"/>
  <c r="C5" i="67"/>
  <c r="C53" i="15"/>
  <c r="C48" i="15"/>
  <c r="F25" i="12"/>
  <c r="F22" i="69"/>
  <c r="F24" i="67"/>
  <c r="C24" i="67"/>
  <c r="F22" i="11"/>
  <c r="F50" i="68"/>
  <c r="F50" i="11"/>
  <c r="F50" i="69"/>
  <c r="E6" i="70"/>
  <c r="E2" i="70"/>
  <c r="AR6" i="1"/>
  <c r="T6" i="1"/>
  <c r="AQ6" i="1"/>
  <c r="S16" i="1"/>
  <c r="I19" i="6"/>
  <c r="M27" i="6"/>
  <c r="C33" i="11"/>
  <c r="C39" i="11"/>
  <c r="C46" i="11"/>
  <c r="C45" i="11"/>
  <c r="C46" i="69"/>
  <c r="C45" i="69"/>
  <c r="C34" i="43"/>
  <c r="T14" i="43"/>
  <c r="V14" i="43"/>
  <c r="C36" i="43"/>
  <c r="T4" i="43"/>
  <c r="V4" i="43"/>
  <c r="T6" i="43"/>
  <c r="V6" i="43"/>
  <c r="T10" i="43"/>
  <c r="V10" i="43"/>
  <c r="C33" i="43"/>
  <c r="T13" i="43"/>
  <c r="V13" i="43"/>
  <c r="T2" i="43"/>
  <c r="V2" i="43"/>
  <c r="T3" i="43"/>
  <c r="V3" i="43"/>
  <c r="T12" i="43"/>
  <c r="V12" i="43"/>
  <c r="T8" i="43"/>
  <c r="V8" i="43"/>
  <c r="T7" i="43"/>
  <c r="V7" i="43"/>
  <c r="T15" i="43"/>
  <c r="V15" i="43"/>
  <c r="T11" i="43"/>
  <c r="V11" i="43"/>
  <c r="C37" i="43"/>
  <c r="T5" i="43"/>
  <c r="V5" i="43"/>
  <c r="T16" i="43"/>
  <c r="V16" i="43"/>
  <c r="T9" i="43"/>
  <c r="V9" i="43"/>
  <c r="C35" i="43"/>
  <c r="C38" i="43"/>
  <c r="C39" i="43"/>
  <c r="C19" i="68"/>
  <c r="C16" i="12"/>
  <c r="C21" i="12"/>
  <c r="C22" i="12"/>
  <c r="H7" i="36"/>
  <c r="C48" i="33"/>
  <c r="C49" i="33"/>
  <c r="B2" i="33"/>
  <c r="B3" i="33"/>
  <c r="E53" i="34"/>
  <c r="F53" i="34"/>
  <c r="E54" i="34"/>
  <c r="F54" i="34"/>
  <c r="G52" i="37"/>
  <c r="C49" i="21"/>
  <c r="B2" i="21"/>
  <c r="B3" i="21"/>
  <c r="C48" i="21"/>
  <c r="M70" i="39"/>
  <c r="N68" i="39"/>
  <c r="G47" i="40"/>
  <c r="H47" i="40"/>
  <c r="G46" i="40"/>
  <c r="H46" i="40"/>
  <c r="E53" i="33"/>
  <c r="F53" i="33"/>
  <c r="E52" i="33"/>
  <c r="F52" i="33"/>
  <c r="G48" i="35"/>
  <c r="G46" i="36"/>
  <c r="H46" i="36"/>
  <c r="I46" i="36"/>
  <c r="J46" i="36"/>
  <c r="K46" i="36"/>
  <c r="L46" i="36"/>
  <c r="M46" i="36"/>
  <c r="N46" i="36"/>
  <c r="O46" i="36"/>
  <c r="F7" i="36"/>
  <c r="J7" i="36"/>
  <c r="I46" i="40"/>
  <c r="J46" i="40"/>
  <c r="C49" i="34"/>
  <c r="C50" i="34"/>
  <c r="B2" i="34"/>
  <c r="B3" i="34"/>
  <c r="E52" i="21"/>
  <c r="F52" i="21"/>
  <c r="E53" i="21"/>
  <c r="F53" i="21"/>
  <c r="I54" i="34"/>
  <c r="J54" i="34"/>
  <c r="R43" i="40"/>
  <c r="E42" i="40"/>
  <c r="I47" i="40"/>
  <c r="J47" i="40"/>
  <c r="C60" i="15"/>
  <c r="C66" i="15"/>
  <c r="C26" i="69"/>
  <c r="D22" i="69"/>
  <c r="C44" i="69"/>
  <c r="D41" i="69"/>
  <c r="C23" i="69"/>
  <c r="C24" i="69"/>
  <c r="C25" i="69"/>
  <c r="C42" i="69"/>
  <c r="C26" i="12"/>
  <c r="D25" i="12"/>
  <c r="C44" i="11"/>
  <c r="D41" i="11"/>
  <c r="C23" i="11"/>
  <c r="C24" i="11"/>
  <c r="C25" i="11"/>
  <c r="C26" i="11"/>
  <c r="D22" i="11"/>
  <c r="C42" i="11"/>
  <c r="C43" i="69"/>
  <c r="C38" i="67"/>
  <c r="C66" i="67"/>
  <c r="C60" i="67"/>
  <c r="C23" i="67"/>
  <c r="C29" i="67"/>
  <c r="L18" i="9"/>
  <c r="I27" i="6"/>
  <c r="S19" i="6"/>
  <c r="S27" i="6"/>
  <c r="H19" i="6"/>
  <c r="T16" i="1"/>
  <c r="C43" i="11"/>
  <c r="E38" i="43"/>
  <c r="G38" i="43"/>
  <c r="I38" i="43"/>
  <c r="E37" i="43"/>
  <c r="G37" i="43"/>
  <c r="I37" i="43"/>
  <c r="E39" i="43"/>
  <c r="G39" i="43"/>
  <c r="I39" i="43"/>
  <c r="E35" i="43"/>
  <c r="G35" i="43"/>
  <c r="I35" i="43"/>
  <c r="C30" i="43"/>
  <c r="E30" i="43"/>
  <c r="G33" i="43"/>
  <c r="I33" i="43"/>
  <c r="E33" i="43"/>
  <c r="E36" i="43"/>
  <c r="G36" i="43"/>
  <c r="I36" i="43"/>
  <c r="G34" i="43"/>
  <c r="I34" i="43"/>
  <c r="E34" i="43"/>
  <c r="C30" i="12"/>
  <c r="C28" i="12"/>
  <c r="C27" i="12"/>
  <c r="C25" i="12"/>
  <c r="S7" i="36"/>
  <c r="AA7" i="36"/>
  <c r="R36" i="36"/>
  <c r="O68" i="39"/>
  <c r="O70" i="39"/>
  <c r="N70" i="39"/>
  <c r="C43" i="40"/>
  <c r="C42" i="40"/>
  <c r="AC7" i="36"/>
  <c r="V36" i="36"/>
  <c r="I36" i="36"/>
  <c r="W7" i="36"/>
  <c r="H48" i="35"/>
  <c r="J7" i="39"/>
  <c r="F7" i="39"/>
  <c r="H7" i="39"/>
  <c r="H52" i="37"/>
  <c r="E46" i="40"/>
  <c r="F46" i="40"/>
  <c r="E47" i="40"/>
  <c r="F47" i="40"/>
  <c r="AB7" i="36"/>
  <c r="T36" i="36"/>
  <c r="G36" i="36"/>
  <c r="U7" i="36"/>
  <c r="C41" i="11"/>
  <c r="C49" i="11"/>
  <c r="C51" i="11"/>
  <c r="C22" i="69"/>
  <c r="C31" i="69"/>
  <c r="C22" i="11"/>
  <c r="C31" i="11"/>
  <c r="C41" i="69"/>
  <c r="C49" i="69"/>
  <c r="C51" i="69"/>
  <c r="C36" i="67"/>
  <c r="C33" i="67"/>
  <c r="J14" i="67"/>
  <c r="C13" i="67"/>
  <c r="J19" i="67"/>
  <c r="C57" i="67"/>
  <c r="Q49" i="67"/>
  <c r="J59" i="67"/>
  <c r="J60" i="67"/>
  <c r="L19" i="9"/>
  <c r="H27" i="6"/>
  <c r="R19" i="6"/>
  <c r="C26" i="43"/>
  <c r="C27" i="43"/>
  <c r="C32" i="12"/>
  <c r="B2" i="12"/>
  <c r="B3" i="12"/>
  <c r="U7" i="39"/>
  <c r="AB7" i="39"/>
  <c r="T47" i="39"/>
  <c r="G47" i="39"/>
  <c r="W7" i="39"/>
  <c r="AC7" i="39"/>
  <c r="V47" i="39"/>
  <c r="I47" i="39"/>
  <c r="E36" i="36"/>
  <c r="R37" i="36"/>
  <c r="G40" i="36"/>
  <c r="H40" i="36"/>
  <c r="G41" i="36"/>
  <c r="H41" i="36"/>
  <c r="I52" i="37"/>
  <c r="S7" i="39"/>
  <c r="AA7" i="39"/>
  <c r="R47" i="39"/>
  <c r="I48" i="35"/>
  <c r="I40" i="36"/>
  <c r="J40" i="36"/>
  <c r="I41" i="36"/>
  <c r="J41" i="36"/>
  <c r="B56" i="40"/>
  <c r="F56" i="40"/>
  <c r="B60" i="40"/>
  <c r="F60" i="40"/>
  <c r="B57" i="40"/>
  <c r="F57" i="40"/>
  <c r="B51" i="40"/>
  <c r="F51" i="40"/>
  <c r="F61" i="40"/>
  <c r="B2" i="40"/>
  <c r="B3" i="40"/>
  <c r="B55" i="40"/>
  <c r="F55" i="40"/>
  <c r="B58" i="40"/>
  <c r="F58" i="40"/>
  <c r="B54" i="40"/>
  <c r="F54" i="40"/>
  <c r="B53" i="40"/>
  <c r="F53" i="40"/>
  <c r="B59" i="40"/>
  <c r="F59" i="40"/>
  <c r="B52" i="40"/>
  <c r="F52" i="40"/>
  <c r="C52" i="11"/>
  <c r="B2" i="11"/>
  <c r="B3" i="11"/>
  <c r="J13" i="67"/>
  <c r="J23" i="67"/>
  <c r="J22" i="67"/>
  <c r="C61" i="67"/>
  <c r="C64" i="67"/>
  <c r="C52" i="69"/>
  <c r="B2" i="69"/>
  <c r="B3" i="69"/>
  <c r="Q48" i="67"/>
  <c r="C56" i="67"/>
  <c r="C65" i="67"/>
  <c r="C75" i="67"/>
  <c r="Q70" i="67"/>
  <c r="C37" i="67"/>
  <c r="E6" i="76"/>
  <c r="J14" i="15"/>
  <c r="R27" i="6"/>
  <c r="C56" i="11"/>
  <c r="C57" i="11"/>
  <c r="E2" i="76"/>
  <c r="B2" i="43"/>
  <c r="R48" i="39"/>
  <c r="E47" i="39"/>
  <c r="C36" i="36"/>
  <c r="C37" i="36"/>
  <c r="B2" i="36"/>
  <c r="B3" i="36"/>
  <c r="I51" i="39"/>
  <c r="J51" i="39"/>
  <c r="I52" i="39"/>
  <c r="J52" i="39"/>
  <c r="G51" i="39"/>
  <c r="H51" i="39"/>
  <c r="G52" i="39"/>
  <c r="H52" i="39"/>
  <c r="J48" i="35"/>
  <c r="J52" i="37"/>
  <c r="E40" i="36"/>
  <c r="F40" i="36"/>
  <c r="E41" i="36"/>
  <c r="F41" i="36"/>
  <c r="C57" i="69"/>
  <c r="C56" i="69"/>
  <c r="B6" i="76"/>
  <c r="F35" i="67"/>
  <c r="M21" i="15"/>
  <c r="M21" i="67"/>
  <c r="C34" i="67"/>
  <c r="C31" i="67"/>
  <c r="C30" i="67"/>
  <c r="C39" i="67"/>
  <c r="F63" i="67"/>
  <c r="C62" i="67"/>
  <c r="C59" i="67"/>
  <c r="C58" i="67"/>
  <c r="C67" i="67"/>
  <c r="C68" i="67"/>
  <c r="J20" i="67"/>
  <c r="J17" i="67"/>
  <c r="J16" i="67"/>
  <c r="J25" i="67"/>
  <c r="Q48" i="15"/>
  <c r="J19" i="15"/>
  <c r="Q49" i="15"/>
  <c r="C57" i="15"/>
  <c r="C64" i="15"/>
  <c r="Q70" i="15"/>
  <c r="J20" i="15"/>
  <c r="F63" i="15"/>
  <c r="C62" i="15"/>
  <c r="R16" i="1"/>
  <c r="C61" i="15"/>
  <c r="J13" i="15"/>
  <c r="J23" i="15"/>
  <c r="J22" i="15"/>
  <c r="B2" i="76"/>
  <c r="B3" i="76"/>
  <c r="B3" i="43"/>
  <c r="K52" i="37"/>
  <c r="E52" i="39"/>
  <c r="F52" i="39"/>
  <c r="E51" i="39"/>
  <c r="F51" i="39"/>
  <c r="K48" i="35"/>
  <c r="C48" i="39"/>
  <c r="C47" i="39"/>
  <c r="L57" i="15"/>
  <c r="L60" i="15"/>
  <c r="C71" i="67"/>
  <c r="L51" i="67"/>
  <c r="J17" i="15"/>
  <c r="J16" i="15"/>
  <c r="J25" i="15"/>
  <c r="Q67" i="67"/>
  <c r="L57" i="67"/>
  <c r="L60" i="67"/>
  <c r="L46" i="67"/>
  <c r="C40" i="67"/>
  <c r="C80" i="67"/>
  <c r="C79" i="67"/>
  <c r="Q69" i="67"/>
  <c r="Q68" i="67"/>
  <c r="C75" i="15"/>
  <c r="C56" i="15"/>
  <c r="C65" i="15"/>
  <c r="C59" i="15"/>
  <c r="B59" i="39"/>
  <c r="F59" i="39"/>
  <c r="B58" i="39"/>
  <c r="F58" i="39"/>
  <c r="B60" i="39"/>
  <c r="F60" i="39"/>
  <c r="B65" i="39"/>
  <c r="F65" i="39"/>
  <c r="B62" i="39"/>
  <c r="F62" i="39"/>
  <c r="B56" i="39"/>
  <c r="F56" i="39"/>
  <c r="F66" i="39"/>
  <c r="B2" i="39"/>
  <c r="B3" i="39"/>
  <c r="B63" i="39"/>
  <c r="F63" i="39"/>
  <c r="B57" i="39"/>
  <c r="F57" i="39"/>
  <c r="B61" i="39"/>
  <c r="F61" i="39"/>
  <c r="B64" i="39"/>
  <c r="F64" i="39"/>
  <c r="L48" i="35"/>
  <c r="L52" i="37"/>
  <c r="Q66" i="15"/>
  <c r="Q57" i="15"/>
  <c r="D19" i="9"/>
  <c r="AO6" i="1"/>
  <c r="L51" i="15"/>
  <c r="Q66" i="67"/>
  <c r="Q57" i="67"/>
  <c r="C45" i="67"/>
  <c r="C46" i="67"/>
  <c r="C43" i="67"/>
  <c r="Q47" i="67"/>
  <c r="Q53" i="67"/>
  <c r="Q65" i="67"/>
  <c r="D2" i="67"/>
  <c r="Q56" i="67"/>
  <c r="C83" i="67"/>
  <c r="C82" i="67"/>
  <c r="C58" i="15"/>
  <c r="C67" i="15"/>
  <c r="C68" i="15"/>
  <c r="C71" i="15"/>
  <c r="Q67" i="15"/>
  <c r="Q69" i="15"/>
  <c r="Q68" i="15"/>
  <c r="C80" i="15"/>
  <c r="C79" i="15"/>
  <c r="C57" i="68"/>
  <c r="C56" i="68"/>
  <c r="D102" i="9"/>
  <c r="D21" i="9"/>
  <c r="B6" i="70"/>
  <c r="B2" i="70"/>
  <c r="B3" i="70"/>
  <c r="M52" i="37"/>
  <c r="N52" i="37"/>
  <c r="O52" i="37"/>
  <c r="J7" i="37"/>
  <c r="M48" i="35"/>
  <c r="N48" i="35"/>
  <c r="O48" i="35"/>
  <c r="H7" i="35"/>
  <c r="Q62" i="67"/>
  <c r="Q75" i="67"/>
  <c r="B3" i="67"/>
  <c r="B2" i="67"/>
  <c r="Q65" i="15"/>
  <c r="Q75" i="15"/>
  <c r="C83" i="15"/>
  <c r="C82" i="15"/>
  <c r="Q56" i="15"/>
  <c r="Q62" i="15"/>
  <c r="Q47" i="15"/>
  <c r="Q53" i="15"/>
  <c r="C46" i="15"/>
  <c r="C43" i="15"/>
  <c r="D103" i="9"/>
  <c r="AC7" i="37"/>
  <c r="V42" i="37"/>
  <c r="I42" i="37"/>
  <c r="W7" i="37"/>
  <c r="AB7" i="35"/>
  <c r="T38" i="35"/>
  <c r="G38" i="35"/>
  <c r="U7" i="35"/>
  <c r="J7" i="35"/>
  <c r="F7" i="35"/>
  <c r="F7" i="37"/>
  <c r="H7" i="37"/>
  <c r="C19" i="9"/>
  <c r="G19" i="9"/>
  <c r="C102" i="9"/>
  <c r="C21" i="9"/>
  <c r="D22" i="9"/>
  <c r="AB7" i="37"/>
  <c r="T42" i="37"/>
  <c r="G42" i="37"/>
  <c r="U7" i="37"/>
  <c r="S7" i="35"/>
  <c r="AA7" i="35"/>
  <c r="R38" i="35"/>
  <c r="AA7" i="37"/>
  <c r="R42" i="37"/>
  <c r="S7" i="37"/>
  <c r="W7" i="35"/>
  <c r="AC7" i="35"/>
  <c r="V38" i="35"/>
  <c r="I38" i="35"/>
  <c r="G42" i="35"/>
  <c r="H42" i="35"/>
  <c r="G43" i="35"/>
  <c r="H43" i="35"/>
  <c r="I46" i="37"/>
  <c r="J46" i="37"/>
  <c r="J20" i="9"/>
  <c r="C103" i="9"/>
  <c r="G21" i="9"/>
  <c r="C32" i="9"/>
  <c r="E42" i="37"/>
  <c r="R43" i="37"/>
  <c r="G46" i="37"/>
  <c r="H46" i="37"/>
  <c r="G47" i="37"/>
  <c r="H47" i="37"/>
  <c r="I42" i="35"/>
  <c r="J42" i="35"/>
  <c r="R39" i="35"/>
  <c r="E38" i="35"/>
  <c r="C35" i="9"/>
  <c r="H118" i="9"/>
  <c r="C39" i="35"/>
  <c r="B2" i="35"/>
  <c r="B3" i="35"/>
  <c r="C38" i="35"/>
  <c r="E47" i="37"/>
  <c r="F47" i="37"/>
  <c r="E46" i="37"/>
  <c r="F46" i="37"/>
  <c r="I47" i="37"/>
  <c r="J47" i="37"/>
  <c r="E43" i="35"/>
  <c r="F43" i="35"/>
  <c r="E42" i="35"/>
  <c r="F42" i="35"/>
  <c r="I43" i="35"/>
  <c r="J43" i="35"/>
  <c r="C42" i="37"/>
  <c r="C43" i="37"/>
  <c r="B2" i="37"/>
  <c r="B3" i="37"/>
  <c r="H4" i="52"/>
  <c r="C104" i="9"/>
  <c r="I118" i="9"/>
  <c r="H101" i="9"/>
  <c r="D14" i="74"/>
  <c r="H119" i="9"/>
  <c r="H5" i="52"/>
  <c r="F118" i="9"/>
  <c r="C34" i="9"/>
  <c r="D118" i="9"/>
  <c r="D119" i="9"/>
  <c r="D5" i="52"/>
  <c r="B49" i="72"/>
  <c r="D4" i="52"/>
  <c r="B47" i="72"/>
  <c r="D45" i="9"/>
  <c r="H107" i="9"/>
  <c r="D5" i="53"/>
  <c r="M48" i="9"/>
  <c r="G118" i="9"/>
  <c r="G4" i="52"/>
  <c r="B52" i="72"/>
  <c r="F119" i="9"/>
  <c r="F5" i="52"/>
  <c r="B53" i="72"/>
  <c r="F4" i="52"/>
  <c r="B51" i="72"/>
  <c r="E14" i="74"/>
  <c r="F14" i="74"/>
  <c r="B5" i="74"/>
  <c r="C105" i="9"/>
  <c r="H102" i="9"/>
  <c r="D7" i="53"/>
  <c r="B21" i="72"/>
  <c r="I4" i="52"/>
  <c r="E118" i="9"/>
  <c r="E4" i="52"/>
  <c r="B48" i="72"/>
  <c r="C5" i="74"/>
  <c r="D5" i="74"/>
  <c r="H108" i="9"/>
  <c r="D15" i="53"/>
  <c r="B31" i="72"/>
  <c r="D13" i="53"/>
  <c r="D122" i="9"/>
  <c r="D6" i="53"/>
  <c r="B22" i="72"/>
  <c r="B20" i="72"/>
  <c r="C72" i="9"/>
  <c r="C85" i="9"/>
  <c r="C93" i="9"/>
  <c r="C86" i="9"/>
  <c r="D52" i="9"/>
  <c r="C64" i="9"/>
  <c r="C63" i="9"/>
  <c r="C67" i="9"/>
  <c r="C68" i="9"/>
  <c r="D54" i="9"/>
  <c r="D53" i="9"/>
  <c r="D55" i="9"/>
  <c r="M53" i="9"/>
  <c r="C78" i="9"/>
  <c r="C73" i="9"/>
  <c r="C79" i="9"/>
  <c r="C80" i="9"/>
  <c r="E80" i="9"/>
  <c r="E81" i="9"/>
  <c r="C95" i="9"/>
  <c r="C96" i="9"/>
  <c r="E96" i="9"/>
  <c r="E97" i="9"/>
  <c r="G14" i="74"/>
  <c r="B6" i="74"/>
  <c r="D123" i="9"/>
  <c r="D9" i="52"/>
  <c r="D8" i="52"/>
  <c r="B30" i="72"/>
  <c r="D14" i="53"/>
  <c r="B32" i="72"/>
  <c r="C81" i="9"/>
  <c r="C97" i="9"/>
  <c r="D58" i="9"/>
  <c r="D56" i="9"/>
  <c r="M54" i="9"/>
  <c r="N57" i="9"/>
  <c r="N58" i="9"/>
  <c r="C6" i="74"/>
  <c r="D6" i="74"/>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<sst xmlns="http://schemas.openxmlformats.org/spreadsheetml/2006/main" count="7317" uniqueCount="3098">
  <si>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</si>
  <si>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</si>
  <si>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</si>
  <si>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</si>
  <si>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</si>
  <si>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</si>
  <si>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</si>
  <si>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</si>
  <si>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</si>
  <si>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</si>
  <si>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</si>
  <si>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</si>
  <si>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</si>
  <si>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</si>
  <si>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</si>
  <si>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</si>
  <si>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</si>
  <si>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</si>
  <si>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</si>
  <si>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</si>
  <si>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</si>
  <si>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</si>
  <si>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</si>
  <si>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</si>
  <si>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</si>
  <si>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</si>
  <si>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</si>
  <si>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</si>
  <si>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</si>
  <si>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</si>
  <si>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</si>
  <si>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</si>
  <si>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</si>
  <si>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</si>
  <si>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</si>
  <si>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</si>
  <si>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</si>
  <si>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</si>
  <si>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</si>
  <si>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</si>
  <si>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</si>
  <si>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</si>
  <si>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</si>
  <si>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</si>
  <si>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</si>
  <si>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</si>
  <si>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</si>
  <si>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</si>
  <si>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</si>
  <si>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</si>
  <si>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</si>
  <si>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</si>
  <si>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</si>
  <si>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</si>
  <si>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</si>
  <si>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</si>
  <si>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</si>
  <si>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</si>
  <si>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</si>
  <si>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</si>
  <si>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</si>
  <si>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</si>
  <si>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</si>
  <si>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</si>
  <si>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</si>
  <si>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</si>
  <si>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</si>
  <si>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</si>
  <si>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</si>
  <si>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</si>
  <si>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</si>
  <si>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</si>
  <si>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</si>
  <si>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</si>
  <si>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</si>
  <si>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</si>
  <si>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</si>
  <si>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</si>
  <si>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</si>
  <si>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</si>
  <si>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</si>
  <si>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</si>
  <si>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</si>
  <si>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</si>
  <si>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</si>
  <si>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</si>
  <si>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</si>
  <si>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</si>
  <si>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</si>
  <si>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</si>
  <si>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</si>
  <si>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</si>
  <si>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</si>
  <si>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</si>
  <si>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</si>
  <si>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</si>
  <si>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</si>
  <si>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</si>
  <si>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</si>
  <si>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</si>
  <si>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</si>
  <si>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</si>
  <si>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</si>
  <si>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</si>
  <si>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</si>
  <si>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</si>
  <si>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</si>
  <si>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</si>
  <si>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</si>
  <si>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</si>
  <si>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</si>
  <si>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</si>
  <si>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</si>
  <si>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</si>
  <si>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</si>
  <si>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</si>
  <si>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</si>
  <si>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</si>
  <si>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</si>
  <si>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</si>
  <si>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</si>
  <si>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</si>
  <si>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</si>
  <si>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</si>
  <si>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</si>
  <si>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</si>
  <si>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</si>
  <si>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</si>
  <si>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</si>
  <si>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</si>
  <si>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</si>
  <si>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</si>
  <si>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</si>
  <si>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</si>
  <si>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</si>
  <si>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</si>
  <si>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</si>
  <si>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</si>
  <si>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</si>
  <si>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</si>
  <si>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</si>
  <si>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</si>
  <si>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</si>
  <si>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</si>
  <si>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</si>
  <si>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</si>
  <si>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</si>
  <si>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</si>
  <si>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</si>
  <si>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</si>
  <si>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</si>
  <si>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</si>
  <si>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</si>
  <si>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</si>
  <si>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</si>
  <si>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</si>
  <si>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</si>
  <si>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</si>
  <si>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</si>
  <si>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</si>
  <si>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</si>
  <si>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</si>
  <si>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</si>
  <si>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</si>
  <si>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</si>
  <si>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</si>
  <si>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</si>
  <si>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</si>
  <si>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</si>
  <si>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</si>
  <si>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</si>
  <si>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</si>
  <si>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</si>
  <si>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</si>
  <si>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</si>
  <si>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</si>
  <si>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</si>
  <si>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</si>
  <si>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</si>
  <si>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</si>
  <si>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</si>
  <si>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</si>
  <si>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</si>
  <si>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</si>
  <si>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</si>
  <si>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</si>
  <si>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</si>
  <si>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</si>
  <si>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</si>
  <si>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</si>
  <si>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</si>
  <si>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</si>
  <si>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</si>
  <si>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</si>
  <si>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</si>
  <si>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</si>
  <si>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</si>
  <si>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</si>
  <si>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</si>
  <si>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</si>
  <si>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</si>
  <si>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</si>
  <si>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</si>
  <si>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</si>
  <si>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</si>
  <si>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</si>
  <si>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</si>
  <si>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</si>
  <si>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</si>
  <si>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</si>
  <si>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</si>
  <si>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</si>
  <si>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</si>
  <si>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</si>
  <si>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</si>
  <si>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</si>
  <si>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</si>
  <si>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</si>
  <si>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</si>
  <si>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</si>
  <si>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</si>
  <si>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</si>
  <si>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</si>
  <si>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</si>
  <si>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</si>
  <si>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</si>
  <si>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</si>
  <si>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</si>
  <si>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</si>
  <si>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</si>
  <si>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</si>
  <si>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</si>
  <si>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</si>
  <si>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</si>
  <si>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</si>
  <si>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</si>
  <si>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</si>
  <si>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</si>
  <si>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</si>
  <si>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</si>
  <si>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</si>
  <si>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</si>
  <si>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</si>
  <si>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</si>
  <si>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</si>
  <si>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</si>
  <si>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</si>
  <si>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</si>
  <si>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</si>
  <si>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</si>
  <si>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</si>
  <si>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</si>
  <si>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</si>
  <si>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</si>
  <si>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</si>
  <si>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</si>
  <si>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</si>
  <si>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</si>
  <si>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</si>
  <si>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</si>
  <si>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</si>
  <si>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</si>
  <si>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</si>
  <si>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</si>
  <si>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</si>
  <si>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</si>
  <si>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</si>
  <si>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</si>
  <si>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</si>
  <si>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</si>
  <si>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</si>
  <si>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</si>
  <si>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</si>
  <si>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</si>
  <si>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</si>
  <si>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</si>
  <si>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</si>
  <si>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</si>
  <si>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</si>
  <si>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</si>
  <si>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</si>
  <si>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</si>
  <si>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</si>
  <si>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</si>
  <si>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</si>
  <si>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</si>
  <si>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</si>
  <si>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</si>
  <si>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</si>
  <si>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</si>
  <si>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</si>
  <si>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</si>
  <si>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</si>
  <si>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</si>
  <si>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</si>
  <si>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</si>
  <si>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</si>
  <si>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</si>
  <si>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</si>
  <si>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</si>
  <si>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</si>
  <si>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</si>
  <si>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</si>
  <si>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</si>
  <si>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</si>
  <si>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</si>
  <si>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</si>
  <si>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</si>
  <si>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</si>
  <si>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</si>
  <si>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</si>
  <si>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</si>
  <si>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</si>
  <si>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</si>
  <si>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</si>
  <si>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</si>
  <si>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</si>
  <si>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</si>
  <si>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</si>
  <si>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</si>
  <si>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</si>
  <si>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</si>
  <si>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</si>
  <si>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</si>
  <si>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</si>
  <si>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</si>
  <si>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</si>
  <si>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</si>
  <si>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</si>
  <si>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</si>
  <si>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</si>
  <si>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</si>
  <si>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</si>
  <si>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</si>
  <si>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</si>
  <si>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</si>
  <si>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</si>
  <si>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</si>
  <si>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</si>
  <si>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</si>
  <si>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</si>
  <si>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</si>
  <si>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</si>
  <si>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</si>
  <si>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</si>
  <si>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</si>
  <si>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</si>
  <si>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</si>
  <si>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</si>
  <si>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</si>
  <si>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</si>
  <si>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</si>
  <si>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</si>
  <si>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</si>
  <si>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</si>
  <si>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</si>
  <si>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</si>
  <si>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</si>
  <si>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</si>
  <si>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</si>
  <si>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</si>
  <si>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</si>
  <si>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</si>
  <si>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</si>
  <si>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</si>
  <si>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</si>
  <si>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</si>
  <si>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</si>
  <si>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</si>
  <si>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</si>
  <si>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</si>
  <si>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</si>
  <si>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</si>
  <si>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</si>
  <si>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</si>
  <si>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</si>
  <si>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</si>
  <si>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</si>
  <si>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</si>
  <si>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</si>
  <si>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</si>
  <si>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</si>
  <si>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</si>
  <si>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</si>
  <si>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</si>
  <si>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</si>
  <si>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</si>
  <si>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</si>
  <si>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</si>
  <si>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</si>
  <si>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</si>
  <si>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</si>
  <si>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</si>
  <si>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</si>
  <si>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</si>
  <si>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</si>
  <si>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</si>
  <si>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</si>
  <si>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</si>
  <si>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</si>
  <si>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</si>
  <si>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</si>
  <si>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</si>
  <si>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</si>
  <si>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</si>
  <si>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</si>
  <si>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</si>
  <si>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</si>
  <si>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</si>
  <si>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</si>
  <si>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</si>
  <si>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</si>
  <si>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</si>
  <si>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</si>
  <si>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</si>
  <si>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</si>
  <si>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</si>
  <si>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</si>
  <si>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</si>
  <si>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</si>
  <si>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</si>
  <si>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</si>
  <si>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</si>
  <si>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</si>
  <si>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</si>
  <si>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</si>
  <si>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</si>
  <si>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</si>
  <si>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</si>
  <si>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</si>
  <si>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</si>
  <si>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</si>
  <si>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</si>
  <si>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</si>
  <si>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</si>
  <si>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</si>
  <si>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</si>
  <si>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</si>
  <si>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</si>
  <si>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</si>
  <si>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</si>
  <si>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</si>
  <si>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</si>
  <si>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</si>
  <si>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</si>
  <si>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</si>
  <si>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</si>
  <si>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</si>
  <si>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</si>
  <si>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</si>
  <si>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</si>
  <si>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</si>
  <si>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</si>
  <si>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</si>
  <si>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</si>
  <si>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</si>
  <si>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</si>
  <si>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</si>
  <si>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</si>
  <si>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</si>
  <si>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</si>
  <si>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</si>
  <si>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</si>
  <si>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</si>
  <si>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</si>
  <si>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</si>
  <si>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</si>
  <si>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</si>
  <si>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</si>
  <si>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</si>
  <si>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</si>
  <si>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</si>
  <si>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</si>
  <si>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</si>
  <si>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</si>
  <si>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</si>
  <si>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</si>
  <si>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</si>
  <si>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</si>
  <si>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</si>
  <si>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</si>
  <si>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</si>
  <si>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</si>
  <si>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</si>
  <si>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</si>
  <si>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</si>
  <si>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</si>
  <si>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</si>
  <si>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</si>
  <si>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</si>
  <si>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</si>
  <si>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</si>
  <si>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</si>
  <si>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</si>
  <si>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</si>
  <si>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</si>
  <si>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</si>
  <si>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</si>
  <si>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</si>
  <si>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</si>
  <si>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</si>
  <si>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</si>
  <si>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</si>
  <si>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</si>
  <si>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</si>
  <si>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</si>
  <si>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</si>
  <si>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</si>
  <si>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</si>
  <si>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</si>
  <si>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</si>
  <si>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</si>
  <si>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</si>
  <si>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</si>
  <si>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</si>
  <si>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</si>
  <si>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</si>
  <si>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</si>
  <si>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</si>
  <si>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</si>
  <si>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</si>
  <si>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</si>
  <si>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</si>
  <si>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</si>
  <si>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</si>
  <si>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</si>
  <si>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</si>
  <si>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</si>
  <si>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</si>
  <si>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</si>
  <si>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</si>
  <si>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</si>
  <si>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</si>
  <si>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</si>
  <si>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</si>
  <si>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</si>
  <si>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</si>
  <si>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</si>
  <si>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</si>
  <si>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</si>
  <si>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</si>
  <si>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</si>
  <si>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</si>
  <si>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</si>
  <si>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</si>
  <si>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</si>
  <si>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</si>
  <si>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</si>
  <si>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</si>
  <si>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</si>
  <si>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</si>
  <si>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</si>
  <si>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</si>
  <si>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</si>
  <si>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</si>
  <si>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</si>
  <si>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</si>
  <si>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</si>
  <si>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</si>
  <si>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</si>
  <si>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</si>
  <si>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</si>
  <si>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</si>
  <si>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</si>
  <si>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</si>
  <si>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</si>
  <si>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</si>
  <si>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</si>
  <si>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</si>
  <si>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</si>
  <si>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</si>
  <si>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</si>
  <si>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</si>
  <si>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</si>
  <si>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</si>
  <si>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</si>
  <si>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</si>
  <si>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</si>
  <si>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</si>
  <si>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</si>
  <si>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</si>
  <si>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</si>
  <si>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</si>
  <si>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</si>
  <si>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</si>
  <si>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</si>
  <si>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</si>
  <si>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</si>
  <si>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</si>
  <si>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</si>
  <si>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</si>
  <si>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</si>
  <si>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</si>
  <si>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</si>
  <si>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</si>
  <si>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</si>
  <si>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</si>
  <si>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</si>
  <si>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</si>
  <si>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</si>
  <si>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</si>
  <si>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</si>
  <si>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</si>
  <si>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</si>
  <si>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</si>
  <si>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</si>
  <si>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</si>
  <si>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</si>
  <si>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</si>
  <si>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</si>
  <si>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</si>
  <si>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</si>
  <si>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</si>
  <si>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</si>
  <si>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</si>
  <si>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</si>
  <si>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</si>
  <si>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</si>
  <si>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</si>
  <si>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</si>
  <si>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</si>
  <si>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</si>
  <si>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</si>
  <si>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</si>
  <si>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</si>
  <si>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</si>
  <si>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</si>
  <si>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</si>
  <si>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</si>
  <si>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</si>
  <si>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</si>
  <si>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</si>
  <si>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</si>
  <si>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</si>
  <si>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</si>
  <si>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</si>
  <si>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</si>
  <si>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</si>
  <si>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</si>
  <si>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</si>
  <si>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</si>
  <si>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</si>
  <si>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</si>
  <si>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</si>
  <si>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</si>
  <si>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</si>
  <si>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</si>
  <si>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</si>
  <si>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</si>
  <si>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</si>
  <si>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</si>
  <si>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</si>
  <si>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</si>
  <si>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</si>
  <si>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</si>
  <si>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</si>
  <si>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</si>
  <si>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</si>
  <si>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</si>
  <si>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</si>
  <si>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</si>
  <si>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</si>
  <si>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</si>
  <si>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</si>
  <si>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</si>
  <si>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</si>
  <si>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</si>
  <si>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</si>
  <si>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</si>
  <si>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</si>
  <si>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</si>
  <si>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</si>
  <si>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</si>
  <si>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</si>
  <si>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</si>
  <si>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</si>
  <si>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</si>
  <si>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</si>
  <si>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</si>
  <si>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</si>
  <si>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</si>
  <si>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</si>
  <si>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</si>
  <si>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</si>
  <si>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</si>
  <si>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</si>
  <si>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</si>
  <si>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</si>
  <si>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</si>
  <si>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</si>
  <si>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</si>
  <si>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</si>
  <si>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</si>
  <si>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</si>
  <si>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</si>
  <si>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</si>
  <si>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</si>
  <si>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</si>
  <si>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</si>
  <si>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</si>
  <si>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</si>
  <si>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</si>
  <si>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</si>
  <si>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</si>
  <si>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</si>
  <si>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</si>
  <si>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</si>
  <si>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</si>
  <si>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</si>
  <si>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</si>
  <si>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</si>
  <si>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</si>
  <si>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</si>
  <si>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</si>
  <si>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</si>
  <si>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</si>
  <si>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</si>
  <si>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</si>
  <si>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</si>
  <si>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</si>
  <si>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</si>
  <si>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</si>
  <si>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</si>
  <si>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</si>
  <si>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</si>
  <si>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</si>
  <si>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</si>
  <si>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</si>
  <si>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</si>
  <si>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</si>
  <si>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</si>
  <si>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</si>
  <si>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</si>
  <si>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</si>
  <si>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</si>
  <si>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</si>
  <si>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</si>
  <si>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</si>
  <si>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</si>
  <si>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</si>
  <si>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</si>
  <si>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</si>
  <si>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</si>
  <si>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</si>
  <si>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</si>
  <si>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</si>
  <si>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</si>
  <si>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</si>
  <si>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</si>
  <si>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</si>
  <si>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</si>
  <si>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</si>
  <si>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</si>
  <si>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</si>
  <si>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</si>
  <si>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</si>
  <si>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</si>
  <si>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</si>
  <si>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</si>
  <si>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</si>
  <si>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</si>
  <si>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</si>
  <si>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</si>
  <si>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</si>
  <si>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</si>
  <si>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</si>
  <si>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</si>
  <si>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</si>
  <si>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</si>
  <si>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</si>
  <si>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</si>
  <si>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</si>
  <si>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</si>
  <si>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</si>
  <si>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</si>
  <si>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</si>
  <si>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</si>
  <si>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</si>
  <si>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</si>
  <si>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</si>
  <si>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</si>
  <si>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</si>
  <si>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</si>
  <si>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</si>
  <si>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</si>
  <si>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</si>
  <si>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</si>
  <si>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</si>
  <si>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</si>
  <si>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</si>
  <si>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</si>
  <si>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</si>
  <si>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</si>
  <si>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</si>
  <si>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</si>
  <si>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</si>
  <si>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</si>
  <si>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</si>
  <si>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</si>
  <si>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</si>
  <si>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</si>
  <si>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</si>
  <si>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</si>
  <si>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</si>
  <si>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</si>
  <si>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</si>
  <si>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</si>
  <si>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</si>
  <si>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</si>
  <si>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</si>
  <si>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</si>
  <si>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</si>
  <si>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</si>
  <si>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</si>
  <si>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</si>
  <si>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</si>
  <si>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</si>
  <si>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</si>
  <si>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</si>
  <si>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</si>
  <si>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</si>
  <si>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</si>
  <si>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</si>
  <si>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</si>
  <si>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</si>
  <si>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</si>
  <si>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</si>
  <si>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</si>
  <si>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</si>
  <si>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</si>
  <si>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</si>
  <si>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</si>
  <si>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</si>
  <si>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</si>
  <si>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</si>
  <si>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</si>
  <si>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</si>
  <si>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</si>
  <si>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</si>
  <si>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</si>
  <si>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</si>
  <si>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</si>
  <si>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</si>
  <si>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</si>
  <si>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</si>
  <si>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</si>
  <si>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</si>
  <si>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</si>
  <si>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</si>
  <si>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</si>
  <si>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</si>
  <si>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</si>
  <si>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</si>
  <si>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</si>
  <si>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</si>
  <si>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</si>
  <si>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</si>
  <si>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</si>
  <si>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</si>
  <si>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</si>
  <si>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</si>
  <si>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</si>
  <si>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</si>
  <si>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</si>
  <si>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</si>
  <si>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</si>
  <si>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</si>
  <si>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</si>
  <si>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</si>
  <si>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</si>
  <si>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</si>
  <si>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</si>
  <si>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</si>
  <si>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</si>
  <si>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</si>
  <si>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</si>
  <si>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</si>
  <si>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</si>
  <si>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</si>
  <si>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</si>
  <si>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</si>
  <si>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</si>
  <si>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</si>
  <si>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</si>
  <si>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</si>
  <si>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</si>
  <si>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</si>
  <si>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</si>
  <si>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</si>
  <si>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</si>
  <si>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</si>
  <si>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</si>
  <si>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</si>
  <si>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</si>
  <si>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</si>
  <si>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</si>
  <si>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</si>
  <si>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</si>
  <si>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</si>
  <si>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</si>
  <si>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</si>
  <si>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</si>
  <si>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</si>
  <si>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</si>
  <si>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</si>
  <si>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</si>
  <si>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</si>
  <si>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</si>
  <si>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</si>
  <si>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</si>
  <si>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</si>
  <si>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</si>
  <si>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</si>
  <si>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</si>
  <si>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</si>
  <si>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</si>
  <si>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</si>
  <si>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</si>
  <si>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</si>
  <si>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</si>
  <si>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</si>
  <si>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</si>
  <si>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</si>
  <si>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</si>
  <si>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</si>
  <si>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</si>
  <si>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</si>
  <si>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</si>
  <si>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</si>
  <si>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</si>
  <si>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</si>
  <si>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</si>
  <si>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</si>
  <si>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</si>
  <si>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</si>
  <si>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</si>
  <si>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</si>
  <si>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</si>
  <si>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</si>
  <si>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</si>
  <si>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</si>
  <si>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</si>
  <si>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</si>
  <si>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</si>
  <si>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</si>
  <si>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</si>
  <si>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</si>
  <si>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</si>
  <si>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</si>
  <si>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</si>
  <si>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</si>
  <si>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</si>
  <si>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</si>
  <si>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</si>
  <si>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</si>
  <si>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</si>
  <si>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</si>
  <si>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</si>
  <si>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</si>
  <si>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</si>
  <si>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</si>
  <si>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</si>
  <si>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</si>
  <si>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</si>
  <si>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</si>
  <si>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</si>
  <si>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</si>
  <si>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</si>
  <si>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</si>
  <si>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</si>
  <si>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</si>
  <si>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</si>
  <si>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</si>
  <si>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</si>
  <si>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</si>
  <si>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</si>
  <si>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</si>
  <si>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</si>
  <si>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</si>
  <si>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</si>
  <si>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</si>
  <si>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</si>
  <si>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</si>
  <si>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</si>
  <si>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</si>
  <si>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</si>
  <si>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</si>
  <si>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</si>
  <si>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</si>
  <si>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</si>
  <si>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</si>
  <si>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</si>
  <si>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</si>
  <si>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</si>
  <si>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</si>
  <si>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</si>
  <si>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</si>
  <si>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</si>
  <si>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</si>
  <si>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</si>
  <si>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</si>
  <si>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</si>
  <si>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</si>
  <si>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</si>
  <si>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</si>
  <si>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</si>
  <si>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</si>
  <si>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</si>
  <si>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</si>
  <si>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</si>
  <si>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</si>
  <si>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</si>
  <si>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</si>
  <si>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</si>
  <si>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</si>
  <si>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</si>
  <si>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</si>
  <si>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</si>
  <si>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</si>
  <si>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</si>
  <si>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</si>
  <si>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</si>
  <si>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</si>
  <si>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</si>
  <si>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</si>
  <si>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</si>
  <si>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</si>
  <si>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</si>
  <si>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</si>
  <si>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</si>
  <si>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</si>
  <si>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</si>
  <si>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</si>
  <si>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</si>
  <si>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</si>
  <si>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</si>
  <si>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</si>
  <si>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</si>
  <si>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</si>
  <si>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</si>
  <si>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</si>
  <si>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</si>
  <si>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</si>
  <si>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</si>
  <si>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</si>
  <si>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</si>
  <si>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</si>
  <si>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</si>
  <si>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</si>
  <si>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</si>
  <si>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</si>
  <si>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</si>
  <si>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</si>
  <si>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</si>
  <si>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</si>
  <si>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</si>
  <si>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</si>
  <si>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</si>
  <si>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</si>
  <si>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</si>
  <si>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</si>
  <si>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</si>
  <si>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</si>
  <si>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</si>
  <si>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</si>
  <si>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</si>
  <si>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</si>
  <si>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</si>
  <si>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</si>
  <si>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</si>
  <si>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</si>
  <si>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</si>
  <si>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</si>
  <si>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</si>
  <si>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</si>
  <si>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</si>
  <si>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</si>
  <si>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</si>
  <si>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</si>
  <si>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</si>
  <si>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</si>
  <si>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</si>
  <si>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</si>
  <si>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</si>
  <si>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</si>
  <si>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</si>
  <si>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</si>
  <si>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</si>
  <si>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</si>
  <si>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</si>
  <si>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</si>
  <si>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</si>
  <si>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</si>
  <si>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</si>
  <si>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</si>
  <si>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</si>
  <si>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</si>
  <si>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</si>
  <si>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</si>
  <si>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</si>
  <si>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</si>
  <si>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</si>
  <si>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</si>
  <si>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</si>
  <si>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</si>
  <si>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</si>
  <si>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</si>
  <si>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</si>
  <si>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</si>
  <si>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</si>
  <si>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</si>
  <si>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</si>
  <si>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</si>
  <si>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</si>
  <si>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</si>
  <si>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</si>
  <si>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</si>
  <si>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</si>
  <si>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</si>
  <si>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</si>
  <si>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</si>
  <si>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</si>
  <si>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</si>
  <si>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</si>
  <si>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</si>
  <si>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</si>
  <si>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</si>
  <si>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</si>
  <si>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</si>
  <si>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</si>
  <si>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</si>
  <si>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</si>
  <si>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</si>
  <si>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</si>
  <si>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</si>
  <si>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</si>
  <si>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</si>
  <si>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</si>
  <si>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</si>
  <si>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</si>
  <si>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</si>
  <si>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</si>
  <si>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</si>
  <si>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</si>
  <si>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</si>
  <si>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</si>
  <si>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</si>
  <si>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</si>
  <si>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</si>
  <si>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</si>
  <si>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</si>
  <si>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</si>
  <si>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</si>
  <si>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</si>
  <si>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</si>
  <si>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</si>
  <si>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</si>
  <si>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</si>
  <si>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</si>
  <si>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</si>
  <si>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</si>
  <si>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</si>
  <si>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</si>
  <si>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</si>
  <si>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</si>
  <si>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</si>
  <si>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</si>
  <si>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</si>
  <si>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</si>
  <si>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</si>
  <si>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</si>
  <si>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</si>
  <si>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</si>
  <si>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</si>
  <si>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</si>
  <si>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</si>
  <si>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</si>
  <si>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</si>
  <si>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</si>
  <si>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</si>
  <si>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</si>
  <si>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</si>
  <si>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</si>
  <si>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</si>
  <si>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</si>
  <si>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</si>
  <si>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</si>
  <si>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</si>
  <si>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</si>
  <si>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</si>
  <si>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</si>
  <si>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</si>
  <si>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</si>
  <si>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</si>
  <si>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</si>
  <si>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</si>
  <si>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</si>
  <si>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</si>
  <si>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</si>
  <si>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</si>
  <si>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</si>
  <si>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</si>
  <si>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</si>
  <si>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</si>
  <si>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</si>
  <si>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</si>
  <si>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</si>
  <si>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</si>
  <si>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</si>
  <si>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</si>
  <si>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</si>
  <si>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</si>
  <si>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</si>
  <si>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</si>
  <si>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</si>
  <si>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</si>
  <si>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</si>
  <si>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</si>
  <si>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</si>
  <si>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</si>
  <si>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</si>
  <si>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</si>
  <si>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</si>
  <si>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</si>
  <si>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</si>
  <si>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</si>
  <si>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</si>
  <si>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</si>
  <si>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</si>
  <si>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</si>
  <si>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</si>
  <si>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</si>
  <si>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</si>
  <si>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</si>
  <si>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</si>
  <si>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</si>
  <si>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</si>
  <si>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</si>
  <si>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</si>
  <si>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</si>
  <si>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</si>
  <si>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</si>
  <si>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</si>
  <si>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</si>
  <si>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</si>
  <si>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</si>
  <si>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</si>
  <si>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</si>
  <si>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</si>
  <si>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</si>
  <si>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</si>
  <si>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</si>
  <si>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</si>
  <si>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</si>
  <si>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</si>
  <si>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</si>
  <si>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</si>
  <si>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</si>
  <si>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</si>
  <si>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</si>
  <si>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</si>
  <si>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</si>
  <si>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</si>
  <si>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</si>
  <si>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</si>
  <si>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</si>
  <si>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</si>
  <si>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</si>
  <si>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</si>
  <si>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</si>
  <si>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</si>
  <si>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</si>
  <si>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</si>
  <si>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</si>
  <si>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</si>
  <si>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</si>
  <si>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</si>
  <si>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</si>
  <si>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</si>
  <si>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</si>
  <si>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</si>
  <si>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</si>
  <si>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</si>
  <si>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</si>
  <si>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</si>
  <si>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</si>
  <si>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</si>
  <si>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</si>
  <si>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</si>
  <si>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</si>
  <si>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</si>
  <si>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</si>
  <si>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</si>
  <si>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</si>
  <si>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</si>
  <si>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</si>
  <si>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</si>
  <si>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</si>
  <si>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</si>
  <si>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</si>
  <si>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</si>
  <si>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</si>
  <si>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</si>
  <si>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</si>
  <si>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</si>
  <si>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</si>
  <si>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</si>
  <si>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</si>
  <si>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</si>
  <si>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</si>
  <si>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</si>
  <si>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</si>
  <si>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</si>
  <si>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</si>
  <si>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</si>
  <si>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</si>
  <si>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</si>
  <si>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</si>
  <si>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</si>
  <si>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</si>
  <si>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</si>
  <si>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</si>
  <si>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</si>
  <si>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</si>
  <si>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</si>
  <si>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</si>
  <si>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</si>
  <si>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</si>
  <si>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</si>
  <si>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</si>
  <si>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</si>
  <si>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</si>
  <si>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</si>
  <si>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</si>
  <si>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</si>
  <si>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</si>
  <si>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</si>
  <si>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</si>
  <si>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</si>
  <si>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</si>
  <si>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</si>
  <si>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</si>
  <si>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</si>
  <si>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</si>
  <si>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</si>
  <si>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</si>
  <si>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</si>
  <si>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</si>
  <si>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</si>
  <si>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</si>
  <si>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</si>
  <si>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</si>
  <si>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</si>
  <si>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</si>
  <si>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</si>
  <si>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</si>
  <si>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</si>
  <si>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</si>
  <si>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</si>
  <si>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</si>
  <si>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</si>
  <si>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</si>
  <si>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</si>
  <si>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</si>
  <si>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</si>
  <si>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</si>
  <si>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</si>
  <si>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</si>
  <si>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</si>
  <si>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</si>
  <si>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</si>
  <si>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</si>
  <si>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</si>
  <si>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</si>
  <si>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</si>
  <si>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</si>
  <si>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</si>
  <si>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</si>
  <si>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</si>
  <si>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</si>
  <si>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</si>
  <si>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</si>
  <si>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</si>
  <si>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</si>
  <si>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</si>
  <si>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</si>
  <si>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</si>
  <si>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</si>
  <si>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</si>
  <si>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</si>
  <si>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</si>
  <si>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</si>
  <si>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</si>
  <si>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</si>
  <si>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</si>
  <si>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</si>
  <si>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</si>
  <si>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</si>
  <si>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</si>
  <si>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</si>
  <si>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</si>
  <si>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</si>
  <si>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</si>
  <si>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</si>
  <si>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</si>
  <si>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</si>
  <si>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</si>
  <si>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</si>
  <si>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</si>
  <si>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</si>
  <si>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</si>
  <si>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</si>
  <si>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</si>
  <si>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</si>
  <si>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</si>
  <si>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</si>
  <si>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</si>
  <si>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</si>
  <si>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</si>
  <si>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</si>
  <si>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</si>
  <si>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</si>
  <si>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</si>
  <si>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</si>
  <si>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</si>
  <si>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</si>
  <si>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</si>
  <si>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</si>
  <si>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</si>
  <si>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</si>
  <si>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</si>
  <si>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</si>
  <si>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</si>
  <si>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</si>
  <si>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</si>
  <si>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</si>
  <si>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</si>
  <si>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</si>
  <si>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</si>
  <si>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</si>
  <si>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</si>
  <si>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</si>
  <si>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</si>
  <si>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</si>
  <si>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</si>
  <si>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</si>
  <si>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</si>
  <si>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</si>
  <si>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</si>
  <si>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</si>
  <si>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</si>
  <si>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</si>
  <si>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</si>
  <si>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</si>
  <si>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</si>
  <si>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</si>
  <si>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</si>
  <si>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</si>
  <si>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</si>
  <si>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</si>
  <si>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</si>
  <si>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</si>
  <si>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</si>
  <si>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</si>
  <si>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</si>
  <si>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</si>
  <si>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</si>
  <si>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</si>
  <si>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</si>
  <si>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</si>
  <si>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</si>
  <si>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</si>
  <si>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</si>
  <si>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</si>
  <si>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</si>
  <si>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</si>
  <si>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</si>
  <si>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</si>
  <si>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</si>
  <si>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</si>
  <si>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</si>
  <si>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</si>
  <si>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</si>
  <si>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</si>
  <si>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</si>
  <si>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</si>
  <si>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</si>
  <si>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</si>
  <si>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</si>
  <si>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</si>
  <si>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</si>
  <si>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</si>
  <si>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</si>
  <si>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</si>
  <si>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</si>
  <si>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</si>
  <si>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</si>
  <si>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</si>
  <si>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</si>
  <si>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</si>
  <si>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</si>
  <si>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</si>
  <si>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</si>
  <si>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</si>
  <si>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</si>
  <si>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</si>
  <si>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</si>
  <si>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</si>
  <si>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</si>
  <si>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</si>
  <si>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</si>
  <si>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</si>
  <si>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</si>
  <si>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</si>
  <si>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</si>
  <si>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</si>
  <si>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</si>
  <si>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</si>
  <si>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</si>
  <si>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</si>
  <si>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</si>
  <si>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</si>
  <si>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</si>
  <si>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</si>
  <si>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</si>
  <si>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</si>
  <si>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</si>
  <si>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</si>
  <si>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</si>
  <si>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</si>
  <si>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</si>
  <si>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</si>
  <si>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</si>
  <si>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</si>
  <si>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</si>
  <si>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</si>
  <si>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</si>
  <si>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</si>
  <si>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</si>
  <si>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</si>
  <si>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</si>
  <si>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</si>
  <si>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</si>
  <si>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</si>
  <si>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</si>
  <si>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</si>
  <si>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</si>
  <si>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</si>
  <si>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</si>
  <si>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</si>
  <si>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</si>
  <si>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</si>
  <si>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</si>
  <si>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</si>
  <si>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</si>
  <si>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</si>
  <si>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</si>
  <si>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</si>
  <si>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</si>
  <si>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</si>
  <si>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</si>
  <si>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</si>
  <si>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</si>
  <si>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</si>
  <si>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</si>
  <si>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</si>
  <si>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</si>
  <si>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</si>
  <si>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</si>
  <si>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</si>
  <si>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</si>
  <si>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</si>
  <si>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</si>
  <si>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</si>
  <si>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</si>
  <si>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</si>
  <si>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</si>
  <si>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</si>
  <si>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</si>
  <si>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</si>
  <si>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</si>
  <si>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</si>
  <si>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</si>
  <si>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</si>
  <si>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</si>
  <si>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</si>
  <si>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</si>
  <si>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</si>
  <si>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</si>
  <si>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</si>
  <si>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</si>
  <si>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</si>
  <si>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</si>
  <si>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</si>
  <si>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</si>
  <si>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</si>
  <si>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</si>
  <si>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</si>
  <si>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</si>
  <si>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</si>
  <si>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</si>
  <si>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</si>
  <si>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</si>
  <si>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</si>
  <si>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</si>
  <si>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</si>
  <si>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</si>
  <si>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</si>
  <si>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</si>
  <si>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</si>
  <si>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</si>
  <si>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</si>
  <si>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</si>
  <si>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</si>
  <si>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</si>
  <si>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</si>
  <si>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</si>
  <si>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</si>
  <si>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</si>
  <si>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</si>
  <si>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</si>
  <si>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</si>
  <si>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</si>
  <si>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</si>
  <si>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</si>
  <si>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</si>
  <si>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</si>
  <si>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</si>
  <si>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</si>
  <si>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</si>
  <si>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</si>
  <si>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</si>
  <si>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</si>
  <si>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</si>
  <si>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</si>
  <si>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</si>
  <si>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</si>
  <si>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</si>
  <si>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</si>
  <si>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</si>
  <si>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</si>
  <si>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</si>
  <si>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</si>
  <si>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</si>
  <si>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</si>
  <si>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</si>
  <si>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</si>
  <si>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</si>
  <si>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</si>
  <si>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</si>
  <si>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</si>
  <si>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</si>
  <si>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</si>
  <si>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</si>
  <si>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</si>
  <si>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</si>
  <si>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</si>
  <si>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</si>
  <si>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</si>
  <si>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</si>
  <si>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</si>
  <si>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</si>
  <si>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</si>
  <si>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</si>
  <si>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</si>
  <si>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</si>
  <si>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</si>
  <si>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</si>
  <si>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</si>
  <si>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</si>
  <si>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</si>
  <si>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</si>
  <si>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</si>
  <si>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</si>
  <si>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</si>
  <si>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</si>
  <si>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</si>
  <si>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</si>
  <si>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</si>
  <si>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</si>
  <si>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</si>
  <si>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</si>
  <si>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</si>
  <si>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</si>
  <si>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</si>
  <si>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</si>
  <si>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</si>
  <si>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</si>
  <si>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</si>
  <si>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</si>
  <si>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</si>
  <si>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</si>
  <si>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</si>
  <si>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</si>
  <si>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</si>
  <si>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</si>
  <si>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</si>
  <si>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</si>
  <si>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</si>
  <si>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</si>
  <si>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</si>
  <si>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</si>
  <si>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</si>
  <si>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</si>
  <si>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</si>
  <si>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</si>
  <si>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</si>
  <si>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</si>
  <si>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</si>
  <si>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</si>
  <si>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</si>
  <si>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</si>
  <si>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</si>
  <si>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</si>
  <si>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</si>
  <si>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</si>
  <si>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</si>
  <si>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</si>
  <si>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</si>
  <si>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</si>
  <si>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</si>
  <si>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</si>
  <si>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</si>
  <si>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</si>
  <si>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</si>
  <si>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</si>
  <si>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</si>
  <si>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</si>
  <si>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</si>
  <si>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</si>
  <si>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</si>
  <si>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</si>
  <si>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</si>
  <si>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</si>
  <si>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</si>
  <si>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</si>
  <si>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</si>
  <si>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</si>
  <si>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</si>
  <si>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</si>
  <si>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</si>
  <si>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</si>
  <si>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</si>
  <si>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</si>
  <si>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</si>
  <si>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</si>
  <si>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</si>
  <si>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</si>
  <si>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</si>
  <si>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</si>
  <si>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</si>
  <si>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</si>
  <si>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</si>
  <si>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</si>
  <si>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</si>
  <si>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</si>
  <si>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</si>
  <si>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</si>
  <si>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</si>
  <si>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</si>
  <si>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</si>
  <si>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</si>
  <si>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</si>
  <si>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</si>
  <si>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</si>
  <si>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</si>
  <si>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</si>
  <si>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</si>
  <si>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</si>
  <si>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</si>
  <si>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</si>
  <si>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</si>
  <si>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</si>
  <si>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</si>
  <si>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</si>
  <si>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</si>
  <si>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</si>
  <si>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</si>
  <si>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</si>
  <si>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</si>
  <si>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</si>
  <si>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</si>
  <si>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</si>
  <si>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</si>
  <si>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</si>
  <si>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</si>
  <si>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</si>
  <si>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</si>
  <si>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</si>
  <si>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</si>
  <si>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</si>
  <si>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</si>
  <si>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</si>
  <si>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</si>
  <si>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</si>
  <si>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</si>
  <si>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</si>
  <si>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</si>
  <si>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</si>
  <si>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</si>
  <si>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</si>
  <si>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</si>
  <si>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</si>
  <si>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</si>
  <si>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</si>
  <si>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</si>
  <si>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</si>
  <si>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</si>
  <si>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</si>
  <si>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</si>
  <si>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</si>
  <si>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</si>
  <si>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</si>
  <si>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</si>
  <si>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</si>
  <si>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</si>
  <si>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</si>
  <si>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</si>
  <si>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</si>
  <si>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</si>
  <si>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</si>
  <si>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</si>
  <si>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</si>
  <si>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</si>
  <si>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</si>
  <si>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</si>
  <si>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</si>
  <si>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</si>
  <si>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</si>
  <si>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</si>
  <si>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</si>
  <si>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</si>
  <si>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</si>
  <si>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</si>
  <si>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</si>
  <si>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</si>
  <si>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</si>
  <si>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</si>
  <si>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</si>
  <si>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</si>
  <si>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</si>
  <si>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</si>
  <si>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</si>
  <si>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</si>
  <si>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</si>
  <si>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</si>
  <si>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</si>
  <si>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</si>
  <si>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</si>
  <si>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</si>
  <si>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</si>
  <si>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</si>
  <si>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</si>
  <si>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</si>
  <si>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</si>
  <si>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</si>
  <si>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</si>
  <si>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</si>
  <si>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</si>
  <si>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</si>
  <si>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</si>
  <si>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</si>
  <si>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</si>
  <si>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</si>
  <si>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</si>
  <si>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</si>
  <si>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</si>
  <si>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</si>
  <si>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</si>
  <si>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</si>
  <si>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</si>
  <si>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</si>
  <si>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</si>
  <si>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</si>
  <si>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</si>
  <si>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</si>
  <si>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</si>
  <si>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</si>
  <si>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</si>
  <si>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</si>
  <si>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</si>
  <si>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</si>
  <si>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</si>
  <si>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</si>
  <si>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</si>
  <si>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</si>
  <si>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</si>
  <si>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</si>
  <si>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</si>
  <si>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</si>
  <si>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</si>
  <si>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</si>
  <si>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</si>
  <si>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</si>
  <si>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</si>
  <si>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</si>
  <si>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</si>
  <si>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</si>
  <si>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</si>
  <si>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</si>
  <si>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</si>
  <si>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</si>
  <si>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</si>
  <si>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</si>
  <si>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</si>
  <si>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</si>
  <si>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</si>
  <si>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</si>
  <si>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</si>
  <si>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</si>
  <si>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</si>
  <si>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</si>
  <si>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</si>
  <si>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</si>
  <si>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</si>
  <si>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</si>
  <si>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</si>
  <si>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</si>
  <si>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</si>
  <si>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</si>
  <si>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</si>
  <si>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</si>
  <si>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</si>
  <si>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</si>
  <si>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</si>
  <si>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</si>
  <si>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</si>
  <si>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</si>
  <si>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</si>
  <si>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</si>
  <si>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</si>
  <si>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</si>
  <si>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</si>
  <si>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</si>
  <si>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</si>
  <si>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</si>
  <si>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</si>
  <si>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</si>
  <si>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</si>
  <si>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</si>
  <si>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</si>
  <si>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</si>
  <si>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</si>
  <si>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</si>
  <si>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</si>
  <si>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</si>
  <si>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</si>
  <si>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</si>
  <si>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</si>
  <si>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</si>
  <si>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</si>
  <si>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</si>
  <si>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</si>
  <si>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</si>
  <si>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</si>
  <si>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</si>
  <si>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</si>
  <si>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</si>
  <si>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</si>
  <si>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</si>
  <si>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</si>
  <si>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</si>
  <si>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</si>
  <si>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</si>
  <si>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</si>
  <si>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</si>
  <si>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</si>
  <si>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</si>
  <si>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</si>
  <si>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</si>
  <si>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</si>
  <si>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</si>
  <si>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</si>
  <si>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</si>
  <si>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</si>
  <si>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</si>
  <si>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</si>
  <si>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</si>
  <si>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</si>
  <si>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</si>
  <si>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</si>
  <si>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</si>
  <si>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</si>
  <si>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</si>
  <si>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</si>
  <si>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</si>
  <si>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</si>
  <si>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</si>
  <si>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</si>
  <si>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</si>
  <si>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</si>
  <si>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</si>
  <si>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</si>
  <si>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</si>
  <si>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</si>
  <si>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</si>
  <si>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</si>
  <si>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</si>
  <si>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</si>
  <si>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</si>
  <si>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</si>
  <si>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</si>
  <si>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</si>
  <si>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</si>
  <si>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</si>
  <si>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</si>
  <si>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</si>
  <si>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</si>
  <si>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</si>
  <si>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</si>
  <si>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</si>
  <si>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</si>
  <si>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</si>
  <si>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</si>
  <si>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</si>
  <si>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</si>
  <si>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</si>
  <si>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</si>
  <si>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</si>
  <si>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</si>
  <si>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</si>
  <si>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</si>
  <si>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</si>
  <si>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</si>
  <si>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</si>
  <si>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</si>
  <si>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</si>
  <si>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</si>
  <si>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</si>
  <si>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</si>
  <si>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</si>
  <si>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</si>
  <si>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</si>
  <si>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</si>
  <si>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</si>
  <si>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</si>
  <si>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</si>
  <si>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</si>
  <si>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</si>
  <si>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</si>
  <si>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</si>
  <si>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</si>
  <si>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</si>
  <si>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</si>
  <si>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</si>
  <si>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</si>
  <si>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</si>
  <si>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</si>
  <si>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</si>
  <si>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</si>
  <si>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</si>
  <si>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</si>
  <si>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</si>
  <si>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</si>
  <si>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</si>
  <si>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</si>
  <si>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</si>
  <si>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</si>
  <si>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</si>
  <si>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</si>
  <si>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</si>
  <si>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</si>
  <si>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</si>
  <si>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</si>
  <si>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</si>
  <si>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</si>
  <si>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</si>
  <si>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</si>
  <si>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</si>
  <si>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</si>
  <si>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</si>
  <si>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</si>
  <si>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</si>
  <si>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</si>
  <si>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</si>
  <si>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</si>
  <si>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</si>
  <si>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</si>
  <si>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</si>
  <si>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</si>
  <si>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</si>
  <si>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</si>
  <si>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</si>
  <si>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</si>
  <si>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</si>
  <si>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</si>
  <si>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</si>
  <si>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</si>
  <si>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</si>
  <si>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</si>
  <si>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</si>
  <si>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</si>
  <si>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</si>
  <si>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</si>
  <si>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</si>
  <si>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</si>
  <si>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</si>
  <si>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</si>
  <si>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</si>
  <si>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</si>
  <si>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</si>
  <si>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</si>
  <si>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</si>
  <si>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</si>
  <si>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</si>
  <si>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</si>
  <si>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</si>
  <si>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</si>
  <si>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</si>
  <si>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</si>
  <si>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</si>
  <si>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</si>
  <si>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</si>
  <si>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</si>
  <si>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</si>
  <si>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</si>
  <si>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</si>
  <si>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</si>
  <si>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</si>
  <si>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</si>
  <si>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</si>
  <si>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</si>
  <si>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</si>
  <si>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</si>
  <si>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</si>
  <si>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</si>
  <si>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</si>
  <si>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</si>
  <si>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</si>
  <si>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</si>
  <si>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</si>
  <si>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</si>
  <si>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</si>
  <si>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</si>
  <si>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</si>
  <si>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</si>
  <si>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</si>
  <si>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</si>
  <si>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</si>
  <si>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</si>
  <si>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</si>
  <si>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</si>
  <si>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</si>
  <si>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</si>
  <si>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</si>
  <si>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</si>
  <si>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</si>
  <si>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</si>
  <si>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</si>
  <si>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</si>
  <si>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</si>
  <si>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</si>
  <si>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</si>
  <si>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</si>
  <si>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</si>
  <si>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</si>
  <si>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</si>
  <si>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</si>
  <si>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</si>
  <si>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</si>
  <si>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</si>
  <si>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</si>
  <si>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</si>
  <si>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</si>
  <si>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</si>
  <si>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</si>
  <si>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</si>
  <si>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</si>
  <si>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</si>
  <si>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</si>
  <si>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</si>
  <si>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</si>
  <si>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</si>
  <si>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</si>
  <si>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</si>
  <si>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</si>
  <si>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</si>
  <si>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</si>
  <si>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</si>
  <si>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</si>
  <si>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</si>
  <si>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</si>
  <si>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</si>
  <si>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</si>
  <si>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</si>
  <si>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</si>
  <si>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</si>
  <si>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</si>
  <si>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</si>
  <si>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</si>
  <si>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</si>
  <si>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</si>
  <si>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</si>
  <si>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</si>
  <si>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</si>
  <si>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</si>
  <si>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</si>
  <si>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</si>
  <si>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</si>
  <si>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</si>
  <si>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</si>
  <si>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</si>
  <si>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</si>
  <si>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</si>
  <si>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</si>
  <si>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</si>
  <si>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</si>
  <si>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</si>
  <si>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</si>
  <si>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</si>
  <si>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</si>
  <si>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</si>
  <si>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</si>
  <si>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</si>
  <si>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</si>
  <si>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</si>
  <si>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</si>
  <si>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</si>
  <si>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</si>
  <si>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</si>
  <si>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</si>
  <si>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</si>
  <si>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</si>
  <si>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</si>
  <si>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</si>
  <si>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</si>
  <si>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</si>
  <si>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</si>
  <si>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</si>
  <si>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</si>
  <si>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</si>
  <si>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</si>
  <si>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</si>
  <si>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</si>
  <si>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</si>
  <si>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</si>
  <si>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</si>
  <si>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</si>
  <si>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</si>
  <si>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</si>
  <si>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</si>
  <si>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</si>
  <si>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</si>
  <si>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</si>
  <si>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</si>
  <si>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</si>
  <si>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</si>
  <si>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</si>
  <si>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</si>
  <si>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</si>
  <si>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</si>
  <si>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</si>
  <si>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</si>
  <si>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</si>
  <si>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</si>
  <si>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</si>
  <si>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</si>
  <si>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</si>
  <si>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</si>
  <si>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</si>
  <si>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</si>
  <si>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</si>
  <si>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</si>
  <si>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</si>
  <si>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</si>
  <si>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</si>
  <si>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</si>
  <si>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</si>
  <si>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</si>
  <si>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</si>
  <si>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</si>
  <si>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</si>
  <si>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</si>
  <si>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</si>
  <si>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</si>
  <si>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</si>
  <si>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</si>
  <si>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</si>
  <si>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</si>
  <si>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</si>
  <si>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</si>
  <si>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</si>
  <si>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</si>
  <si>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</si>
  <si>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</si>
  <si>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</si>
  <si>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</si>
  <si>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</si>
  <si>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</si>
  <si>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</si>
  <si>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</si>
  <si>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</si>
  <si>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</si>
  <si>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</si>
  <si>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</si>
  <si>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</si>
  <si>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</si>
  <si>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</si>
  <si>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</si>
  <si>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</si>
  <si>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</si>
  <si>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</si>
  <si>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</si>
  <si>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</si>
  <si>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</si>
  <si>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</si>
  <si>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</si>
  <si>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</si>
  <si>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</si>
  <si>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</si>
  <si>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</si>
  <si>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</si>
  <si>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</si>
  <si>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</si>
  <si>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</si>
  <si>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</si>
  <si>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</si>
  <si>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</si>
  <si>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</si>
  <si>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</si>
  <si>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</si>
  <si>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</si>
  <si>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</si>
  <si>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</si>
  <si>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</si>
  <si>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</si>
  <si>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</si>
  <si>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</si>
  <si>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</si>
  <si>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</si>
  <si>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</si>
  <si>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</si>
  <si>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</si>
  <si>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</si>
  <si>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</si>
  <si>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</si>
  <si>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</si>
  <si>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</si>
  <si>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</si>
  <si>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</si>
  <si>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</si>
  <si>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</si>
  <si>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</si>
  <si>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</si>
  <si>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</si>
  <si>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</si>
  <si>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</si>
  <si>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</si>
  <si>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</si>
  <si>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</si>
  <si>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</si>
  <si>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</si>
  <si>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</si>
  <si>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</si>
  <si>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</si>
  <si>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</si>
  <si>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</si>
  <si>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</si>
  <si>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</si>
  <si>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</si>
  <si>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</si>
  <si>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</si>
  <si>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</si>
  <si>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</si>
  <si>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</si>
  <si>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</si>
  <si>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</si>
  <si>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</si>
  <si>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</si>
  <si>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</si>
  <si>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</si>
  <si>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</si>
  <si>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</si>
  <si>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</si>
  <si>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</si>
  <si>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</si>
  <si>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</si>
  <si>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</si>
  <si>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</si>
  <si>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</si>
  <si>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</si>
  <si>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</si>
  <si>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</si>
  <si>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</si>
  <si>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</si>
  <si>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</si>
  <si>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</si>
  <si>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</si>
  <si>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</si>
  <si>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</si>
  <si>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</si>
  <si>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</si>
  <si>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</si>
  <si>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</si>
  <si>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</si>
  <si>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</si>
  <si>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</si>
  <si>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</si>
  <si>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</si>
  <si>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</si>
  <si>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</si>
  <si>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</si>
  <si>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</si>
  <si>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</si>
  <si>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</si>
  <si>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</si>
  <si>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</si>
  <si>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</si>
  <si>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</si>
  <si>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</si>
  <si>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</si>
  <si>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</si>
  <si>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</si>
  <si>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</si>
  <si>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</si>
  <si>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</si>
  <si>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</si>
  <si>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</si>
  <si>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</si>
  <si>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</si>
  <si>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</si>
  <si>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</si>
  <si>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</si>
  <si>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</si>
  <si>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</si>
  <si>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</si>
  <si>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</si>
  <si>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</si>
  <si>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</si>
  <si>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</si>
  <si>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</si>
  <si>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</si>
  <si>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</si>
  <si>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</si>
  <si>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</si>
  <si>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</si>
  <si>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</si>
  <si>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</si>
  <si>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</si>
  <si>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</si>
  <si>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</si>
  <si>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</si>
  <si>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</si>
  <si>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</si>
  <si>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</si>
  <si>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</si>
  <si>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</si>
  <si>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</si>
  <si>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</si>
  <si>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</si>
  <si>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</si>
  <si>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</si>
  <si>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</si>
  <si>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</si>
  <si>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</si>
  <si>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</si>
  <si>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</si>
  <si>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</si>
  <si>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</si>
  <si>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</si>
  <si>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</si>
  <si>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</si>
  <si>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</si>
  <si>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</si>
  <si>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</si>
  <si>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</si>
  <si>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</si>
  <si>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</si>
  <si>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</si>
  <si>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</si>
  <si>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</si>
  <si>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</si>
  <si>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</si>
  <si>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</si>
  <si>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</si>
  <si>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</si>
  <si>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</si>
  <si>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</si>
  <si>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</si>
  <si>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</si>
  <si>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</si>
  <si>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</si>
  <si>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</si>
  <si>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</si>
  <si>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</si>
  <si>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</si>
  <si>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</si>
  <si>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</si>
  <si>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</si>
  <si>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</si>
  <si>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</si>
  <si>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</si>
  <si>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</si>
  <si>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</si>
  <si>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</si>
  <si>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</si>
  <si>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</si>
  <si>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</si>
  <si>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</si>
  <si>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</si>
  <si>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</si>
  <si>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</si>
  <si>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</si>
  <si>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</si>
  <si>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</si>
  <si>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</si>
  <si>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</si>
  <si>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</si>
  <si>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</si>
  <si>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</si>
  <si>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</si>
  <si>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</si>
  <si>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</si>
  <si>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</si>
  <si>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</si>
  <si>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</si>
  <si>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</si>
  <si>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</si>
  <si>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</si>
  <si>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</si>
  <si>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</si>
  <si>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</si>
  <si>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</si>
  <si>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</si>
  <si>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</si>
  <si>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</si>
  <si>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</si>
  <si>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</si>
  <si>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</si>
  <si>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</si>
  <si>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</si>
  <si>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</si>
  <si>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</si>
  <si>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</si>
  <si>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</si>
  <si>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</si>
  <si>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</si>
  <si>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</si>
  <si>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</si>
  <si>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</si>
  <si>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</si>
  <si>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</si>
  <si>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</si>
  <si>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</si>
  <si>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</si>
  <si>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</si>
  <si>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</si>
  <si>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</si>
  <si>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</si>
  <si>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</si>
  <si>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</si>
  <si>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</si>
  <si>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</si>
  <si>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</si>
  <si>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</si>
  <si>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</si>
  <si>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</si>
  <si>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</si>
  <si>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</si>
  <si>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</si>
  <si>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</si>
  <si>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</si>
  <si>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</si>
  <si>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</si>
  <si>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</si>
  <si>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</si>
  <si>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</si>
  <si>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</si>
  <si>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</si>
  <si>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</si>
  <si>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</si>
  <si>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</si>
  <si>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</si>
  <si>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</si>
  <si>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</si>
  <si>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</si>
  <si>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</si>
  <si>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</si>
  <si>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</si>
  <si>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</si>
  <si>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</si>
  <si>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</si>
  <si>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</si>
  <si>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</si>
  <si>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</si>
  <si>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</si>
  <si>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</si>
  <si>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</si>
  <si>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</si>
  <si>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</si>
  <si>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</si>
  <si>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</si>
  <si>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</si>
  <si>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</si>
  <si>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</si>
  <si>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</si>
  <si>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</si>
  <si>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</si>
  <si>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</si>
  <si>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</si>
  <si>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</si>
  <si>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</si>
  <si>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</si>
  <si>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</si>
  <si>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</si>
  <si>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</si>
  <si>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</si>
  <si>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</si>
  <si>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</si>
  <si>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</si>
  <si>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</si>
  <si>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</si>
  <si>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</si>
  <si>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</si>
  <si>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</si>
  <si>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</si>
  <si>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</si>
  <si>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</si>
  <si>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</si>
  <si>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</si>
  <si>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</si>
  <si>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</si>
  <si>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</si>
  <si>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</si>
  <si>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</si>
  <si>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</si>
  <si>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</si>
  <si>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</si>
  <si>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</si>
  <si>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</si>
  <si>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</si>
  <si>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</si>
  <si>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</si>
  <si>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</si>
  <si>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</si>
  <si>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</si>
  <si>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</si>
  <si>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</si>
  <si>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</si>
  <si>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</si>
  <si>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</si>
  <si>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</si>
  <si>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</si>
  <si>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</si>
  <si>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</si>
  <si>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</si>
  <si>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</si>
  <si>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</si>
  <si>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</si>
  <si>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</si>
  <si>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</si>
  <si>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</si>
  <si>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</si>
  <si>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</si>
  <si>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</si>
  <si>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</si>
  <si>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</si>
  <si>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</si>
  <si>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</si>
  <si>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</si>
  <si>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</si>
  <si>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</si>
  <si>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</si>
  <si>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</si>
  <si>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</si>
  <si>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</si>
  <si>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</si>
  <si>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</si>
  <si>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</si>
  <si>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</si>
  <si>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</si>
  <si>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</si>
  <si>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</si>
  <si>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</si>
  <si>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</si>
  <si>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</si>
  <si>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</si>
  <si>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</si>
  <si>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</si>
  <si>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</si>
  <si>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</si>
  <si>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</si>
  <si>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</si>
  <si>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</si>
  <si>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</si>
  <si>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</si>
  <si>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</si>
  <si>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</si>
  <si>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</si>
  <si>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</si>
  <si>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</si>
  <si>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</si>
  <si>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</si>
  <si>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</si>
  <si>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</si>
  <si>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</si>
  <si>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</si>
  <si>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</si>
  <si>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</si>
  <si>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</si>
  <si>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</si>
  <si>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</si>
  <si>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</si>
  <si>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</si>
  <si>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</si>
  <si>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</si>
  <si>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</si>
  <si>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</si>
  <si>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</si>
  <si>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</si>
  <si>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</si>
  <si>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</si>
  <si>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</si>
  <si>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</si>
  <si>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</si>
  <si>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</si>
  <si>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</si>
  <si>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</si>
  <si>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</si>
  <si>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</si>
  <si>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</si>
  <si>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</si>
  <si>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</si>
  <si>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</si>
  <si>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</si>
  <si>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</si>
  <si>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</si>
  <si>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</si>
  <si>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</si>
  <si>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</si>
  <si>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</si>
  <si>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</si>
  <si>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</si>
  <si>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</si>
  <si>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</si>
  <si>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</si>
  <si>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</si>
  <si>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</si>
  <si>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</si>
  <si>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</si>
  <si>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</si>
  <si>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</si>
  <si>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</si>
  <si>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</si>
  <si>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</si>
  <si>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</si>
  <si>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</si>
  <si>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</si>
  <si>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</si>
  <si>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</si>
  <si>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</si>
  <si>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</si>
  <si>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</si>
  <si>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</si>
  <si>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</si>
  <si>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</si>
  <si>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</si>
  <si>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</si>
  <si>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</si>
  <si>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</si>
  <si>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</si>
  <si>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</si>
  <si>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</si>
  <si>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</si>
  <si>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</si>
  <si>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</si>
  <si>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</si>
  <si>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</si>
  <si>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</si>
  <si>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</si>
  <si>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</si>
  <si>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</si>
  <si>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</si>
  <si>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</si>
  <si>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</si>
  <si>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</si>
  <si>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</si>
  <si>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</si>
  <si>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</si>
  <si>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</si>
  <si>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</si>
  <si>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</si>
  <si>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</si>
  <si>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</si>
  <si>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</si>
  <si>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</si>
  <si>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</si>
  <si>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</si>
  <si>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</si>
  <si>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</si>
  <si>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</si>
  <si>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</si>
  <si>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</si>
  <si>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</si>
  <si>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</si>
  <si>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</si>
  <si>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</si>
  <si>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</si>
  <si>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</si>
  <si>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</si>
  <si>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</si>
  <si>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</si>
  <si>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</si>
  <si>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</si>
  <si>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</si>
  <si>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</si>
  <si>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</si>
  <si>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</si>
  <si>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</si>
  <si>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</si>
  <si>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</si>
  <si>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</si>
  <si>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</si>
  <si>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</si>
  <si>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</si>
  <si>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</si>
  <si>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</si>
  <si>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</si>
  <si>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</si>
  <si>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</si>
  <si>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</si>
  <si>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</si>
  <si>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</si>
  <si>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</si>
  <si>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</si>
  <si>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</si>
  <si>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</si>
  <si>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</si>
  <si>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</si>
  <si>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</si>
  <si>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</si>
  <si>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</si>
  <si>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</si>
  <si>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</si>
  <si>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</si>
  <si>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</si>
  <si>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</si>
  <si>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</si>
  <si>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</si>
  <si>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</si>
  <si>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</si>
  <si>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</si>
  <si>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</si>
  <si>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</si>
  <si>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</si>
  <si>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</si>
  <si>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</si>
  <si>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</si>
  <si>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</si>
  <si>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</si>
  <si>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</si>
  <si>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</si>
  <si>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</si>
  <si>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</si>
  <si>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</si>
  <si>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</si>
  <si>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</si>
  <si>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</si>
  <si>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</si>
  <si>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</si>
  <si>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</si>
  <si>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</si>
  <si>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</si>
  <si>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</si>
  <si>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</si>
  <si>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</si>
  <si>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</si>
  <si>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</si>
  <si>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</si>
  <si>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</si>
  <si>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</si>
  <si>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</si>
  <si>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</si>
  <si>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</si>
  <si>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</si>
  <si>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</si>
  <si>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</si>
  <si>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</si>
  <si>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</si>
  <si>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</si>
  <si>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</si>
  <si>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</si>
  <si>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</si>
  <si>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</si>
  <si>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</si>
  <si>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</si>
  <si>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</si>
  <si>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</si>
  <si>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</si>
  <si>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</si>
  <si>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</si>
  <si>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</si>
  <si>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</si>
  <si>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</si>
  <si>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</si>
  <si>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</si>
  <si>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</si>
  <si>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</si>
  <si>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</si>
  <si>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</si>
  <si>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</si>
  <si>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</si>
  <si>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</si>
  <si>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</si>
  <si>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</si>
  <si>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</si>
  <si>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</si>
  <si>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</si>
  <si>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</si>
  <si>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</si>
  <si>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</si>
  <si>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</si>
  <si>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</si>
  <si>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</si>
  <si>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</si>
  <si>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</si>
  <si>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</si>
  <si>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</si>
  <si>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</si>
  <si>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</si>
  <si>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</si>
  <si>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</si>
  <si>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</si>
  <si>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</si>
  <si>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</si>
  <si>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</si>
  <si>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</si>
  <si>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</si>
  <si>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</si>
  <si>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</si>
  <si>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</si>
  <si>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</si>
  <si>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</si>
  <si>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</si>
  <si>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</si>
  <si>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</si>
  <si>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</si>
  <si>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</si>
  <si>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</si>
  <si>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</si>
  <si>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</si>
  <si>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</si>
  <si>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</si>
  <si>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</si>
  <si>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</si>
  <si>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</si>
  <si>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</si>
  <si>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</si>
  <si>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</si>
  <si>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</si>
  <si>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</si>
  <si>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</si>
  <si>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</si>
  <si>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</si>
  <si>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</si>
  <si>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</si>
  <si>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</si>
  <si>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</si>
  <si>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</si>
  <si>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</si>
  <si>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</si>
  <si>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</si>
  <si>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</si>
  <si>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</si>
  <si>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</si>
  <si>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</si>
  <si>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</si>
  <si>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</si>
  <si>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</si>
  <si>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</si>
  <si>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</si>
  <si>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</si>
  <si>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</si>
  <si>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</si>
  <si>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</si>
  <si>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</si>
  <si>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</si>
  <si>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</si>
  <si>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</si>
  <si>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</si>
  <si>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</si>
  <si>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</si>
  <si>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</si>
  <si>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</si>
  <si>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</si>
  <si>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</si>
  <si>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</si>
  <si>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</si>
  <si>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</si>
  <si>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</si>
  <si>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</si>
  <si>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</si>
  <si>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</si>
  <si>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</si>
  <si>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</si>
  <si>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</si>
  <si>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</si>
  <si>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</si>
  <si>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</si>
  <si>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</si>
  <si>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</si>
  <si>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</si>
  <si>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</si>
  <si>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</si>
  <si>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</si>
  <si>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</si>
  <si>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</si>
  <si>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</si>
  <si>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</si>
  <si>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</si>
  <si>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</si>
  <si>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</si>
  <si>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</si>
  <si>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</si>
  <si>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</si>
  <si>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</si>
  <si>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</si>
  <si>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</si>
  <si>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</si>
  <si>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</si>
  <si>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</si>
  <si>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</si>
  <si>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</si>
  <si>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</si>
  <si>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</si>
  <si>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</si>
  <si>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</si>
  <si>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</si>
  <si>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</si>
  <si>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</si>
  <si>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</si>
  <si>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</si>
  <si>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</si>
  <si>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</si>
  <si>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</si>
  <si>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</si>
  <si>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</si>
  <si>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</si>
  <si>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</si>
  <si>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</si>
  <si>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</si>
  <si>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</si>
  <si>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</si>
  <si>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</si>
  <si>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</si>
  <si>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</si>
  <si>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</si>
  <si>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</si>
  <si>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</si>
  <si>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</si>
  <si>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</si>
  <si>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</si>
  <si>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</si>
  <si>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</si>
  <si>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</si>
  <si>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</si>
  <si>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</si>
  <si>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</si>
  <si>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</si>
  <si>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</si>
  <si>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</si>
  <si>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</si>
  <si>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</si>
  <si>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</si>
  <si>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</si>
  <si>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</si>
  <si>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</si>
  <si>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</si>
  <si>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</si>
  <si>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</si>
  <si>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</si>
  <si>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</si>
  <si>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</si>
  <si>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</si>
  <si>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</si>
  <si>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</si>
  <si>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</si>
  <si>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</si>
  <si>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</si>
  <si>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</si>
  <si>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</si>
  <si>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</si>
  <si>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</si>
  <si>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</si>
  <si>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</si>
  <si>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</si>
  <si>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</si>
  <si>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</si>
  <si>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基准地价</t>
  </si>
  <si>
    <t>自定义容积率</t>
  </si>
  <si>
    <t>与级别开发程度不一致</t>
  </si>
  <si>
    <t>按公示增长率计算</t>
  </si>
  <si>
    <t xml:space="preserve"> </t>
    <phoneticPr fontId="7" type="noConversion"/>
  </si>
  <si>
    <t>工业（现状办公）</t>
  </si>
  <si>
    <t>工业（现状办公）</t>
    <phoneticPr fontId="7" type="noConversion"/>
  </si>
  <si>
    <t>按租金收入计税</t>
  </si>
  <si>
    <t>押一</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</si>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</sst>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8781</v>
      </c>
    </row>
    <row r="21" spans="1:2" s="1593" customFormat="1">
      <c r="A21" s="1591" t="s">
        <v>1230</v>
      </c>
      <c r="B21" s="1592">
        <f ca="1">'预评函-2'!D7</f>
        <v>15900</v>
      </c>
    </row>
    <row r="22" spans="1:2" s="1593" customFormat="1">
      <c r="A22" s="1591" t="s">
        <v>1231</v>
      </c>
      <c r="B22" s="1592" t="str">
        <f ca="1">'预评函-2'!D6</f>
        <v>捌仟柒佰捌拾壹万元整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8781</v>
      </c>
    </row>
    <row r="31" spans="1:2" s="1593" customFormat="1">
      <c r="A31" s="1591" t="s">
        <v>1269</v>
      </c>
      <c r="B31" s="1592">
        <f ca="1">'预评函-2'!D15</f>
        <v>15900</v>
      </c>
    </row>
    <row r="32" spans="1:2" s="1593" customFormat="1">
      <c r="A32" s="1591" t="s">
        <v>1236</v>
      </c>
      <c r="B32" s="1592" t="str">
        <f ca="1">'预评函-2'!D14</f>
        <v>捌仟柒佰捌拾壹万元整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5" t="str">
        <f>IF(B10="北京市","北京市",C10)&amp;F10&amp;IF(结果表!G1="在建","出让国有建设用地使用权及在建建筑物",IF(结果表!G1="土地","出让国有建设用地使用权",))&amp;B9&amp;"预评估"</f>
        <v>北京市房地产市场价值预评估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08"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09"/>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15" t="s">
        <v>3062</v>
      </c>
      <c r="C16" s="3016"/>
      <c r="D16" s="3017"/>
      <c r="E16" s="2085" t="s">
        <v>1796</v>
      </c>
      <c r="F16" s="3018"/>
      <c r="G16" s="3019"/>
      <c r="H16" s="3019"/>
      <c r="I16" s="3020"/>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1" t="s">
        <v>1800</v>
      </c>
      <c r="F17" s="3022"/>
      <c r="G17" s="3022"/>
      <c r="H17" s="3022"/>
      <c r="I17" s="302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24" t="s">
        <v>1803</v>
      </c>
      <c r="F18" s="3025"/>
      <c r="G18" s="3025"/>
      <c r="H18" s="3025"/>
      <c r="I18" s="302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1" t="s">
        <v>1808</v>
      </c>
      <c r="C20" s="3012"/>
      <c r="D20" s="3013" t="s">
        <v>1809</v>
      </c>
      <c r="E20" s="3014"/>
      <c r="F20" s="2097" t="s">
        <v>1810</v>
      </c>
      <c r="G20" s="2041"/>
      <c r="H20" s="2041"/>
      <c r="I20" s="2041"/>
      <c r="J20" s="2041"/>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8"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9"/>
      <c r="B30" s="2034" t="s">
        <v>1827</v>
      </c>
      <c r="C30" s="3030"/>
      <c r="D30" s="303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2"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27" t="s">
        <v>1837</v>
      </c>
      <c r="T34" s="2134" t="str">
        <f>NUMBERSTRING(7-K34,1)&amp;"通"</f>
        <v>七通</v>
      </c>
      <c r="U34" s="2028"/>
      <c r="V34" s="2028"/>
    </row>
    <row r="35" spans="1:22" ht="18" customHeight="1">
      <c r="A35" s="2135"/>
      <c r="B35" s="3034" t="s">
        <v>1838</v>
      </c>
      <c r="C35" s="3034"/>
      <c r="D35" s="3034"/>
      <c r="E35" s="303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3092</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3094</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0.04</v>
      </c>
      <c r="J6" s="74">
        <v>0.08</v>
      </c>
      <c r="K6" s="1251">
        <f>SUMIF('数据-汇总表'!C$19:C$33,A6,'数据-汇总表'!E$19:E$33)</f>
        <v>5522.69</v>
      </c>
      <c r="L6" s="803">
        <v>3000</v>
      </c>
      <c r="M6" s="75">
        <f t="shared" ref="M6:M14" si="0">ROUND(K6*L6/10000,0)</f>
        <v>1657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0.01</v>
      </c>
      <c r="AL6" s="88">
        <v>1E-3</v>
      </c>
      <c r="AM6" s="89">
        <v>0.01</v>
      </c>
      <c r="AN6" s="2309" t="s">
        <v>3077</v>
      </c>
      <c r="AO6" s="55">
        <f ca="1">SUMIF(INDIRECT("'"&amp;AN6&amp;"'"&amp;"!A:A"),"总价",INDIRECT("'"&amp;AN6&amp;"'"&amp;"!B:B"))</f>
        <v>5551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3000</v>
      </c>
      <c r="M16" s="102">
        <f>SUM(M6:M14)</f>
        <v>1657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8781</v>
      </c>
      <c r="C5" s="1743">
        <f ca="1">ROUND(B5*10000/$B$1,0)</f>
        <v>15900</v>
      </c>
      <c r="D5" s="1743" t="e">
        <f ca="1">ROUND(B5*10000/$B$2,0)</f>
        <v>#DIV/0!</v>
      </c>
      <c r="E5" s="1742"/>
      <c r="F5" s="1740"/>
      <c r="G5" s="1740"/>
    </row>
    <row r="6" spans="1:10" ht="16.5">
      <c r="A6" s="1743" t="s">
        <v>1351</v>
      </c>
      <c r="B6" s="1743">
        <f ca="1">SUM(G14:G23)</f>
        <v>8781</v>
      </c>
      <c r="C6" s="1743">
        <f ca="1">ROUND(B6*10000/$B$1,0)</f>
        <v>15900</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8781</v>
      </c>
      <c r="E14" s="1741">
        <f ca="1">ROUND(D14*10000/B14,0)</f>
        <v>15900</v>
      </c>
      <c r="F14" s="1741" t="e">
        <f ca="1">ROUND(D14*10000/C14,0)</f>
        <v>#DIV/0!</v>
      </c>
      <c r="G14" s="1741">
        <f ca="1">结果表!D122</f>
        <v>8781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4" sqref="E4:I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3093</v>
      </c>
      <c r="D1" s="2418"/>
      <c r="E1" s="2418"/>
      <c r="F1" s="2420" t="s">
        <v>2117</v>
      </c>
      <c r="G1" s="2070" t="s">
        <v>3064</v>
      </c>
      <c r="H1" s="2421" t="str">
        <f>IF(G1="现房","——","估价对象范围")</f>
        <v>——</v>
      </c>
      <c r="I1" s="2422"/>
    </row>
    <row r="2" spans="1:12" ht="21.75" customHeight="1" thickBot="1">
      <c r="A2" s="3126" t="str">
        <f>项目基本情况!S2</f>
        <v>北京市房地产</v>
      </c>
      <c r="B2" s="3127"/>
      <c r="C2" s="3127"/>
      <c r="D2" s="3127"/>
      <c r="E2" s="3127"/>
      <c r="F2" s="3127"/>
      <c r="G2" s="3127"/>
      <c r="H2" s="3127"/>
      <c r="I2" s="3128"/>
    </row>
    <row r="3" spans="1:12" ht="12.75">
      <c r="A3" s="3129" t="s">
        <v>2118</v>
      </c>
      <c r="B3" s="3130"/>
      <c r="C3" s="3130"/>
      <c r="D3" s="3130"/>
      <c r="E3" s="3130"/>
      <c r="F3" s="3130"/>
      <c r="G3" s="3130"/>
      <c r="H3" s="3130"/>
      <c r="I3" s="3130"/>
    </row>
    <row r="4" spans="1:12" ht="14.25">
      <c r="A4" s="2425" t="s">
        <v>2119</v>
      </c>
      <c r="B4" s="2426" t="s">
        <v>2120</v>
      </c>
      <c r="C4" s="2427" t="s">
        <v>3084</v>
      </c>
      <c r="D4" s="2427" t="s">
        <v>3077</v>
      </c>
      <c r="E4" s="3110" t="s">
        <v>2121</v>
      </c>
      <c r="F4" s="3123"/>
      <c r="G4" s="3123"/>
      <c r="H4" s="3123"/>
      <c r="I4" s="311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01" t="s">
        <v>2122</v>
      </c>
      <c r="B5" s="3027">
        <v>25</v>
      </c>
      <c r="C5" s="3131">
        <v>60</v>
      </c>
      <c r="D5" s="3119">
        <f>100-C5</f>
        <v>40</v>
      </c>
      <c r="E5" s="140" t="s">
        <v>2123</v>
      </c>
      <c r="F5" s="2429"/>
      <c r="G5" s="2429"/>
      <c r="H5" s="2429"/>
      <c r="I5" s="1831"/>
    </row>
    <row r="6" spans="1:12" ht="12.75">
      <c r="A6" s="3101"/>
      <c r="B6" s="3027"/>
      <c r="C6" s="3133"/>
      <c r="D6" s="3119"/>
      <c r="E6" s="140" t="s">
        <v>2124</v>
      </c>
      <c r="F6" s="2429"/>
      <c r="G6" s="2429"/>
      <c r="H6" s="2429"/>
      <c r="I6" s="1831"/>
    </row>
    <row r="7" spans="1:12" ht="12.75">
      <c r="A7" s="3101"/>
      <c r="B7" s="3027"/>
      <c r="C7" s="3132"/>
      <c r="D7" s="3119"/>
      <c r="E7" s="140" t="s">
        <v>2125</v>
      </c>
      <c r="F7" s="2429"/>
      <c r="G7" s="2429"/>
      <c r="H7" s="2429"/>
      <c r="I7" s="1831"/>
    </row>
    <row r="8" spans="1:12" ht="12.75">
      <c r="A8" s="3101" t="s">
        <v>2126</v>
      </c>
      <c r="B8" s="3027">
        <v>15</v>
      </c>
      <c r="C8" s="3131"/>
      <c r="D8" s="3119"/>
      <c r="E8" s="140" t="s">
        <v>2127</v>
      </c>
      <c r="F8" s="2429"/>
      <c r="G8" s="2429"/>
      <c r="H8" s="2429"/>
      <c r="I8" s="1831"/>
    </row>
    <row r="9" spans="1:12" ht="12.75">
      <c r="A9" s="3101"/>
      <c r="B9" s="3027"/>
      <c r="C9" s="3132"/>
      <c r="D9" s="3119"/>
      <c r="E9" s="140" t="s">
        <v>2128</v>
      </c>
      <c r="F9" s="2429"/>
      <c r="G9" s="2429"/>
      <c r="H9" s="2429"/>
      <c r="I9" s="1831"/>
    </row>
    <row r="10" spans="1:12" ht="12.75">
      <c r="A10" s="3101" t="s">
        <v>2129</v>
      </c>
      <c r="B10" s="3027">
        <v>15</v>
      </c>
      <c r="C10" s="3131"/>
      <c r="D10" s="3119"/>
      <c r="E10" s="140" t="s">
        <v>2130</v>
      </c>
      <c r="F10" s="2429"/>
      <c r="G10" s="2429"/>
      <c r="H10" s="2429"/>
      <c r="I10" s="1831"/>
    </row>
    <row r="11" spans="1:12" ht="12.75">
      <c r="A11" s="3101"/>
      <c r="B11" s="3027"/>
      <c r="C11" s="3132"/>
      <c r="D11" s="3119"/>
      <c r="E11" s="140" t="s">
        <v>2131</v>
      </c>
      <c r="F11" s="2429"/>
      <c r="G11" s="2429"/>
      <c r="H11" s="2429"/>
      <c r="I11" s="1831"/>
    </row>
    <row r="12" spans="1:12" ht="12.75">
      <c r="A12" s="3101" t="s">
        <v>2132</v>
      </c>
      <c r="B12" s="3027">
        <v>15</v>
      </c>
      <c r="C12" s="3131"/>
      <c r="D12" s="3119"/>
      <c r="E12" s="140" t="s">
        <v>2133</v>
      </c>
      <c r="F12" s="2429"/>
      <c r="G12" s="2429"/>
      <c r="H12" s="2429"/>
      <c r="I12" s="1831"/>
    </row>
    <row r="13" spans="1:12" ht="12.75">
      <c r="A13" s="3101"/>
      <c r="B13" s="3027"/>
      <c r="C13" s="3132"/>
      <c r="D13" s="3119"/>
      <c r="E13" s="140" t="s">
        <v>2134</v>
      </c>
      <c r="F13" s="2429"/>
      <c r="G13" s="2429"/>
      <c r="H13" s="2429"/>
      <c r="I13" s="1831"/>
    </row>
    <row r="14" spans="1:12" ht="12.75">
      <c r="A14" s="3101" t="s">
        <v>2135</v>
      </c>
      <c r="B14" s="3027">
        <v>30</v>
      </c>
      <c r="C14" s="3131"/>
      <c r="D14" s="3119"/>
      <c r="E14" s="140" t="s">
        <v>2136</v>
      </c>
      <c r="F14" s="2429"/>
      <c r="G14" s="2429"/>
      <c r="H14" s="2429"/>
      <c r="I14" s="1831"/>
    </row>
    <row r="15" spans="1:12" ht="12.75">
      <c r="A15" s="3101"/>
      <c r="B15" s="3027"/>
      <c r="C15" s="3133"/>
      <c r="D15" s="3119"/>
      <c r="E15" s="140" t="s">
        <v>2137</v>
      </c>
      <c r="F15" s="2429"/>
      <c r="G15" s="2429"/>
      <c r="H15" s="2429"/>
      <c r="I15" s="1831"/>
    </row>
    <row r="16" spans="1:12" ht="12.75">
      <c r="A16" s="3101"/>
      <c r="B16" s="3027"/>
      <c r="C16" s="3132"/>
      <c r="D16" s="3119"/>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10934</v>
      </c>
      <c r="D19" s="144">
        <f ca="1">SUMIF(INDIRECT("'"&amp;D4&amp;"'"&amp;"!A:A"),结果表!B19,INDIRECT("'"&amp;D4&amp;"'"&amp;"!B:B"))</f>
        <v>5551</v>
      </c>
      <c r="E19" s="2434" t="s">
        <v>2146</v>
      </c>
      <c r="F19" s="2435" t="s">
        <v>2145</v>
      </c>
      <c r="G19" s="145">
        <f ca="1">ROUND(C19*$C$18+D19*$D$18,0)</f>
        <v>8781</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19798</v>
      </c>
      <c r="D20" s="147">
        <f ca="1">SUMIF(INDIRECT("'"&amp;D4&amp;"'"&amp;"!A:A"),结果表!B20,INDIRECT("'"&amp;D4&amp;"'"&amp;"!B:B"))</f>
        <v>10051</v>
      </c>
      <c r="E20" s="2437"/>
      <c r="F20" s="1247" t="s">
        <v>2149</v>
      </c>
      <c r="G20" s="148">
        <f ca="1">ROUND(C20*$C$18+D20*$D$18,0)</f>
        <v>15899</v>
      </c>
      <c r="H20" s="980" t="s">
        <v>2150</v>
      </c>
      <c r="I20" s="138"/>
      <c r="J20" s="795">
        <f ca="1">G20*'数据-汇总表'!F19</f>
        <v>87805248.309999987</v>
      </c>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0.96973518284993698</v>
      </c>
      <c r="E22" s="138"/>
      <c r="F22" s="138"/>
      <c r="G22" s="138"/>
      <c r="H22" s="138"/>
      <c r="I22" s="138"/>
    </row>
    <row r="23" spans="1:35" ht="13.5" thickBot="1">
      <c r="A23" s="2418"/>
      <c r="B23" s="2418"/>
      <c r="C23" s="2418"/>
      <c r="D23" s="2418"/>
      <c r="E23" s="138"/>
      <c r="F23" s="138"/>
      <c r="G23" s="138"/>
      <c r="H23" s="138"/>
      <c r="I23" s="138"/>
    </row>
    <row r="24" spans="1:35" ht="14.25">
      <c r="A24" s="3140" t="s">
        <v>2153</v>
      </c>
      <c r="B24" s="2435" t="s">
        <v>2145</v>
      </c>
      <c r="C24" s="145">
        <f>IF(B30=0,0,D30)</f>
        <v>0</v>
      </c>
      <c r="D24" s="2442"/>
      <c r="E24" s="138"/>
      <c r="F24" s="138"/>
      <c r="G24" s="138"/>
      <c r="H24" s="138"/>
      <c r="I24" s="138"/>
    </row>
    <row r="25" spans="1:35" ht="14.25">
      <c r="A25" s="3141"/>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8781</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20" t="s">
        <v>2167</v>
      </c>
      <c r="B36" s="2461" t="s">
        <v>2168</v>
      </c>
      <c r="C36" s="154"/>
      <c r="D36" s="2462"/>
      <c r="E36" s="2463"/>
      <c r="F36" s="2464"/>
      <c r="G36" s="138"/>
      <c r="H36" s="138"/>
      <c r="I36" s="138"/>
    </row>
    <row r="37" spans="1:15" ht="15.75" thickBot="1">
      <c r="A37" s="3121"/>
      <c r="B37" s="2267" t="s">
        <v>2169</v>
      </c>
      <c r="C37" s="156"/>
      <c r="D37" s="1392"/>
      <c r="E37" s="1392"/>
      <c r="F37" s="2464"/>
      <c r="G37" s="138"/>
      <c r="H37" s="138"/>
      <c r="I37" s="138"/>
    </row>
    <row r="38" spans="1:15" ht="15.75" thickBot="1">
      <c r="A38" s="3122"/>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7" t="s">
        <v>2181</v>
      </c>
      <c r="B45" s="3138"/>
      <c r="C45" s="3139"/>
      <c r="D45" s="164">
        <f ca="1">ROUND(H101*F45,0)</f>
        <v>8781</v>
      </c>
      <c r="E45" s="165" t="s">
        <v>2182</v>
      </c>
      <c r="F45" s="166">
        <v>1</v>
      </c>
      <c r="G45" s="167" t="s">
        <v>2183</v>
      </c>
      <c r="H45" s="138"/>
      <c r="I45" s="138"/>
      <c r="J45" s="3056" t="s">
        <v>2184</v>
      </c>
      <c r="K45" s="3056"/>
      <c r="L45" s="3056"/>
      <c r="M45" s="3056"/>
      <c r="N45" s="3056"/>
      <c r="O45" s="3056"/>
    </row>
    <row r="46" spans="1:15" ht="14.25" customHeight="1">
      <c r="A46" s="3134" t="s">
        <v>2185</v>
      </c>
      <c r="B46" s="3135"/>
      <c r="C46" s="3135"/>
      <c r="D46" s="3135"/>
      <c r="E46" s="3135"/>
      <c r="F46" s="3135"/>
      <c r="G46" s="3136"/>
      <c r="H46" s="2480"/>
      <c r="I46" s="168"/>
      <c r="J46" s="1809">
        <v>1</v>
      </c>
      <c r="K46" s="3056" t="s">
        <v>2186</v>
      </c>
      <c r="L46" s="3056"/>
      <c r="M46" s="3057"/>
      <c r="N46" s="3057"/>
      <c r="O46" s="3057"/>
    </row>
    <row r="47" spans="1:15" ht="12" customHeight="1">
      <c r="A47" s="169" t="s">
        <v>2187</v>
      </c>
      <c r="B47" s="170"/>
      <c r="C47" s="171"/>
      <c r="D47" s="172" t="s">
        <v>2188</v>
      </c>
      <c r="E47" s="24" t="s">
        <v>2189</v>
      </c>
      <c r="F47" s="173" t="s">
        <v>2190</v>
      </c>
      <c r="G47" s="174" t="s">
        <v>2191</v>
      </c>
      <c r="H47" s="2480"/>
      <c r="I47" s="168"/>
      <c r="J47" s="1809">
        <v>2</v>
      </c>
      <c r="K47" s="3056" t="s">
        <v>2192</v>
      </c>
      <c r="L47" s="3056"/>
      <c r="M47" s="3058">
        <f>'数据-取费表'!B2</f>
        <v>43958</v>
      </c>
      <c r="N47" s="3058"/>
      <c r="O47" s="3058"/>
    </row>
    <row r="48" spans="1:15" ht="25.5">
      <c r="A48" s="3124" t="s">
        <v>2193</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056" t="s">
        <v>2196</v>
      </c>
      <c r="L48" s="3056"/>
      <c r="M48" s="3059">
        <f ca="1">H101</f>
        <v>8781</v>
      </c>
      <c r="N48" s="3059"/>
      <c r="O48" s="3059"/>
    </row>
    <row r="49" spans="1:35" ht="25.5" customHeight="1">
      <c r="A49" s="176" t="s">
        <v>2197</v>
      </c>
      <c r="B49" s="3104" t="s">
        <v>2198</v>
      </c>
      <c r="C49" s="3104"/>
      <c r="D49" s="177">
        <v>0</v>
      </c>
      <c r="E49" s="23" t="s">
        <v>2199</v>
      </c>
      <c r="F49" s="28" t="s">
        <v>34</v>
      </c>
      <c r="G49" s="3085"/>
      <c r="H49" s="138"/>
      <c r="I49" s="2483"/>
      <c r="J49" s="1809">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8"/>
      <c r="B50" s="3104" t="s">
        <v>2200</v>
      </c>
      <c r="C50" s="3104"/>
      <c r="D50" s="179"/>
      <c r="E50" s="31"/>
      <c r="F50" s="180"/>
      <c r="G50" s="3086"/>
      <c r="H50" s="138"/>
      <c r="I50" s="2483"/>
      <c r="J50" s="3056" t="s">
        <v>2201</v>
      </c>
      <c r="K50" s="3056"/>
      <c r="L50" s="3056"/>
      <c r="M50" s="3056"/>
      <c r="N50" s="3056"/>
      <c r="O50" s="3056"/>
    </row>
    <row r="51" spans="1:35" ht="12" customHeight="1">
      <c r="A51" s="181"/>
      <c r="B51" s="3104" t="s">
        <v>2202</v>
      </c>
      <c r="C51" s="3104"/>
      <c r="D51" s="182"/>
      <c r="E51" s="30"/>
      <c r="F51" s="180"/>
      <c r="G51" s="3087"/>
      <c r="H51" s="138"/>
      <c r="I51" s="2483"/>
      <c r="J51" s="2484" t="s">
        <v>2203</v>
      </c>
      <c r="K51" s="3056" t="s">
        <v>2204</v>
      </c>
      <c r="L51" s="3056"/>
      <c r="M51" s="2484" t="s">
        <v>2205</v>
      </c>
      <c r="N51" s="2484" t="s">
        <v>2206</v>
      </c>
      <c r="O51" s="2484" t="s">
        <v>2207</v>
      </c>
    </row>
    <row r="52" spans="1:35" ht="24" customHeight="1">
      <c r="A52" s="183" t="s">
        <v>2208</v>
      </c>
      <c r="B52" s="3104" t="s">
        <v>2209</v>
      </c>
      <c r="C52" s="3104"/>
      <c r="D52" s="182">
        <f ca="1">ROUND(D45*'数据-取费表'!B41/(1+'数据-取费表'!C42),0)</f>
        <v>468</v>
      </c>
      <c r="E52" s="11" t="s">
        <v>2210</v>
      </c>
      <c r="F52" s="184">
        <f>'数据-取费表'!B41</f>
        <v>5.6000000000000001E-2</v>
      </c>
      <c r="G52" s="2485"/>
      <c r="H52" s="138"/>
      <c r="I52" s="2483"/>
      <c r="J52" s="1809">
        <v>1</v>
      </c>
      <c r="K52" s="3079" t="s">
        <v>2211</v>
      </c>
      <c r="L52" s="3079"/>
      <c r="M52" s="1751">
        <f>D48</f>
        <v>0</v>
      </c>
      <c r="N52" s="1809" t="str">
        <f>E48</f>
        <v>销售额×税（费）率</v>
      </c>
      <c r="O52" s="1752" t="str">
        <f>F48</f>
        <v>免征</v>
      </c>
    </row>
    <row r="53" spans="1:35" ht="12" customHeight="1">
      <c r="A53" s="183" t="s">
        <v>2212</v>
      </c>
      <c r="B53" s="3105" t="s">
        <v>2213</v>
      </c>
      <c r="C53" s="3106"/>
      <c r="D53" s="182">
        <f ca="1">ROUND(D45*'数据-取费表'!B41/(1+'数据-取费表'!C42),0)</f>
        <v>468</v>
      </c>
      <c r="E53" s="11" t="s">
        <v>2210</v>
      </c>
      <c r="F53" s="184">
        <f>'数据-取费表'!B41</f>
        <v>5.6000000000000001E-2</v>
      </c>
      <c r="G53" s="2485"/>
      <c r="H53" s="138"/>
      <c r="I53" s="2483"/>
      <c r="J53" s="1809">
        <v>2</v>
      </c>
      <c r="K53" s="3079" t="s">
        <v>2214</v>
      </c>
      <c r="L53" s="3079"/>
      <c r="M53" s="1751">
        <f t="shared" ref="M53:O54" ca="1" si="0">D55</f>
        <v>4</v>
      </c>
      <c r="N53" s="1809" t="str">
        <f t="shared" si="0"/>
        <v>销售额×税（费）率</v>
      </c>
      <c r="O53" s="1752">
        <f t="shared" si="0"/>
        <v>5.0000000000000001E-4</v>
      </c>
    </row>
    <row r="54" spans="1:35" ht="12" customHeight="1">
      <c r="A54" s="183" t="s">
        <v>2215</v>
      </c>
      <c r="B54" s="3105" t="s">
        <v>2216</v>
      </c>
      <c r="C54" s="3106"/>
      <c r="D54" s="182">
        <f ca="1">C68</f>
        <v>468</v>
      </c>
      <c r="E54" s="30" t="s">
        <v>2217</v>
      </c>
      <c r="F54" s="184">
        <f>'数据-取费表'!B41</f>
        <v>5.6000000000000001E-2</v>
      </c>
      <c r="G54" s="2485"/>
      <c r="H54" s="2486"/>
      <c r="I54" s="2483"/>
      <c r="J54" s="1809">
        <v>3</v>
      </c>
      <c r="K54" s="3079" t="s">
        <v>2218</v>
      </c>
      <c r="L54" s="3079"/>
      <c r="M54" s="1751">
        <f t="shared" ca="1" si="0"/>
        <v>4970</v>
      </c>
      <c r="N54" s="1809" t="str">
        <f t="shared" si="0"/>
        <v>增值额×税（费）率</v>
      </c>
      <c r="O54" s="1753" t="str">
        <f t="shared" si="0"/>
        <v>——</v>
      </c>
    </row>
    <row r="55" spans="1:35" ht="24" customHeight="1">
      <c r="A55" s="3143" t="s">
        <v>2219</v>
      </c>
      <c r="B55" s="3125"/>
      <c r="C55" s="3125"/>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2222</v>
      </c>
      <c r="B56" s="3125"/>
      <c r="C56" s="3125"/>
      <c r="D56" s="185">
        <f ca="1">IF(H56="个人住宅",D57,D58)</f>
        <v>4970</v>
      </c>
      <c r="E56" s="11" t="s">
        <v>2223</v>
      </c>
      <c r="F56" s="184" t="str">
        <f>IF(H56="正常",F58,"免征")</f>
        <v>——</v>
      </c>
      <c r="G56" s="2487" t="s">
        <v>2224</v>
      </c>
      <c r="H56" s="2488" t="s">
        <v>2221</v>
      </c>
      <c r="I56" s="2489"/>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2197</v>
      </c>
      <c r="B57" s="3110" t="s">
        <v>2225</v>
      </c>
      <c r="C57" s="3111"/>
      <c r="D57" s="187">
        <v>0</v>
      </c>
      <c r="E57" s="23" t="s">
        <v>2199</v>
      </c>
      <c r="F57" s="155"/>
      <c r="G57" s="2485"/>
      <c r="H57" s="2489"/>
      <c r="I57" s="2489"/>
      <c r="J57" s="3079">
        <f>IF(AND(J55="",J56=""),4,IF(项目基本情况!K6="上海银行",结果表!J56+1,结果表!J55+1))</f>
        <v>4</v>
      </c>
      <c r="K57" s="3079" t="s">
        <v>2226</v>
      </c>
      <c r="L57" s="2490" t="s">
        <v>2227</v>
      </c>
      <c r="M57" s="1756"/>
      <c r="N57" s="1757">
        <f ca="1">SUMIF(M52:M56,"&lt;9e307")</f>
        <v>4974</v>
      </c>
      <c r="O57" s="2491"/>
      <c r="P57" s="1750" t="e">
        <f ca="1">N57/M49</f>
        <v>#VALUE!</v>
      </c>
    </row>
    <row r="58" spans="1:35" ht="24.75">
      <c r="A58" s="183" t="s">
        <v>2208</v>
      </c>
      <c r="B58" s="3110" t="s">
        <v>2228</v>
      </c>
      <c r="C58" s="3123"/>
      <c r="D58" s="185">
        <f ca="1">IF(H58="转让取得",C81,C97)</f>
        <v>4970</v>
      </c>
      <c r="E58" s="11" t="s">
        <v>2223</v>
      </c>
      <c r="F58" s="24" t="s">
        <v>34</v>
      </c>
      <c r="G58" s="2485"/>
      <c r="H58" s="2488" t="s">
        <v>2229</v>
      </c>
      <c r="I58" s="2489"/>
      <c r="J58" s="3079"/>
      <c r="K58" s="3079"/>
      <c r="L58" s="2490" t="s">
        <v>2230</v>
      </c>
      <c r="M58" s="1758"/>
      <c r="N58" s="2492" t="str">
        <f ca="1">NUMBERSTRING(INT(N57*10000),2)&amp;"元整"</f>
        <v>肆仟玖佰柒拾肆万元整</v>
      </c>
      <c r="O58" s="2493"/>
    </row>
    <row r="59" spans="1:35" ht="24.75" thickBot="1">
      <c r="A59" s="3083" t="s">
        <v>2231</v>
      </c>
      <c r="B59" s="3084"/>
      <c r="C59" s="3084"/>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081">
        <f>J57+1</f>
        <v>5</v>
      </c>
      <c r="K59" s="3079" t="s">
        <v>2233</v>
      </c>
      <c r="L59" s="1809" t="s">
        <v>2227</v>
      </c>
      <c r="M59" s="1759"/>
      <c r="N59" s="1760" t="e">
        <f ca="1">M49-N57</f>
        <v>#VALUE!</v>
      </c>
      <c r="O59" s="2495"/>
    </row>
    <row r="60" spans="1:35" ht="12" customHeight="1">
      <c r="A60" s="2496"/>
      <c r="B60" s="2418"/>
      <c r="C60" s="2418"/>
      <c r="D60" s="2418"/>
      <c r="E60" s="2166"/>
      <c r="F60" s="2489"/>
      <c r="G60" s="2489"/>
      <c r="H60" s="2497"/>
      <c r="I60" s="138"/>
      <c r="J60" s="3082"/>
      <c r="K60" s="3079"/>
      <c r="L60" s="2490" t="s">
        <v>2230</v>
      </c>
      <c r="M60" s="1758"/>
      <c r="N60" s="2492" t="e">
        <f ca="1">NUMBERSTRING(INT(N59*10000),2)&amp;"元整"</f>
        <v>#VALUE!</v>
      </c>
      <c r="O60" s="2493"/>
    </row>
    <row r="61" spans="1:35" ht="13.5" thickBot="1">
      <c r="A61" s="3142" t="s">
        <v>2234</v>
      </c>
      <c r="B61" s="3142"/>
      <c r="C61" s="3142"/>
      <c r="D61" s="3142"/>
      <c r="E61" s="3142"/>
      <c r="F61" s="2489"/>
      <c r="G61" s="2489"/>
      <c r="H61" s="2497"/>
      <c r="I61" s="138"/>
      <c r="J61" s="1809">
        <f>J59+1</f>
        <v>6</v>
      </c>
      <c r="K61" s="3079" t="s">
        <v>2235</v>
      </c>
      <c r="L61" s="3079"/>
      <c r="M61" s="1761"/>
      <c r="N61" s="1762" t="e">
        <f ca="1">ROUND(N59*10000/'数据-汇总表'!E3,0)</f>
        <v>#VALUE!</v>
      </c>
      <c r="O61" s="2498"/>
    </row>
    <row r="62" spans="1:35" ht="12.75">
      <c r="A62" s="3099" t="s">
        <v>2236</v>
      </c>
      <c r="B62" s="3100"/>
      <c r="C62" s="1801"/>
      <c r="D62" s="1801" t="s">
        <v>2237</v>
      </c>
      <c r="E62" s="192" t="s">
        <v>2238</v>
      </c>
      <c r="F62" s="2489"/>
      <c r="G62" s="2489"/>
      <c r="H62" s="2497"/>
      <c r="I62" s="138"/>
    </row>
    <row r="63" spans="1:35" ht="12.75">
      <c r="A63" s="203" t="s">
        <v>775</v>
      </c>
      <c r="B63" s="193" t="s">
        <v>2239</v>
      </c>
      <c r="C63" s="194">
        <f ca="1">ROUND((C64+C65)/(1+'数据-取费表'!C42),0)</f>
        <v>8363</v>
      </c>
      <c r="D63" s="195"/>
      <c r="E63" s="196"/>
      <c r="F63" s="2489"/>
      <c r="G63" s="2489"/>
      <c r="H63" s="2497"/>
      <c r="I63" s="138"/>
      <c r="J63" s="306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8781</v>
      </c>
      <c r="D64" s="200" t="s">
        <v>32</v>
      </c>
      <c r="E64" s="201"/>
      <c r="F64" s="2489"/>
      <c r="G64" s="2489"/>
      <c r="H64" s="2497"/>
      <c r="I64" s="138"/>
      <c r="J64" s="306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06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064"/>
      <c r="K66" s="2499" t="s">
        <v>2248</v>
      </c>
      <c r="L66" s="1749" t="e">
        <f>M49*0.5%</f>
        <v>#VALUE!</v>
      </c>
      <c r="M66" s="24" t="e">
        <f>IF(L66&gt;0.5,0.5,ROUND(L66,0))</f>
        <v>#VALUE!</v>
      </c>
      <c r="N66" s="138" t="s">
        <v>2249</v>
      </c>
      <c r="Z66" s="2423"/>
      <c r="AI66" s="2424"/>
    </row>
    <row r="67" spans="1:35" ht="14.25" customHeight="1">
      <c r="A67" s="203" t="s">
        <v>773</v>
      </c>
      <c r="B67" s="204" t="s">
        <v>2250</v>
      </c>
      <c r="C67" s="207">
        <f ca="1">C63-C66</f>
        <v>8363</v>
      </c>
      <c r="D67" s="200" t="s">
        <v>32</v>
      </c>
      <c r="E67" s="201"/>
      <c r="F67" s="2489"/>
      <c r="G67" s="2489"/>
      <c r="H67" s="2497"/>
      <c r="I67" s="138"/>
      <c r="J67" s="306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468</v>
      </c>
      <c r="D68" s="211">
        <f>'数据-取费表'!B41</f>
        <v>5.6000000000000001E-2</v>
      </c>
      <c r="E68" s="212"/>
      <c r="F68" s="2489"/>
      <c r="G68" s="2489"/>
      <c r="H68" s="2497"/>
      <c r="I68" s="138"/>
      <c r="J68" s="306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8" t="s">
        <v>2255</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9" t="s">
        <v>2236</v>
      </c>
      <c r="B71" s="3100"/>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8363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5" t="s">
        <v>2264</v>
      </c>
      <c r="F76" s="3104"/>
      <c r="G76" s="3104"/>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96" t="s">
        <v>2269</v>
      </c>
      <c r="F78" s="3097"/>
      <c r="G78" s="3097"/>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8313</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166.26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8" t="s">
        <v>2273</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9" t="s">
        <v>2236</v>
      </c>
      <c r="B84" s="3100"/>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8363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96" t="s">
        <v>2282</v>
      </c>
      <c r="F91" s="3097"/>
      <c r="G91" s="3097"/>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96" t="s">
        <v>2286</v>
      </c>
      <c r="F92" s="3097"/>
      <c r="G92" s="3097"/>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96" t="s">
        <v>2269</v>
      </c>
      <c r="F93" s="3097"/>
      <c r="G93" s="3097"/>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44" t="s">
        <v>2290</v>
      </c>
      <c r="F94" s="3145"/>
      <c r="G94" s="3145"/>
      <c r="H94" s="314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8313</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166.26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80"/>
      <c r="E100" s="3049" t="s">
        <v>2293</v>
      </c>
      <c r="F100" s="3049"/>
      <c r="G100" s="3049"/>
      <c r="H100" s="3080"/>
      <c r="I100" s="138"/>
    </row>
    <row r="101" spans="1:35" ht="18.75" customHeight="1">
      <c r="A101" s="3088" t="s">
        <v>2294</v>
      </c>
      <c r="B101" s="3089"/>
      <c r="C101" s="736" t="str">
        <f>C4</f>
        <v>收益法</v>
      </c>
      <c r="D101" s="737" t="str">
        <f>D4</f>
        <v>成本法</v>
      </c>
      <c r="E101" s="3060" t="s">
        <v>2295</v>
      </c>
      <c r="F101" s="3061"/>
      <c r="G101" s="2520" t="s">
        <v>2296</v>
      </c>
      <c r="H101" s="1045">
        <f ca="1">H118</f>
        <v>8781</v>
      </c>
      <c r="I101" s="138"/>
    </row>
    <row r="102" spans="1:35" ht="18.75" customHeight="1">
      <c r="A102" s="3090" t="s">
        <v>2297</v>
      </c>
      <c r="B102" s="2520" t="s">
        <v>2296</v>
      </c>
      <c r="C102" s="736">
        <f ca="1">C19</f>
        <v>10934</v>
      </c>
      <c r="D102" s="737">
        <f ca="1">D19</f>
        <v>5551</v>
      </c>
      <c r="E102" s="3060"/>
      <c r="F102" s="3061"/>
      <c r="G102" s="2520" t="s">
        <v>2298</v>
      </c>
      <c r="H102" s="371">
        <f ca="1">I118</f>
        <v>15900</v>
      </c>
      <c r="I102" s="138"/>
    </row>
    <row r="103" spans="1:35" ht="42.75" customHeight="1">
      <c r="A103" s="3090"/>
      <c r="B103" s="2520" t="s">
        <v>2298</v>
      </c>
      <c r="C103" s="738">
        <f ca="1">C20</f>
        <v>19798</v>
      </c>
      <c r="D103" s="739">
        <f ca="1">D20</f>
        <v>10051</v>
      </c>
      <c r="E103" s="3054" t="s">
        <v>2299</v>
      </c>
      <c r="F103" s="3055"/>
      <c r="G103" s="2521" t="s">
        <v>2300</v>
      </c>
      <c r="H103" s="1045">
        <f>IF(D36="正常操作",H104+H105+H106,H105+H106)</f>
        <v>0</v>
      </c>
      <c r="I103" s="138"/>
    </row>
    <row r="104" spans="1:35" ht="18.75" customHeight="1">
      <c r="A104" s="3090" t="s">
        <v>2301</v>
      </c>
      <c r="B104" s="2522" t="s">
        <v>2296</v>
      </c>
      <c r="C104" s="740">
        <f ca="1">H118</f>
        <v>8781</v>
      </c>
      <c r="D104" s="741"/>
      <c r="E104" s="2267" t="s">
        <v>2302</v>
      </c>
      <c r="F104" s="2258"/>
      <c r="G104" s="2521" t="s">
        <v>2300</v>
      </c>
      <c r="H104" s="1046">
        <f>IF(D36="同一抵押权人同一抵押物续贷",C36&amp;"（未扣减，详见特别提示）",C36)</f>
        <v>0</v>
      </c>
      <c r="I104" s="138"/>
    </row>
    <row r="105" spans="1:35" ht="18.75" customHeight="1" thickBot="1">
      <c r="A105" s="3102"/>
      <c r="B105" s="2523" t="s">
        <v>2298</v>
      </c>
      <c r="C105" s="742">
        <f ca="1">I118</f>
        <v>15900</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1" t="str">
        <f>IF(项目基本情况!E8="已注销","——","3.房地产抵押价值")</f>
        <v>3.房地产抵押价值</v>
      </c>
      <c r="F107" s="3061"/>
      <c r="G107" s="2520" t="s">
        <v>2296</v>
      </c>
      <c r="H107" s="1045">
        <f ca="1">IF(E107="——","——",H101-H103)</f>
        <v>8781</v>
      </c>
      <c r="I107" s="138"/>
    </row>
    <row r="108" spans="1:35" ht="18.75" customHeight="1">
      <c r="A108" s="138"/>
      <c r="B108" s="138"/>
      <c r="C108" s="138"/>
      <c r="D108" s="138"/>
      <c r="E108" s="3091"/>
      <c r="F108" s="3061"/>
      <c r="G108" s="2520" t="s">
        <v>2298</v>
      </c>
      <c r="H108" s="371">
        <f ca="1">ROUND(H107*10000/'数据-汇总表'!E3,0)</f>
        <v>15900</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0" t="s">
        <v>2296</v>
      </c>
      <c r="H109" s="348" t="str">
        <f>IF(E109="——","——",H101-H105-H106)</f>
        <v>——</v>
      </c>
      <c r="I109" s="138"/>
    </row>
    <row r="110" spans="1:35" ht="18.75" customHeight="1">
      <c r="A110" s="138"/>
      <c r="B110" s="138"/>
      <c r="C110" s="138"/>
      <c r="D110" s="138"/>
      <c r="E110" s="3091"/>
      <c r="F110" s="3061"/>
      <c r="G110" s="2520" t="s">
        <v>2298</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0" t="s">
        <v>2296</v>
      </c>
      <c r="H111" s="1045" t="str">
        <f>IF(E111="——","——",N59)</f>
        <v>——</v>
      </c>
      <c r="I111" s="138"/>
    </row>
    <row r="112" spans="1:35" ht="18.75" customHeight="1" thickBot="1">
      <c r="A112" s="138"/>
      <c r="B112" s="138"/>
      <c r="C112" s="138"/>
      <c r="D112" s="138"/>
      <c r="E112" s="3094"/>
      <c r="F112" s="3095"/>
      <c r="G112" s="2525" t="s">
        <v>2298</v>
      </c>
      <c r="H112" s="790" t="str">
        <f>IF(E111="——","——",N61)</f>
        <v>——</v>
      </c>
      <c r="I112" s="138"/>
    </row>
    <row r="113" spans="1:11" ht="18.75" customHeight="1">
      <c r="A113" s="138"/>
      <c r="B113" s="138"/>
      <c r="C113" s="138"/>
      <c r="D113" s="138"/>
      <c r="E113" s="3103" t="s">
        <v>2304</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2306</v>
      </c>
      <c r="B115" s="3117"/>
      <c r="C115" s="3117"/>
      <c r="D115" s="3117"/>
      <c r="E115" s="3117"/>
      <c r="F115" s="3117"/>
      <c r="G115" s="3117"/>
      <c r="H115" s="3117"/>
      <c r="I115" s="3118"/>
    </row>
    <row r="116" spans="1:11" ht="27" customHeight="1">
      <c r="A116" s="3027" t="s">
        <v>2307</v>
      </c>
      <c r="B116" s="3070" t="s">
        <v>2308</v>
      </c>
      <c r="C116" s="3070" t="s">
        <v>2309</v>
      </c>
      <c r="D116" s="3076" t="s">
        <v>2310</v>
      </c>
      <c r="E116" s="3077"/>
      <c r="F116" s="3112" t="s">
        <v>2311</v>
      </c>
      <c r="G116" s="3112"/>
      <c r="H116" s="3027" t="s">
        <v>2312</v>
      </c>
      <c r="I116" s="3027"/>
    </row>
    <row r="117" spans="1:11" ht="18.75" customHeight="1">
      <c r="A117" s="3027"/>
      <c r="B117" s="3071"/>
      <c r="C117" s="307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8781</v>
      </c>
      <c r="I118" s="1795">
        <f ca="1">ROUND(IF(D32="楼面单价",C32,H118*10000/B118),0)</f>
        <v>15900</v>
      </c>
    </row>
    <row r="119" spans="1:11" ht="18.75" customHeight="1">
      <c r="A119" s="3027" t="s">
        <v>2316</v>
      </c>
      <c r="B119" s="3027"/>
      <c r="C119" s="3027"/>
      <c r="D119" s="3072" t="e">
        <f ca="1">NUMBERSTRING(INT(D118*10000),2)&amp;"元整"</f>
        <v>#REF!</v>
      </c>
      <c r="E119" s="3073"/>
      <c r="F119" s="3072" t="e">
        <f ca="1">NUMBERSTRING(INT(F118*10000),2)&amp;"元整"</f>
        <v>#REF!</v>
      </c>
      <c r="G119" s="3073"/>
      <c r="H119" s="3072" t="str">
        <f ca="1">NUMBERSTRING(INT(H118*10000),2)&amp;"元整"</f>
        <v>捌仟柒佰捌拾壹万元整</v>
      </c>
      <c r="I119" s="3073"/>
    </row>
    <row r="120" spans="1:11" ht="18.75" customHeight="1">
      <c r="A120" s="3067" t="str">
        <f>IF(项目基本情况!B9="房地产市场价值","",MID(E103,3,LEN(E103)-2))</f>
        <v/>
      </c>
      <c r="B120" s="3068"/>
      <c r="C120" s="3069"/>
      <c r="D120" s="3067">
        <f>H103</f>
        <v>0</v>
      </c>
      <c r="E120" s="3068"/>
      <c r="F120" s="3068"/>
      <c r="G120" s="3068"/>
      <c r="H120" s="3068"/>
      <c r="I120" s="3069"/>
      <c r="K120" s="2423" t="str">
        <f>IF(D120=0,"故，本次评估不存在"&amp;A120,"故，本次评估"&amp;A120&amp;"为人民币"&amp;D120&amp;"万元整。")</f>
        <v>故，本次评估不存在</v>
      </c>
    </row>
    <row r="121" spans="1:11" ht="18.75" customHeight="1">
      <c r="A121" s="3113" t="s">
        <v>2316</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f ca="1">H107</f>
        <v>8781</v>
      </c>
      <c r="E122" s="3068"/>
      <c r="F122" s="3068"/>
      <c r="G122" s="3068"/>
      <c r="H122" s="3068"/>
      <c r="I122" s="3069"/>
    </row>
    <row r="123" spans="1:11" ht="18.75" customHeight="1">
      <c r="A123" s="3027" t="s">
        <v>2316</v>
      </c>
      <c r="B123" s="3027"/>
      <c r="C123" s="3027"/>
      <c r="D123" s="3072" t="str">
        <f ca="1">NUMBERSTRING(INT(D122*10000),2)&amp;"元整"</f>
        <v>捌仟柒佰捌拾壹万元整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2316</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2316</v>
      </c>
      <c r="B127" s="3027"/>
      <c r="C127" s="3027"/>
      <c r="D127" s="3072" t="e">
        <f>NUMBERSTRING(INT(D126*10000),2)&amp;"元整"</f>
        <v>#VALUE!</v>
      </c>
      <c r="E127" s="3074"/>
      <c r="F127" s="3074"/>
      <c r="G127" s="3074"/>
      <c r="H127" s="3074"/>
      <c r="I127" s="3073"/>
    </row>
    <row r="128" spans="1:11" ht="21.75" customHeight="1">
      <c r="A128" s="3075" t="s">
        <v>2317</v>
      </c>
      <c r="B128" s="3075"/>
      <c r="C128" s="3075"/>
      <c r="D128" s="3075"/>
      <c r="E128" s="3075"/>
      <c r="F128" s="3075"/>
      <c r="G128" s="3075"/>
      <c r="H128" s="3075"/>
      <c r="I128" s="307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3093</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10934</v>
      </c>
      <c r="C2" s="1845" t="s">
        <v>1510</v>
      </c>
      <c r="D2" s="1845"/>
      <c r="E2" s="1846"/>
      <c r="F2" s="1847"/>
      <c r="G2" s="1848"/>
      <c r="H2" s="1840"/>
      <c r="I2" s="1840"/>
      <c r="J2" s="1840"/>
      <c r="K2" s="1841"/>
      <c r="L2" s="1840"/>
      <c r="M2" s="1840"/>
    </row>
    <row r="3" spans="1:37" ht="18" customHeight="1" thickBot="1">
      <c r="A3" s="1849" t="s">
        <v>1511</v>
      </c>
      <c r="B3" s="1850">
        <f ca="1">IF(ISERROR(B2*10000/F43),0,ROUND(B2*10000/F43,0))</f>
        <v>19798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575</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3038</v>
      </c>
      <c r="E10" s="358" t="s">
        <v>1404</v>
      </c>
      <c r="F10" s="1366" t="s">
        <v>3096</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1950</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1657</v>
      </c>
      <c r="D14" s="1800" t="s">
        <v>1412</v>
      </c>
      <c r="E14" s="1794"/>
      <c r="F14" s="364"/>
      <c r="G14" s="1851"/>
      <c r="H14" s="1201" t="s">
        <v>1031</v>
      </c>
      <c r="I14" s="347" t="s">
        <v>1413</v>
      </c>
      <c r="J14" s="24">
        <f ca="1">C29</f>
        <v>2438</v>
      </c>
      <c r="K14" s="15"/>
      <c r="L14" s="979"/>
      <c r="M14" s="980"/>
    </row>
    <row r="15" spans="1:37" s="1858" customFormat="1" ht="18" customHeight="1" thickBot="1">
      <c r="A15" s="1201" t="s">
        <v>1032</v>
      </c>
      <c r="B15" s="347" t="s">
        <v>1414</v>
      </c>
      <c r="C15" s="24">
        <f ca="1">ROUND(C14*F15,0)</f>
        <v>50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45</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20.5</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1842</v>
      </c>
      <c r="D19" s="140" t="s">
        <v>1430</v>
      </c>
      <c r="E19" s="1818"/>
      <c r="F19" s="26"/>
      <c r="G19" s="1851"/>
      <c r="H19" s="1201" t="s">
        <v>1032</v>
      </c>
      <c r="I19" s="347" t="s">
        <v>1431</v>
      </c>
      <c r="J19" s="24">
        <f ca="1">IF(K19="按租金收入计税",ROUND(J6*M19/(1+'数据-取费表'!C42),2),ROUND(C29*M19*0.7,2))</f>
        <v>20.48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24.4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-45</v>
      </c>
      <c r="K25" s="1345" t="s">
        <v>1458</v>
      </c>
      <c r="L25" s="1346"/>
      <c r="M25" s="1347"/>
    </row>
    <row r="26" spans="1:37">
      <c r="A26" s="1201" t="s">
        <v>1030</v>
      </c>
      <c r="B26" s="347" t="s">
        <v>1459</v>
      </c>
      <c r="C26" s="24">
        <f ca="1">ROUND((C19+C20)*F26,0)</f>
        <v>282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2438</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3095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24.4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5.8</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10875</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19691</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-15148</v>
      </c>
      <c r="D46" s="1872" t="str">
        <f>C2</f>
        <v>万元</v>
      </c>
      <c r="E46" s="1866"/>
      <c r="F46" s="1866"/>
      <c r="I46" s="1873" t="s">
        <v>1515</v>
      </c>
      <c r="J46" s="1874"/>
      <c r="K46" s="1875"/>
      <c r="L46" s="1876">
        <f ca="1">IF(M47="住宅",0,IF(L48&gt;J51,L60,J60))</f>
        <v>59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10875</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59</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2438</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5818</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10934</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1950</v>
      </c>
      <c r="D56" s="1913"/>
      <c r="E56" s="1914"/>
      <c r="F56" s="1906"/>
      <c r="I56" s="1915" t="s">
        <v>1548</v>
      </c>
      <c r="J56" s="1916" t="s">
        <v>3080</v>
      </c>
      <c r="K56" s="1887" t="s">
        <v>1549</v>
      </c>
      <c r="L56" s="1890" t="str">
        <f ca="1">IF(L48&lt;J51,"——",L48-J53)</f>
        <v>——</v>
      </c>
      <c r="O56" s="1884" t="s">
        <v>1036</v>
      </c>
      <c r="P56" s="1885" t="s">
        <v>1522</v>
      </c>
      <c r="Q56" s="1886">
        <f ca="1">C40+J29</f>
        <v>10875</v>
      </c>
      <c r="R56" s="1886" t="s">
        <v>1523</v>
      </c>
    </row>
    <row r="57" spans="1:18" s="1842" customFormat="1" ht="24.75" thickBot="1">
      <c r="A57" s="1917"/>
      <c r="B57" s="1169" t="s">
        <v>1472</v>
      </c>
      <c r="C57" s="282">
        <f ca="1">C29</f>
        <v>2438</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231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204.8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975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204.79</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10875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24.4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1E-3</v>
      </c>
      <c r="I65" s="1928" t="s">
        <v>1573</v>
      </c>
      <c r="J65" s="1929">
        <v>40</v>
      </c>
      <c r="K65" s="1929">
        <v>30</v>
      </c>
      <c r="L65" s="1929">
        <v>50</v>
      </c>
      <c r="M65" s="1931">
        <v>0.02</v>
      </c>
      <c r="O65" s="1884" t="s">
        <v>1036</v>
      </c>
      <c r="P65" s="1885" t="s">
        <v>1574</v>
      </c>
      <c r="Q65" s="1886">
        <f ca="1">C40+J29</f>
        <v>10875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-231</v>
      </c>
      <c r="D67" s="1182" t="s">
        <v>1458</v>
      </c>
      <c r="E67" s="1187"/>
      <c r="F67" s="1188"/>
      <c r="O67" s="1894" t="s">
        <v>1038</v>
      </c>
      <c r="P67" s="1885" t="s">
        <v>1556</v>
      </c>
      <c r="Q67" s="1932">
        <f ca="1">L51</f>
        <v>5818</v>
      </c>
      <c r="R67" s="1886" t="s">
        <v>1576</v>
      </c>
    </row>
    <row r="68" spans="1:18" s="1842" customFormat="1" ht="16.5" thickBot="1">
      <c r="A68" s="1166" t="s">
        <v>1028</v>
      </c>
      <c r="B68" s="1167" t="s">
        <v>1479</v>
      </c>
      <c r="C68" s="346">
        <f ca="1">ROUND(C67*(1-((1+F70)/(1+F68))^F69)/(F68-F70),0)</f>
        <v>-4273</v>
      </c>
      <c r="D68" s="1184" t="s">
        <v>1463</v>
      </c>
      <c r="E68" s="1169" t="s">
        <v>1464</v>
      </c>
      <c r="F68" s="357">
        <f ca="1">F40</f>
        <v>0.04</v>
      </c>
      <c r="O68" s="1894" t="s">
        <v>1039</v>
      </c>
      <c r="P68" s="1933" t="s">
        <v>1577</v>
      </c>
      <c r="Q68" s="1886">
        <f ca="1">ROUND(Q69-Q70*Q71,0)</f>
        <v>291</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447</v>
      </c>
      <c r="R69" s="1886" t="s">
        <v>1523</v>
      </c>
    </row>
    <row r="70" spans="1:18" s="1842" customFormat="1" ht="13.5" thickBot="1">
      <c r="A70" s="1173"/>
      <c r="B70" s="1174"/>
      <c r="C70" s="355"/>
      <c r="D70" s="1185"/>
      <c r="E70" s="1169" t="s">
        <v>1471</v>
      </c>
      <c r="F70" s="1275">
        <v>0</v>
      </c>
      <c r="O70" s="1894" t="s">
        <v>1045</v>
      </c>
      <c r="P70" s="1933" t="s">
        <v>1579</v>
      </c>
      <c r="Q70" s="1886">
        <f ca="1">C13</f>
        <v>1950</v>
      </c>
      <c r="R70" s="1886" t="s">
        <v>1523</v>
      </c>
    </row>
    <row r="71" spans="1:18" s="1842" customFormat="1" ht="13.5" thickBot="1">
      <c r="A71" s="1190" t="s">
        <v>1029</v>
      </c>
      <c r="B71" s="1191" t="s">
        <v>1481</v>
      </c>
      <c r="C71" s="382">
        <f ca="1">ROUND(C68*10000/F71,0)</f>
        <v>-7737</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156</v>
      </c>
      <c r="D75" s="1842"/>
      <c r="E75" s="1842"/>
      <c r="F75" s="1842"/>
      <c r="K75" s="1868"/>
      <c r="L75" s="1842"/>
      <c r="O75" s="1884" t="s">
        <v>1042</v>
      </c>
      <c r="P75" s="1885" t="s">
        <v>1543</v>
      </c>
      <c r="Q75" s="1886">
        <f ca="1">Q65+Q66</f>
        <v>10875</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0.65100000000000002</v>
      </c>
    </row>
    <row r="80" spans="1:18">
      <c r="B80" s="386" t="s">
        <v>1505</v>
      </c>
      <c r="C80" s="318">
        <f ca="1">ROUND(C75/C39,3)</f>
        <v>0.34899999999999998</v>
      </c>
    </row>
    <row r="81" spans="2:3">
      <c r="B81" s="314" t="s">
        <v>1506</v>
      </c>
      <c r="C81" s="282"/>
    </row>
    <row r="82" spans="2:3">
      <c r="B82" s="317" t="s">
        <v>1507</v>
      </c>
      <c r="C82" s="319">
        <f ca="1">1-C83</f>
        <v>0.82099999999999995</v>
      </c>
    </row>
    <row r="83" spans="2:3">
      <c r="B83" s="317" t="s">
        <v>1508</v>
      </c>
      <c r="C83" s="318">
        <f ca="1">ROUND(C13/C40,3)</f>
        <v>0.17899999999999999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3093</v>
      </c>
      <c r="C1" s="242"/>
      <c r="D1" s="242"/>
      <c r="E1" s="242"/>
      <c r="F1" s="242"/>
      <c r="G1" s="1379">
        <f>MATCH(B1,'数据-取费表'!A6:A16,0)+5</f>
        <v>6</v>
      </c>
    </row>
    <row r="2" spans="1:9" s="244" customFormat="1" ht="18" customHeight="1">
      <c r="A2" s="245" t="s">
        <v>2326</v>
      </c>
      <c r="B2" s="246">
        <f ca="1">IF(D2="——",C52,C52-E2)</f>
        <v>5551</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10051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2615</v>
      </c>
      <c r="D5" s="255" t="s">
        <v>2333</v>
      </c>
      <c r="E5" s="256" t="s">
        <v>2334</v>
      </c>
      <c r="F5" s="256" t="s">
        <v>2335</v>
      </c>
      <c r="G5" s="257"/>
    </row>
    <row r="6" spans="1:9" s="258" customFormat="1" ht="13.5" customHeight="1">
      <c r="A6" s="949" t="s">
        <v>2336</v>
      </c>
      <c r="B6" s="259" t="s">
        <v>2337</v>
      </c>
      <c r="C6" s="260">
        <f ca="1">基准地价修正!E29</f>
        <v>2431</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400</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400</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3601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1842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1657</v>
      </c>
      <c r="D34" s="261"/>
      <c r="E34" s="264"/>
      <c r="F34" s="301">
        <f ca="1">IF('数据-取费表'!B24=0,1,IF(B1="",'数据-取费表'!N16,INDIRECT("'数据-取费表'!n"&amp;$G$1)))</f>
        <v>1</v>
      </c>
      <c r="G34" s="263" t="s">
        <v>2390</v>
      </c>
    </row>
    <row r="35" spans="1:7" ht="13.5" customHeight="1">
      <c r="A35" s="951" t="s">
        <v>796</v>
      </c>
      <c r="B35" s="259" t="s">
        <v>2391</v>
      </c>
      <c r="C35" s="264">
        <f ca="1">ROUND(C34*F35,0)</f>
        <v>50</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25</v>
      </c>
      <c r="D38" s="264"/>
      <c r="E38" s="264"/>
      <c r="F38" s="303">
        <f>'数据-取费表'!B36</f>
        <v>1.4999999999999999E-2</v>
      </c>
      <c r="G38" s="263" t="s">
        <v>2392</v>
      </c>
    </row>
    <row r="39" spans="1:7" s="258" customFormat="1" ht="13.5" customHeight="1">
      <c r="A39" s="299" t="s">
        <v>2398</v>
      </c>
      <c r="B39" s="254" t="s">
        <v>2399</v>
      </c>
      <c r="C39" s="276">
        <f ca="1">ROUND(C33*F20,0)</f>
        <v>37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87</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1" t="s">
        <v>791</v>
      </c>
      <c r="B46" s="292" t="s">
        <v>2413</v>
      </c>
      <c r="C46" s="293">
        <f ca="1">ROUND((C33+C39)*F27,0)</f>
        <v>282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1950</v>
      </c>
      <c r="D51" s="276"/>
      <c r="E51" s="276"/>
      <c r="F51" s="308"/>
      <c r="G51" s="278" t="s">
        <v>2424</v>
      </c>
    </row>
    <row r="52" spans="1:7" s="252" customFormat="1" ht="16.5" thickBot="1">
      <c r="A52" s="309" t="s">
        <v>2425</v>
      </c>
      <c r="B52" s="310"/>
      <c r="C52" s="311">
        <f ca="1">C31+C51</f>
        <v>5551</v>
      </c>
      <c r="D52" s="310"/>
      <c r="E52" s="310"/>
      <c r="F52" s="310"/>
      <c r="G52" s="312"/>
    </row>
    <row r="55" spans="1:7" ht="15">
      <c r="B55" s="314" t="s">
        <v>2426</v>
      </c>
      <c r="C55" s="315"/>
    </row>
    <row r="56" spans="1:7">
      <c r="B56" s="317" t="s">
        <v>1507</v>
      </c>
      <c r="C56" s="319">
        <f ca="1">1-C57</f>
        <v>0.64900000000000002</v>
      </c>
    </row>
    <row r="57" spans="1:7">
      <c r="B57" s="317" t="s">
        <v>1508</v>
      </c>
      <c r="C57" s="318">
        <f ca="1">ROUND(C51/C52,3)</f>
        <v>0.35099999999999998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17" sqref="M1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2431</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8199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4402</v>
      </c>
      <c r="C3" s="2723" t="s">
        <v>2818</v>
      </c>
      <c r="D3" s="2724" t="s">
        <v>2819</v>
      </c>
      <c r="E3" s="2729" t="s">
        <v>3068</v>
      </c>
      <c r="F3" s="2730" t="s">
        <v>3089</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1"/>
      <c r="B4" s="3172"/>
      <c r="C4" s="3172"/>
      <c r="D4" s="3173"/>
      <c r="E4" s="3173"/>
      <c r="F4" s="3173"/>
      <c r="G4" s="3173"/>
      <c r="H4" s="3173"/>
      <c r="I4" s="3173"/>
      <c r="J4" s="3174"/>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4748</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3460</v>
      </c>
      <c r="D5" s="1787">
        <f>ROUND(C6+C16,0)</f>
        <v>3460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3810</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3244</v>
      </c>
      <c r="U6" s="1603"/>
      <c r="V6" s="1602">
        <f t="shared" ca="1" si="1"/>
        <v>0</v>
      </c>
      <c r="W6" s="1606"/>
      <c r="X6" s="1606"/>
      <c r="Y6" s="1606"/>
      <c r="Z6" s="1606"/>
      <c r="AA6" s="1606"/>
      <c r="AB6" s="1606"/>
      <c r="AC6" s="2737"/>
      <c r="AD6" s="2738"/>
      <c r="AE6" s="2738"/>
      <c r="AF6" s="2738"/>
      <c r="AG6" s="2738"/>
      <c r="AH6" s="2738"/>
      <c r="AI6" s="2738"/>
      <c r="AJ6" s="2739"/>
    </row>
    <row r="7" spans="1:36" ht="24">
      <c r="A7" s="3155"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2853</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75"/>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8" t="s">
        <v>2838</v>
      </c>
      <c r="X8" s="31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75"/>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5"/>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5"/>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0"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55"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6"/>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70"/>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76"/>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7"/>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5" t="s">
        <v>2881</v>
      </c>
      <c r="B16" s="2747" t="s">
        <v>2882</v>
      </c>
      <c r="C16" s="2934">
        <f>ROUND(IF(F17="与级别开发程度一致",0,(G17-E17)/C17),0)</f>
        <v>-60</v>
      </c>
      <c r="D16" s="3166" t="s">
        <v>2886</v>
      </c>
      <c r="E16" s="3167"/>
      <c r="F16" s="3166" t="s">
        <v>2883</v>
      </c>
      <c r="G16" s="3167"/>
      <c r="H16" s="2781" t="s">
        <v>3070</v>
      </c>
      <c r="I16" s="2781" t="s">
        <v>3071</v>
      </c>
      <c r="J16" s="2938" t="s">
        <v>3072</v>
      </c>
      <c r="K16" s="2781" t="s">
        <v>3073</v>
      </c>
      <c r="L16" s="2781" t="s">
        <v>3074</v>
      </c>
      <c r="M16" s="2781" t="s">
        <v>3097</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3090</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3091</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2431</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4401</v>
      </c>
      <c r="D29" s="2839">
        <f>'数据-汇总表'!F19</f>
        <v>5522.69</v>
      </c>
      <c r="E29" s="942">
        <f ca="1">ROUND(C29*D29/10000,0)</f>
        <v>2431</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660</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63" t="s">
        <v>2927</v>
      </c>
      <c r="B33" s="2855" t="s">
        <v>2928</v>
      </c>
      <c r="C33" s="206">
        <f ca="1">ROUND(D5*C19*C20*C24*F33,0)</f>
        <v>3081</v>
      </c>
      <c r="D33" s="2839"/>
      <c r="E33" s="200">
        <f ca="1">ROUND(C33*D33/10000,0)</f>
        <v>0</v>
      </c>
      <c r="F33" s="200">
        <f>SUMIF(修正!A45:A56,G2,修正!B45:B56)</f>
        <v>0.7</v>
      </c>
      <c r="G33" s="200">
        <f t="shared" ref="G33" ca="1" si="6">ROUND(IF(E2="工业",C33*$M$39,C33*$M$38),0)</f>
        <v>462</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4"/>
      <c r="B34" s="2767" t="s">
        <v>2929</v>
      </c>
      <c r="C34" s="206">
        <f ca="1">ROUND(D5*C19*C20*C24*F34,0)</f>
        <v>1761</v>
      </c>
      <c r="D34" s="2839"/>
      <c r="E34" s="200">
        <f t="shared" ref="E34:E39" ca="1" si="7">ROUND(C34*D34/10000,0)</f>
        <v>0</v>
      </c>
      <c r="F34" s="200">
        <f>SUMIF(修正!A45:A56,G2,修正!C45:C56)</f>
        <v>0.4</v>
      </c>
      <c r="G34" s="200">
        <f ca="1">ROUND(IF(E2="工业",C34*$M$39,C34*$M$38),0)</f>
        <v>264</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4"/>
      <c r="B35" s="2767" t="s">
        <v>2930</v>
      </c>
      <c r="C35" s="206">
        <f ca="1">ROUND(D5*C19*C20*C24*F35,0)</f>
        <v>1232</v>
      </c>
      <c r="D35" s="2839"/>
      <c r="E35" s="200">
        <f t="shared" ca="1" si="7"/>
        <v>0</v>
      </c>
      <c r="F35" s="200">
        <f>SUMIF(修正!A45:A56,G2,修正!D45:D56)</f>
        <v>0.28000000000000003</v>
      </c>
      <c r="G35" s="200">
        <f ca="1">ROUND(IF(E2="工业",C35*$M$39,C35*$M$38),0)</f>
        <v>185</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65"/>
      <c r="B36" s="2767" t="s">
        <v>2931</v>
      </c>
      <c r="C36" s="206">
        <f ca="1">ROUND(D5*C19*C20*C24*F36,0)</f>
        <v>1100</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1100</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ht="13.5" thickBot="1">
      <c r="A44" s="1371"/>
      <c r="B44" s="2865"/>
      <c r="Z44" s="1371"/>
      <c r="AA44" s="1371"/>
      <c r="AB44" s="1371"/>
      <c r="AC44" s="1371"/>
      <c r="AD44" s="1371"/>
      <c r="AE44" s="1371"/>
      <c r="AF44" s="1371"/>
      <c r="AG44" s="1371"/>
      <c r="AH44" s="1371"/>
      <c r="AI44" s="1371"/>
      <c r="AJ44" s="1371"/>
    </row>
    <row r="45" spans="1:37" s="1370" customFormat="1" ht="15.75" hidden="1"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hidden="1">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hidden="1">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hidden="1">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hidden="1">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hidden="1"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57" t="s">
        <v>2969</v>
      </c>
      <c r="B90" s="3157"/>
      <c r="C90" s="3157"/>
      <c r="D90" s="3157"/>
      <c r="E90" s="3157"/>
      <c r="F90" s="3157"/>
      <c r="G90" s="3157"/>
      <c r="H90" s="3157"/>
      <c r="I90" s="3157"/>
      <c r="J90" s="3157"/>
      <c r="K90" s="2886"/>
      <c r="L90" s="2886"/>
      <c r="M90" s="2886"/>
      <c r="N90" s="2886"/>
    </row>
    <row r="91" spans="1:37">
      <c r="A91" s="3159" t="s">
        <v>2970</v>
      </c>
      <c r="B91" s="3159" t="s">
        <v>2971</v>
      </c>
      <c r="C91" s="2840" t="s">
        <v>2972</v>
      </c>
      <c r="D91" s="2841"/>
      <c r="E91" s="2841"/>
      <c r="F91" s="2841"/>
      <c r="G91" s="2841"/>
      <c r="H91" s="2841"/>
      <c r="I91" s="2841"/>
      <c r="J91" s="2887"/>
      <c r="K91" s="2888"/>
      <c r="L91" s="2888"/>
      <c r="M91" s="2888"/>
      <c r="N91" s="2888"/>
    </row>
    <row r="92" spans="1:37">
      <c r="A92" s="3159"/>
      <c r="B92" s="315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6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6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6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6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6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6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6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6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6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6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6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6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6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6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6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61"/>
      <c r="B108" s="3081"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62"/>
      <c r="B109" s="3082"/>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58" t="s">
        <v>2977</v>
      </c>
      <c r="B110" s="3158"/>
      <c r="C110" s="3158"/>
      <c r="D110" s="3158"/>
      <c r="E110" s="3158"/>
      <c r="F110" s="3158"/>
      <c r="G110" s="3158"/>
      <c r="H110" s="3158"/>
      <c r="I110" s="3158"/>
      <c r="J110" s="315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3088</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5551</v>
      </c>
      <c r="C2" s="2568" t="s">
        <v>2518</v>
      </c>
      <c r="D2" s="2569" t="s">
        <v>2519</v>
      </c>
      <c r="E2" s="2570">
        <f>SUM(E6:E13)</f>
        <v>5522.69</v>
      </c>
    </row>
    <row r="3" spans="1:6" ht="15.75">
      <c r="A3" s="2566" t="s">
        <v>1389</v>
      </c>
      <c r="B3" s="2567">
        <f ca="1">ROUND(B2*10000/E2,0)</f>
        <v>10051</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5551</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1072</v>
      </c>
      <c r="B1" s="3180"/>
      <c r="C1" s="3181"/>
      <c r="D1" s="3182">
        <f>SUM(I10,I15,I20,I21,I23)</f>
        <v>0</v>
      </c>
      <c r="E1" s="3182"/>
      <c r="F1" s="3182"/>
      <c r="G1" s="3182"/>
      <c r="H1" s="3182"/>
      <c r="I1" s="3183"/>
    </row>
    <row r="2" spans="1:9">
      <c r="A2" s="3184" t="s">
        <v>1073</v>
      </c>
      <c r="B2" s="3185" t="s">
        <v>1074</v>
      </c>
      <c r="C2" s="3185"/>
      <c r="D2" s="1301" t="s">
        <v>1075</v>
      </c>
      <c r="E2" s="1301" t="s">
        <v>1076</v>
      </c>
      <c r="F2" s="1301" t="s">
        <v>1077</v>
      </c>
      <c r="G2" s="1301" t="s">
        <v>1078</v>
      </c>
      <c r="H2" s="1301" t="s">
        <v>1079</v>
      </c>
      <c r="I2" s="1302" t="s">
        <v>1080</v>
      </c>
    </row>
    <row r="3" spans="1:9">
      <c r="A3" s="3184"/>
      <c r="B3" s="3185" t="s">
        <v>1081</v>
      </c>
      <c r="C3" s="3185"/>
      <c r="D3" s="1303"/>
      <c r="E3" s="1301"/>
      <c r="F3" s="1304"/>
      <c r="G3" s="1304"/>
      <c r="H3" s="1305"/>
      <c r="I3" s="1306">
        <f>ROUND(D3*E3*F3*G3*H3/10000,0)</f>
        <v>0</v>
      </c>
    </row>
    <row r="4" spans="1:9">
      <c r="A4" s="3184"/>
      <c r="B4" s="3185" t="s">
        <v>1082</v>
      </c>
      <c r="C4" s="3185"/>
      <c r="D4" s="1303"/>
      <c r="E4" s="1301"/>
      <c r="F4" s="1304"/>
      <c r="G4" s="1304"/>
      <c r="H4" s="1305"/>
      <c r="I4" s="1306">
        <f t="shared" ref="I4:I9" si="0">ROUND(D4*E4*F4*G4*H4/10000,0)</f>
        <v>0</v>
      </c>
    </row>
    <row r="5" spans="1:9">
      <c r="A5" s="3184"/>
      <c r="B5" s="3185" t="s">
        <v>1083</v>
      </c>
      <c r="C5" s="3185"/>
      <c r="D5" s="1303"/>
      <c r="E5" s="1301"/>
      <c r="F5" s="1304"/>
      <c r="G5" s="1304"/>
      <c r="H5" s="1305"/>
      <c r="I5" s="1306">
        <f t="shared" si="0"/>
        <v>0</v>
      </c>
    </row>
    <row r="6" spans="1:9">
      <c r="A6" s="3184"/>
      <c r="B6" s="3185" t="s">
        <v>1084</v>
      </c>
      <c r="C6" s="3185"/>
      <c r="D6" s="1303"/>
      <c r="E6" s="1301"/>
      <c r="F6" s="1304"/>
      <c r="G6" s="1304"/>
      <c r="H6" s="1305"/>
      <c r="I6" s="1306">
        <f t="shared" si="0"/>
        <v>0</v>
      </c>
    </row>
    <row r="7" spans="1:9">
      <c r="A7" s="3184"/>
      <c r="B7" s="3185" t="s">
        <v>1085</v>
      </c>
      <c r="C7" s="3185"/>
      <c r="D7" s="1303"/>
      <c r="E7" s="1301"/>
      <c r="F7" s="1304"/>
      <c r="G7" s="1304"/>
      <c r="H7" s="1305"/>
      <c r="I7" s="1306">
        <f t="shared" si="0"/>
        <v>0</v>
      </c>
    </row>
    <row r="8" spans="1:9">
      <c r="A8" s="3184"/>
      <c r="B8" s="3185" t="s">
        <v>1086</v>
      </c>
      <c r="C8" s="3185"/>
      <c r="D8" s="1303"/>
      <c r="E8" s="1301"/>
      <c r="F8" s="1304"/>
      <c r="G8" s="1304"/>
      <c r="H8" s="1305"/>
      <c r="I8" s="1306">
        <f t="shared" si="0"/>
        <v>0</v>
      </c>
    </row>
    <row r="9" spans="1:9">
      <c r="A9" s="3184"/>
      <c r="B9" s="3185" t="s">
        <v>1087</v>
      </c>
      <c r="C9" s="3185"/>
      <c r="D9" s="1303"/>
      <c r="E9" s="1301"/>
      <c r="F9" s="1304"/>
      <c r="G9" s="1304"/>
      <c r="H9" s="1305"/>
      <c r="I9" s="1306">
        <f t="shared" si="0"/>
        <v>0</v>
      </c>
    </row>
    <row r="10" spans="1:9">
      <c r="A10" s="3184"/>
      <c r="B10" s="3186" t="s">
        <v>1088</v>
      </c>
      <c r="C10" s="3186"/>
      <c r="D10" s="1307"/>
      <c r="E10" s="1307" t="e">
        <f>ROUND(D1*10000/D10/H9,0)</f>
        <v>#DIV/0!</v>
      </c>
      <c r="F10" s="1308"/>
      <c r="G10" s="1308"/>
      <c r="H10" s="1309"/>
      <c r="I10" s="1310">
        <f>SUM(I3:I9)</f>
        <v>0</v>
      </c>
    </row>
    <row r="11" spans="1:9" ht="14.25">
      <c r="A11" s="3184" t="s">
        <v>1089</v>
      </c>
      <c r="B11" s="3185" t="s">
        <v>1090</v>
      </c>
      <c r="C11" s="3185"/>
      <c r="D11" s="1303" t="s">
        <v>1091</v>
      </c>
      <c r="E11" s="1303" t="s">
        <v>1092</v>
      </c>
      <c r="F11" s="1304" t="s">
        <v>1093</v>
      </c>
      <c r="G11" s="1304" t="s">
        <v>1079</v>
      </c>
      <c r="H11" s="1311" t="s">
        <v>1094</v>
      </c>
      <c r="I11" s="1302" t="s">
        <v>1080</v>
      </c>
    </row>
    <row r="12" spans="1:9">
      <c r="A12" s="3184"/>
      <c r="B12" s="3185" t="s">
        <v>1095</v>
      </c>
      <c r="C12" s="3185"/>
      <c r="D12" s="1303"/>
      <c r="E12" s="1303"/>
      <c r="F12" s="1304"/>
      <c r="G12" s="1305"/>
      <c r="H12" s="1312"/>
      <c r="I12" s="1302">
        <f>ROUND(D12*E12*F12*G12/10000,0)</f>
        <v>0</v>
      </c>
    </row>
    <row r="13" spans="1:9">
      <c r="A13" s="3184"/>
      <c r="B13" s="3185" t="s">
        <v>1096</v>
      </c>
      <c r="C13" s="3185"/>
      <c r="D13" s="1303"/>
      <c r="E13" s="1303"/>
      <c r="F13" s="1304"/>
      <c r="G13" s="1305"/>
      <c r="H13" s="1312"/>
      <c r="I13" s="1302">
        <f>ROUND(D13*E13*F13*G13/10000,0)</f>
        <v>0</v>
      </c>
    </row>
    <row r="14" spans="1:9">
      <c r="A14" s="3184"/>
      <c r="B14" s="3185" t="s">
        <v>1097</v>
      </c>
      <c r="C14" s="3185"/>
      <c r="D14" s="1303"/>
      <c r="E14" s="1303"/>
      <c r="F14" s="1304"/>
      <c r="G14" s="1305"/>
      <c r="H14" s="1312"/>
      <c r="I14" s="1302">
        <f>ROUND(D14*E14*F14*G14/10000,0)</f>
        <v>0</v>
      </c>
    </row>
    <row r="15" spans="1:9">
      <c r="A15" s="3184"/>
      <c r="B15" s="3186" t="s">
        <v>1088</v>
      </c>
      <c r="C15" s="3186"/>
      <c r="D15" s="1307"/>
      <c r="E15" s="1307">
        <f>SUM(E12:E14)</f>
        <v>0</v>
      </c>
      <c r="F15" s="1308"/>
      <c r="G15" s="1305"/>
      <c r="H15" s="1312"/>
      <c r="I15" s="1313">
        <f>SUM(I12:I14)</f>
        <v>0</v>
      </c>
    </row>
    <row r="16" spans="1:9" ht="24">
      <c r="A16" s="3184" t="s">
        <v>1098</v>
      </c>
      <c r="B16" s="3185" t="s">
        <v>1099</v>
      </c>
      <c r="C16" s="3185"/>
      <c r="D16" s="1303" t="s">
        <v>1075</v>
      </c>
      <c r="E16" s="1314" t="s">
        <v>1100</v>
      </c>
      <c r="F16" s="1304" t="s">
        <v>1101</v>
      </c>
      <c r="G16" s="1305" t="s">
        <v>1079</v>
      </c>
      <c r="H16" s="1311" t="s">
        <v>1094</v>
      </c>
      <c r="I16" s="1302" t="s">
        <v>1080</v>
      </c>
    </row>
    <row r="17" spans="1:9" ht="14.25">
      <c r="A17" s="3184"/>
      <c r="B17" s="3185" t="s">
        <v>1102</v>
      </c>
      <c r="C17" s="3185"/>
      <c r="D17" s="1303"/>
      <c r="E17" s="1303"/>
      <c r="F17" s="1304"/>
      <c r="G17" s="1305"/>
      <c r="H17" s="1315"/>
      <c r="I17" s="1316">
        <f>ROUND(D17*E17*F17*G17/10000,0)</f>
        <v>0</v>
      </c>
    </row>
    <row r="18" spans="1:9" ht="14.25">
      <c r="A18" s="3184"/>
      <c r="B18" s="3185" t="s">
        <v>1103</v>
      </c>
      <c r="C18" s="3185"/>
      <c r="D18" s="1303"/>
      <c r="E18" s="1303"/>
      <c r="F18" s="1304"/>
      <c r="G18" s="1305"/>
      <c r="H18" s="1315"/>
      <c r="I18" s="1316">
        <f>ROUND(D18*E18*F18*G18/10000,0)</f>
        <v>0</v>
      </c>
    </row>
    <row r="19" spans="1:9" ht="14.25">
      <c r="A19" s="3184"/>
      <c r="B19" s="3185" t="s">
        <v>1104</v>
      </c>
      <c r="C19" s="3185"/>
      <c r="D19" s="1303"/>
      <c r="E19" s="1303"/>
      <c r="F19" s="1304"/>
      <c r="G19" s="1305"/>
      <c r="H19" s="1315"/>
      <c r="I19" s="1316">
        <f>ROUND(D19*E19*F19*G19/10000,0)</f>
        <v>0</v>
      </c>
    </row>
    <row r="20" spans="1:9">
      <c r="A20" s="3184"/>
      <c r="B20" s="3186" t="s">
        <v>1088</v>
      </c>
      <c r="C20" s="3186"/>
      <c r="D20" s="1307">
        <f>SUM(D17:D19)</f>
        <v>0</v>
      </c>
      <c r="E20" s="1307"/>
      <c r="F20" s="1308"/>
      <c r="G20" s="1305"/>
      <c r="H20" s="1312"/>
      <c r="I20" s="1313">
        <f>SUM(I17:I19)</f>
        <v>0</v>
      </c>
    </row>
    <row r="21" spans="1:9">
      <c r="A21" s="3184"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95">
        <f>C27-C30-C31-C32</f>
        <v>0</v>
      </c>
      <c r="F26" s="3195"/>
      <c r="G26" s="3195"/>
      <c r="H26" s="1737" t="s">
        <v>1335</v>
      </c>
    </row>
    <row r="27" spans="1:9">
      <c r="A27" s="1324">
        <v>1</v>
      </c>
      <c r="B27" s="1325" t="s">
        <v>1114</v>
      </c>
      <c r="C27" s="1325">
        <f>C28+C29</f>
        <v>0</v>
      </c>
      <c r="D27" s="1325"/>
      <c r="E27" s="3196"/>
      <c r="F27" s="3196"/>
      <c r="G27" s="3196"/>
    </row>
    <row r="28" spans="1:9">
      <c r="A28" s="1326" t="s">
        <v>1115</v>
      </c>
      <c r="B28" s="1325" t="s">
        <v>1116</v>
      </c>
      <c r="C28" s="1325"/>
      <c r="D28" s="1325"/>
      <c r="E28" s="3196"/>
      <c r="F28" s="3196"/>
      <c r="G28" s="319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7"/>
      <c r="F32" s="3187"/>
      <c r="G32" s="3187"/>
    </row>
    <row r="33" spans="1:7" hidden="1">
      <c r="A33" s="3197" t="s">
        <v>1125</v>
      </c>
      <c r="B33" s="3198"/>
      <c r="C33" s="3198"/>
      <c r="D33" s="3199"/>
      <c r="E33" s="3195"/>
      <c r="F33" s="3195"/>
      <c r="G33" s="3195"/>
    </row>
    <row r="34" spans="1:7" hidden="1">
      <c r="A34" s="1328">
        <v>1</v>
      </c>
      <c r="B34" s="1325" t="s">
        <v>1126</v>
      </c>
      <c r="C34" s="1325"/>
      <c r="D34" s="1325"/>
      <c r="E34" s="3196"/>
      <c r="F34" s="3196"/>
      <c r="G34" s="3196"/>
    </row>
    <row r="35" spans="1:7" hidden="1">
      <c r="A35" s="1328">
        <v>2</v>
      </c>
      <c r="B35" s="1325" t="s">
        <v>1127</v>
      </c>
      <c r="C35" s="1325"/>
      <c r="D35" s="1325"/>
      <c r="E35" s="3196"/>
      <c r="F35" s="3196"/>
      <c r="G35" s="3196"/>
    </row>
    <row r="36" spans="1:7" hidden="1">
      <c r="A36" s="1328">
        <v>3</v>
      </c>
      <c r="B36" s="1325" t="s">
        <v>1128</v>
      </c>
      <c r="C36" s="1325"/>
      <c r="D36" s="1325"/>
      <c r="E36" s="3196"/>
      <c r="F36" s="3196"/>
      <c r="G36" s="3196"/>
    </row>
    <row r="37" spans="1:7" hidden="1">
      <c r="A37" s="1328">
        <v>4</v>
      </c>
      <c r="B37" s="1325" t="s">
        <v>1129</v>
      </c>
      <c r="C37" s="1325"/>
      <c r="D37" s="1325"/>
      <c r="E37" s="3196"/>
      <c r="F37" s="3196"/>
      <c r="G37" s="3196"/>
    </row>
    <row r="38" spans="1:7" hidden="1">
      <c r="A38" s="3197" t="s">
        <v>1130</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05" t="s">
        <v>2536</v>
      </c>
      <c r="S4" s="3206"/>
      <c r="T4" s="3205" t="s">
        <v>2537</v>
      </c>
      <c r="U4" s="3206"/>
      <c r="V4" s="3230" t="s">
        <v>2538</v>
      </c>
      <c r="W4" s="3230"/>
      <c r="X4" s="1813"/>
      <c r="Y4" s="3205" t="s">
        <v>2540</v>
      </c>
      <c r="Z4" s="3206"/>
      <c r="AA4" s="3200" t="s">
        <v>2536</v>
      </c>
      <c r="AB4" s="3200" t="s">
        <v>2537</v>
      </c>
      <c r="AC4" s="3200" t="s">
        <v>2538</v>
      </c>
    </row>
    <row r="5" spans="1:29" ht="15">
      <c r="A5" s="404"/>
      <c r="B5" s="405"/>
      <c r="C5" s="3211" t="s">
        <v>2541</v>
      </c>
      <c r="D5" s="3212"/>
      <c r="E5" s="3209" t="s">
        <v>2542</v>
      </c>
      <c r="F5" s="3210"/>
      <c r="G5" s="3211" t="s">
        <v>2543</v>
      </c>
      <c r="H5" s="3212"/>
      <c r="I5" s="3211" t="s">
        <v>2544</v>
      </c>
      <c r="J5" s="3212"/>
      <c r="K5" s="2599"/>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2599"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3" t="s">
        <v>2548</v>
      </c>
      <c r="Q7" s="3231"/>
      <c r="R7" s="770" t="s">
        <v>23</v>
      </c>
      <c r="S7" s="771">
        <f t="shared" ref="S7:S15" si="0">F7</f>
        <v>0</v>
      </c>
      <c r="T7" s="770" t="s">
        <v>23</v>
      </c>
      <c r="U7" s="771">
        <f t="shared" ref="U7:U15" si="1">H7</f>
        <v>0</v>
      </c>
      <c r="V7" s="770" t="s">
        <v>23</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3" t="s">
        <v>2551</v>
      </c>
      <c r="Q8" s="3204"/>
      <c r="R8" s="770" t="s">
        <v>23</v>
      </c>
      <c r="S8" s="771">
        <f t="shared" si="0"/>
        <v>0</v>
      </c>
      <c r="T8" s="770" t="s">
        <v>23</v>
      </c>
      <c r="U8" s="771">
        <f t="shared" si="1"/>
        <v>0</v>
      </c>
      <c r="V8" s="770" t="s">
        <v>23</v>
      </c>
      <c r="W8" s="771">
        <f t="shared" si="2"/>
        <v>0</v>
      </c>
      <c r="X8" s="772"/>
      <c r="Y8" s="3203" t="s">
        <v>2551</v>
      </c>
      <c r="Z8" s="320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7"/>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7"/>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7"/>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7"/>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2559</v>
      </c>
      <c r="Q15" s="1810" t="str">
        <f t="shared" si="6"/>
        <v>居住社区成熟度</v>
      </c>
      <c r="R15" s="774" t="s">
        <v>21</v>
      </c>
      <c r="S15" s="775">
        <f t="shared" si="0"/>
        <v>100</v>
      </c>
      <c r="T15" s="774" t="s">
        <v>21</v>
      </c>
      <c r="U15" s="775">
        <f t="shared" si="1"/>
        <v>100</v>
      </c>
      <c r="V15" s="774" t="s">
        <v>21</v>
      </c>
      <c r="W15" s="775">
        <f t="shared" si="2"/>
        <v>100</v>
      </c>
      <c r="X15" s="1813"/>
      <c r="Y15" s="3237"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10" t="str">
        <f>B17</f>
        <v>交通便捷度</v>
      </c>
      <c r="R17" s="774" t="s">
        <v>21</v>
      </c>
      <c r="S17" s="775">
        <f>F17</f>
        <v>100</v>
      </c>
      <c r="T17" s="774" t="s">
        <v>21</v>
      </c>
      <c r="U17" s="775">
        <f>H17</f>
        <v>100</v>
      </c>
      <c r="V17" s="774" t="s">
        <v>21</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10" t="str">
        <f>B19</f>
        <v>公共配套设施</v>
      </c>
      <c r="R19" s="774" t="s">
        <v>21</v>
      </c>
      <c r="S19" s="775">
        <f>F19</f>
        <v>100</v>
      </c>
      <c r="T19" s="774" t="s">
        <v>21</v>
      </c>
      <c r="U19" s="775">
        <f>H19</f>
        <v>100</v>
      </c>
      <c r="V19" s="774" t="s">
        <v>21</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10" t="str">
        <f>B23</f>
        <v>自然及人文环境</v>
      </c>
      <c r="R23" s="774" t="s">
        <v>21</v>
      </c>
      <c r="S23" s="775">
        <f>F23</f>
        <v>100</v>
      </c>
      <c r="T23" s="774" t="s">
        <v>21</v>
      </c>
      <c r="U23" s="775">
        <f>H23</f>
        <v>100</v>
      </c>
      <c r="V23" s="774" t="s">
        <v>21</v>
      </c>
      <c r="W23" s="775">
        <f>J23</f>
        <v>100</v>
      </c>
      <c r="X23" s="1813"/>
      <c r="Y23" s="3238"/>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5"/>
      <c r="Q26" s="1810" t="str">
        <f t="shared" si="11"/>
        <v>朝向</v>
      </c>
      <c r="R26" s="774" t="s">
        <v>21</v>
      </c>
      <c r="S26" s="775">
        <f t="shared" si="12"/>
        <v>100</v>
      </c>
      <c r="T26" s="774" t="s">
        <v>21</v>
      </c>
      <c r="U26" s="775">
        <f t="shared" si="13"/>
        <v>100</v>
      </c>
      <c r="V26" s="774" t="s">
        <v>21</v>
      </c>
      <c r="W26" s="775">
        <f t="shared" si="14"/>
        <v>100</v>
      </c>
      <c r="X26" s="1813"/>
      <c r="Y26" s="323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5"/>
      <c r="Q27" s="1795">
        <f t="shared" si="11"/>
        <v>111</v>
      </c>
      <c r="R27" s="770" t="s">
        <v>21</v>
      </c>
      <c r="S27" s="771">
        <f t="shared" si="12"/>
        <v>100</v>
      </c>
      <c r="T27" s="770" t="s">
        <v>21</v>
      </c>
      <c r="U27" s="771">
        <f t="shared" si="13"/>
        <v>100</v>
      </c>
      <c r="V27" s="770" t="s">
        <v>21</v>
      </c>
      <c r="W27" s="771">
        <f t="shared" si="14"/>
        <v>100</v>
      </c>
      <c r="X27" s="772"/>
      <c r="Y27" s="323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5"/>
      <c r="Q28" s="1810">
        <f t="shared" si="11"/>
        <v>111</v>
      </c>
      <c r="R28" s="774" t="s">
        <v>21</v>
      </c>
      <c r="S28" s="775">
        <f t="shared" si="12"/>
        <v>100</v>
      </c>
      <c r="T28" s="774" t="s">
        <v>21</v>
      </c>
      <c r="U28" s="775">
        <f t="shared" si="13"/>
        <v>100</v>
      </c>
      <c r="V28" s="774" t="s">
        <v>21</v>
      </c>
      <c r="W28" s="775">
        <f t="shared" si="14"/>
        <v>100</v>
      </c>
      <c r="X28" s="1813"/>
      <c r="Y28" s="323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5"/>
      <c r="Q29" s="1810">
        <f t="shared" si="11"/>
        <v>111</v>
      </c>
      <c r="R29" s="774" t="s">
        <v>21</v>
      </c>
      <c r="S29" s="775">
        <f t="shared" si="12"/>
        <v>100</v>
      </c>
      <c r="T29" s="774" t="s">
        <v>21</v>
      </c>
      <c r="U29" s="775">
        <f t="shared" si="13"/>
        <v>100</v>
      </c>
      <c r="V29" s="774" t="s">
        <v>21</v>
      </c>
      <c r="W29" s="775">
        <f t="shared" si="14"/>
        <v>100</v>
      </c>
      <c r="X29" s="1813"/>
      <c r="Y29" s="323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5"/>
      <c r="Q30" s="1810">
        <f t="shared" si="11"/>
        <v>111</v>
      </c>
      <c r="R30" s="774" t="s">
        <v>21</v>
      </c>
      <c r="S30" s="775">
        <f t="shared" si="12"/>
        <v>100</v>
      </c>
      <c r="T30" s="774" t="s">
        <v>21</v>
      </c>
      <c r="U30" s="775">
        <f t="shared" si="13"/>
        <v>100</v>
      </c>
      <c r="V30" s="774" t="s">
        <v>21</v>
      </c>
      <c r="W30" s="775">
        <f t="shared" si="14"/>
        <v>100</v>
      </c>
      <c r="X30" s="1813"/>
      <c r="Y30" s="323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5"/>
      <c r="Q31" s="1810">
        <f t="shared" si="11"/>
        <v>111</v>
      </c>
      <c r="R31" s="774" t="s">
        <v>21</v>
      </c>
      <c r="S31" s="775">
        <f t="shared" si="12"/>
        <v>100</v>
      </c>
      <c r="T31" s="774" t="s">
        <v>21</v>
      </c>
      <c r="U31" s="775">
        <f t="shared" si="13"/>
        <v>100</v>
      </c>
      <c r="V31" s="774" t="s">
        <v>21</v>
      </c>
      <c r="W31" s="775">
        <f t="shared" si="14"/>
        <v>100</v>
      </c>
      <c r="X31" s="1813"/>
      <c r="Y31" s="3238"/>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9" t="s">
        <v>2564</v>
      </c>
      <c r="Q32" s="1810" t="str">
        <f t="shared" si="11"/>
        <v>建筑类型</v>
      </c>
      <c r="R32" s="774" t="s">
        <v>21</v>
      </c>
      <c r="S32" s="775">
        <f t="shared" si="12"/>
        <v>100</v>
      </c>
      <c r="T32" s="774" t="s">
        <v>21</v>
      </c>
      <c r="U32" s="775">
        <f t="shared" si="13"/>
        <v>100</v>
      </c>
      <c r="V32" s="774" t="s">
        <v>21</v>
      </c>
      <c r="W32" s="775">
        <f t="shared" si="14"/>
        <v>100</v>
      </c>
      <c r="X32" s="1813"/>
      <c r="Y32" s="324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0"/>
      <c r="Q34" s="1810" t="str">
        <f t="shared" si="11"/>
        <v>建筑结构</v>
      </c>
      <c r="R34" s="774" t="s">
        <v>21</v>
      </c>
      <c r="S34" s="775">
        <f t="shared" si="12"/>
        <v>100</v>
      </c>
      <c r="T34" s="774" t="s">
        <v>21</v>
      </c>
      <c r="U34" s="775">
        <f t="shared" si="13"/>
        <v>100</v>
      </c>
      <c r="V34" s="774" t="s">
        <v>21</v>
      </c>
      <c r="W34" s="775">
        <f t="shared" si="14"/>
        <v>100</v>
      </c>
      <c r="X34" s="1813"/>
      <c r="Y34" s="3242"/>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0"/>
      <c r="Q35" s="1810" t="str">
        <f t="shared" si="11"/>
        <v>建筑品质</v>
      </c>
      <c r="R35" s="774" t="s">
        <v>21</v>
      </c>
      <c r="S35" s="775">
        <f t="shared" si="12"/>
        <v>100</v>
      </c>
      <c r="T35" s="774" t="s">
        <v>21</v>
      </c>
      <c r="U35" s="775">
        <f t="shared" si="13"/>
        <v>100</v>
      </c>
      <c r="V35" s="774" t="s">
        <v>21</v>
      </c>
      <c r="W35" s="775">
        <f t="shared" si="14"/>
        <v>100</v>
      </c>
      <c r="X35" s="1813"/>
      <c r="Y35" s="3242"/>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0"/>
      <c r="Q36" s="1810" t="str">
        <f t="shared" si="11"/>
        <v>公共部分装修</v>
      </c>
      <c r="R36" s="774" t="s">
        <v>21</v>
      </c>
      <c r="S36" s="775">
        <f t="shared" si="12"/>
        <v>100</v>
      </c>
      <c r="T36" s="774" t="s">
        <v>21</v>
      </c>
      <c r="U36" s="775">
        <f t="shared" si="13"/>
        <v>100</v>
      </c>
      <c r="V36" s="774" t="s">
        <v>21</v>
      </c>
      <c r="W36" s="775">
        <f t="shared" si="14"/>
        <v>100</v>
      </c>
      <c r="X36" s="1813"/>
      <c r="Y36" s="324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5"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0" t="s">
        <v>2564</v>
      </c>
      <c r="Q38" s="1810" t="str">
        <f t="shared" si="11"/>
        <v>物业管理</v>
      </c>
      <c r="R38" s="774" t="s">
        <v>21</v>
      </c>
      <c r="S38" s="775">
        <f t="shared" si="12"/>
        <v>100</v>
      </c>
      <c r="T38" s="774" t="s">
        <v>21</v>
      </c>
      <c r="U38" s="775">
        <f t="shared" si="13"/>
        <v>100</v>
      </c>
      <c r="V38" s="774" t="s">
        <v>21</v>
      </c>
      <c r="W38" s="775">
        <f t="shared" si="14"/>
        <v>100</v>
      </c>
      <c r="X38" s="1813"/>
      <c r="Y38" s="3242"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0"/>
      <c r="Q39" s="1810" t="str">
        <f t="shared" si="11"/>
        <v>市政基础设施</v>
      </c>
      <c r="R39" s="774" t="s">
        <v>21</v>
      </c>
      <c r="S39" s="775">
        <f t="shared" si="12"/>
        <v>100</v>
      </c>
      <c r="T39" s="774" t="s">
        <v>21</v>
      </c>
      <c r="U39" s="775">
        <f t="shared" si="13"/>
        <v>100</v>
      </c>
      <c r="V39" s="774" t="s">
        <v>21</v>
      </c>
      <c r="W39" s="775">
        <f t="shared" si="14"/>
        <v>100</v>
      </c>
      <c r="X39" s="1813"/>
      <c r="Y39" s="3242"/>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0"/>
      <c r="Q40" s="1810" t="str">
        <f t="shared" si="11"/>
        <v>房型</v>
      </c>
      <c r="R40" s="774" t="s">
        <v>21</v>
      </c>
      <c r="S40" s="775">
        <f t="shared" si="12"/>
        <v>100</v>
      </c>
      <c r="T40" s="774" t="s">
        <v>21</v>
      </c>
      <c r="U40" s="775">
        <f t="shared" si="13"/>
        <v>100</v>
      </c>
      <c r="V40" s="774" t="s">
        <v>21</v>
      </c>
      <c r="W40" s="775">
        <f t="shared" si="14"/>
        <v>100</v>
      </c>
      <c r="X40" s="1813"/>
      <c r="Y40" s="324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0"/>
      <c r="Q42" s="1810" t="str">
        <f t="shared" si="11"/>
        <v>内部装修</v>
      </c>
      <c r="R42" s="774" t="s">
        <v>21</v>
      </c>
      <c r="S42" s="775">
        <f t="shared" si="12"/>
        <v>100</v>
      </c>
      <c r="T42" s="774" t="s">
        <v>21</v>
      </c>
      <c r="U42" s="775">
        <f t="shared" si="13"/>
        <v>100</v>
      </c>
      <c r="V42" s="774" t="s">
        <v>21</v>
      </c>
      <c r="W42" s="775">
        <f t="shared" si="14"/>
        <v>100</v>
      </c>
      <c r="X42" s="1813"/>
      <c r="Y42" s="3242"/>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0"/>
      <c r="Q43" s="1810" t="str">
        <f t="shared" si="11"/>
        <v>内部装修维护情况</v>
      </c>
      <c r="R43" s="774" t="s">
        <v>21</v>
      </c>
      <c r="S43" s="775">
        <f t="shared" si="12"/>
        <v>100</v>
      </c>
      <c r="T43" s="774" t="s">
        <v>21</v>
      </c>
      <c r="U43" s="775">
        <f t="shared" si="13"/>
        <v>100</v>
      </c>
      <c r="V43" s="774" t="s">
        <v>21</v>
      </c>
      <c r="W43" s="775">
        <f t="shared" si="14"/>
        <v>100</v>
      </c>
      <c r="X43" s="1813"/>
      <c r="Y43" s="324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0"/>
      <c r="Q44" s="1795">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0"/>
      <c r="Q45" s="1810">
        <f t="shared" si="11"/>
        <v>111</v>
      </c>
      <c r="R45" s="774" t="s">
        <v>21</v>
      </c>
      <c r="S45" s="775">
        <f t="shared" si="12"/>
        <v>100</v>
      </c>
      <c r="T45" s="774" t="s">
        <v>21</v>
      </c>
      <c r="U45" s="775">
        <f t="shared" si="13"/>
        <v>100</v>
      </c>
      <c r="V45" s="774" t="s">
        <v>21</v>
      </c>
      <c r="W45" s="775">
        <f t="shared" si="14"/>
        <v>100</v>
      </c>
      <c r="X45" s="1813"/>
      <c r="Y45" s="3242"/>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1"/>
      <c r="Q46" s="1810">
        <f t="shared" si="11"/>
        <v>111</v>
      </c>
      <c r="R46" s="774" t="s">
        <v>20</v>
      </c>
      <c r="S46" s="775">
        <f t="shared" si="12"/>
        <v>100</v>
      </c>
      <c r="T46" s="774" t="s">
        <v>20</v>
      </c>
      <c r="U46" s="775">
        <f t="shared" si="13"/>
        <v>100</v>
      </c>
      <c r="V46" s="774" t="s">
        <v>20</v>
      </c>
      <c r="W46" s="775">
        <f t="shared" si="14"/>
        <v>100</v>
      </c>
      <c r="X46" s="1813"/>
      <c r="Y46" s="324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30"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30"/>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30"/>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2559</v>
      </c>
      <c r="Q15" s="1810" t="str">
        <f t="shared" si="6"/>
        <v>商业繁华度</v>
      </c>
      <c r="R15" s="774" t="s">
        <v>17</v>
      </c>
      <c r="S15" s="775">
        <f t="shared" si="0"/>
        <v>100</v>
      </c>
      <c r="T15" s="774" t="s">
        <v>17</v>
      </c>
      <c r="U15" s="775">
        <f t="shared" si="1"/>
        <v>100</v>
      </c>
      <c r="V15" s="774" t="s">
        <v>17</v>
      </c>
      <c r="W15" s="775">
        <f t="shared" si="2"/>
        <v>100</v>
      </c>
      <c r="X15" s="1813"/>
      <c r="Y15" s="323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10" t="str">
        <f>B23</f>
        <v>自然及人文环境</v>
      </c>
      <c r="R23" s="774" t="s">
        <v>17</v>
      </c>
      <c r="S23" s="775">
        <f>F23</f>
        <v>100</v>
      </c>
      <c r="T23" s="774" t="s">
        <v>17</v>
      </c>
      <c r="U23" s="775">
        <f>H23</f>
        <v>100</v>
      </c>
      <c r="V23" s="774" t="s">
        <v>17</v>
      </c>
      <c r="W23" s="775">
        <f>J23</f>
        <v>100</v>
      </c>
      <c r="X23" s="1813"/>
      <c r="Y23" s="3238"/>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10" t="str">
        <f t="shared" ref="Q25:Q46" si="11">B25</f>
        <v>临街状况</v>
      </c>
      <c r="R25" s="774" t="s">
        <v>17</v>
      </c>
      <c r="S25" s="775">
        <f>F25</f>
        <v>100</v>
      </c>
      <c r="T25" s="774" t="s">
        <v>17</v>
      </c>
      <c r="U25" s="775">
        <f>H25</f>
        <v>100</v>
      </c>
      <c r="V25" s="774" t="s">
        <v>17</v>
      </c>
      <c r="W25" s="775">
        <f>J25</f>
        <v>100</v>
      </c>
      <c r="X25" s="1813"/>
      <c r="Y25" s="323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10" t="str">
        <f t="shared" si="11"/>
        <v>平面位置/可视性</v>
      </c>
      <c r="R26" s="774" t="s">
        <v>17</v>
      </c>
      <c r="S26" s="775">
        <f>F26</f>
        <v>100</v>
      </c>
      <c r="T26" s="774" t="s">
        <v>17</v>
      </c>
      <c r="U26" s="775">
        <f>H26</f>
        <v>100</v>
      </c>
      <c r="V26" s="774" t="s">
        <v>17</v>
      </c>
      <c r="W26" s="775">
        <f>J26</f>
        <v>100</v>
      </c>
      <c r="X26" s="1813"/>
      <c r="Y26" s="3238"/>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5"/>
      <c r="Q27" s="1795" t="str">
        <f t="shared" si="11"/>
        <v>人流量</v>
      </c>
      <c r="R27" s="770" t="s">
        <v>17</v>
      </c>
      <c r="S27" s="771">
        <f>F27</f>
        <v>100</v>
      </c>
      <c r="T27" s="770" t="s">
        <v>17</v>
      </c>
      <c r="U27" s="771">
        <f>H27</f>
        <v>100</v>
      </c>
      <c r="V27" s="770" t="s">
        <v>17</v>
      </c>
      <c r="W27" s="771">
        <f>J27</f>
        <v>100</v>
      </c>
      <c r="X27" s="772"/>
      <c r="Y27" s="323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10">
        <f t="shared" si="11"/>
        <v>111</v>
      </c>
      <c r="R29" s="774" t="s">
        <v>17</v>
      </c>
      <c r="S29" s="775">
        <f t="shared" si="12"/>
        <v>100</v>
      </c>
      <c r="T29" s="774" t="s">
        <v>17</v>
      </c>
      <c r="U29" s="775">
        <f t="shared" si="13"/>
        <v>100</v>
      </c>
      <c r="V29" s="774" t="s">
        <v>17</v>
      </c>
      <c r="W29" s="775">
        <f t="shared" si="14"/>
        <v>100</v>
      </c>
      <c r="X29" s="1813"/>
      <c r="Y29" s="323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9" t="s">
        <v>2564</v>
      </c>
      <c r="Q32" s="1810" t="str">
        <f t="shared" si="11"/>
        <v>商业类型</v>
      </c>
      <c r="R32" s="774" t="s">
        <v>17</v>
      </c>
      <c r="S32" s="775">
        <f t="shared" si="12"/>
        <v>100</v>
      </c>
      <c r="T32" s="774" t="s">
        <v>17</v>
      </c>
      <c r="U32" s="775">
        <f t="shared" si="13"/>
        <v>100</v>
      </c>
      <c r="V32" s="774" t="s">
        <v>17</v>
      </c>
      <c r="W32" s="775">
        <f t="shared" si="14"/>
        <v>100</v>
      </c>
      <c r="X32" s="1813"/>
      <c r="Y32" s="324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40"/>
      <c r="Q34" s="1810" t="str">
        <f t="shared" si="11"/>
        <v>建筑结构</v>
      </c>
      <c r="R34" s="774" t="s">
        <v>17</v>
      </c>
      <c r="S34" s="775">
        <f t="shared" si="12"/>
        <v>100</v>
      </c>
      <c r="T34" s="774" t="s">
        <v>17</v>
      </c>
      <c r="U34" s="775">
        <f t="shared" si="13"/>
        <v>100</v>
      </c>
      <c r="V34" s="774" t="s">
        <v>17</v>
      </c>
      <c r="W34" s="775">
        <f t="shared" si="14"/>
        <v>100</v>
      </c>
      <c r="X34" s="1813"/>
      <c r="Y34" s="3242"/>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40"/>
      <c r="Q35" s="1810" t="str">
        <f t="shared" si="11"/>
        <v>公共部分装修</v>
      </c>
      <c r="R35" s="774" t="s">
        <v>17</v>
      </c>
      <c r="S35" s="775">
        <f t="shared" si="12"/>
        <v>100</v>
      </c>
      <c r="T35" s="774" t="s">
        <v>17</v>
      </c>
      <c r="U35" s="775">
        <f t="shared" si="13"/>
        <v>100</v>
      </c>
      <c r="V35" s="774" t="s">
        <v>17</v>
      </c>
      <c r="W35" s="775">
        <f t="shared" si="14"/>
        <v>100</v>
      </c>
      <c r="X35" s="1813"/>
      <c r="Y35" s="324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10" t="str">
        <f t="shared" si="11"/>
        <v>成新度</v>
      </c>
      <c r="R36" s="774" t="s">
        <v>17</v>
      </c>
      <c r="S36" s="775" t="e">
        <f t="shared" si="12"/>
        <v>#N/A</v>
      </c>
      <c r="T36" s="774" t="s">
        <v>17</v>
      </c>
      <c r="U36" s="775" t="e">
        <f t="shared" si="13"/>
        <v>#N/A</v>
      </c>
      <c r="V36" s="774" t="s">
        <v>17</v>
      </c>
      <c r="W36" s="775" t="e">
        <f t="shared" si="14"/>
        <v>#N/A</v>
      </c>
      <c r="X36" s="1813"/>
      <c r="Y36" s="3242"/>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40"/>
      <c r="Q37" s="1795"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40" t="s">
        <v>2564</v>
      </c>
      <c r="Q38" s="1810" t="str">
        <f t="shared" si="11"/>
        <v>业态</v>
      </c>
      <c r="R38" s="774" t="s">
        <v>17</v>
      </c>
      <c r="S38" s="775">
        <f t="shared" si="12"/>
        <v>100</v>
      </c>
      <c r="T38" s="774" t="s">
        <v>17</v>
      </c>
      <c r="U38" s="775">
        <f t="shared" si="13"/>
        <v>100</v>
      </c>
      <c r="V38" s="774" t="s">
        <v>17</v>
      </c>
      <c r="W38" s="775">
        <f t="shared" si="14"/>
        <v>100</v>
      </c>
      <c r="X38" s="1813"/>
      <c r="Y38" s="3242"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40"/>
      <c r="Q39" s="1810" t="str">
        <f t="shared" si="11"/>
        <v>层高</v>
      </c>
      <c r="R39" s="774" t="s">
        <v>17</v>
      </c>
      <c r="S39" s="775">
        <f t="shared" si="12"/>
        <v>100</v>
      </c>
      <c r="T39" s="774" t="s">
        <v>17</v>
      </c>
      <c r="U39" s="775">
        <f t="shared" si="13"/>
        <v>100</v>
      </c>
      <c r="V39" s="774" t="s">
        <v>17</v>
      </c>
      <c r="W39" s="775">
        <f t="shared" si="14"/>
        <v>100</v>
      </c>
      <c r="X39" s="1813"/>
      <c r="Y39" s="324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10" t="str">
        <f t="shared" si="11"/>
        <v>单套建筑面积</v>
      </c>
      <c r="R40" s="774" t="s">
        <v>17</v>
      </c>
      <c r="S40" s="775">
        <f t="shared" si="12"/>
        <v>100</v>
      </c>
      <c r="T40" s="774" t="s">
        <v>17</v>
      </c>
      <c r="U40" s="775">
        <f t="shared" si="13"/>
        <v>100</v>
      </c>
      <c r="V40" s="774" t="s">
        <v>17</v>
      </c>
      <c r="W40" s="775">
        <f t="shared" si="14"/>
        <v>100</v>
      </c>
      <c r="X40" s="1813"/>
      <c r="Y40" s="324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40"/>
      <c r="Q42" s="1810" t="str">
        <f t="shared" si="11"/>
        <v>内部装修</v>
      </c>
      <c r="R42" s="774" t="s">
        <v>17</v>
      </c>
      <c r="S42" s="775">
        <f t="shared" si="12"/>
        <v>100</v>
      </c>
      <c r="T42" s="774" t="s">
        <v>17</v>
      </c>
      <c r="U42" s="775">
        <f t="shared" si="13"/>
        <v>100</v>
      </c>
      <c r="V42" s="774" t="s">
        <v>17</v>
      </c>
      <c r="W42" s="775">
        <f t="shared" si="14"/>
        <v>100</v>
      </c>
      <c r="X42" s="1813"/>
      <c r="Y42" s="3242"/>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40"/>
      <c r="Q43" s="1810" t="str">
        <f t="shared" si="11"/>
        <v>内部装修维护情况</v>
      </c>
      <c r="R43" s="774" t="s">
        <v>17</v>
      </c>
      <c r="S43" s="775">
        <f t="shared" si="12"/>
        <v>100</v>
      </c>
      <c r="T43" s="774" t="s">
        <v>17</v>
      </c>
      <c r="U43" s="775">
        <f t="shared" si="13"/>
        <v>100</v>
      </c>
      <c r="V43" s="774" t="s">
        <v>17</v>
      </c>
      <c r="W43" s="775">
        <f t="shared" si="14"/>
        <v>100</v>
      </c>
      <c r="X43" s="1813"/>
      <c r="Y43" s="324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5">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10">
        <f t="shared" si="11"/>
        <v>111</v>
      </c>
      <c r="R45" s="774" t="s">
        <v>17</v>
      </c>
      <c r="S45" s="775">
        <f t="shared" si="12"/>
        <v>100</v>
      </c>
      <c r="T45" s="774" t="s">
        <v>17</v>
      </c>
      <c r="U45" s="775">
        <f t="shared" si="13"/>
        <v>100</v>
      </c>
      <c r="V45" s="774" t="s">
        <v>17</v>
      </c>
      <c r="W45" s="775">
        <f t="shared" si="14"/>
        <v>100</v>
      </c>
      <c r="X45" s="1813"/>
      <c r="Y45" s="3242"/>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47" t="s">
        <v>2646</v>
      </c>
      <c r="S4" s="3248"/>
      <c r="T4" s="3247" t="s">
        <v>2647</v>
      </c>
      <c r="U4" s="3248"/>
      <c r="V4" s="3256" t="s">
        <v>2648</v>
      </c>
      <c r="W4" s="3256"/>
      <c r="X4" s="2672"/>
      <c r="Y4" s="3247" t="s">
        <v>2650</v>
      </c>
      <c r="Z4" s="3248"/>
      <c r="AA4" s="3246" t="s">
        <v>2646</v>
      </c>
      <c r="AB4" s="3246" t="s">
        <v>2647</v>
      </c>
      <c r="AC4" s="3249" t="s">
        <v>2648</v>
      </c>
    </row>
    <row r="5" spans="1:29" ht="15">
      <c r="A5" s="404"/>
      <c r="B5" s="405"/>
      <c r="C5" s="3211" t="s">
        <v>2541</v>
      </c>
      <c r="D5" s="3212"/>
      <c r="E5" s="3209" t="s">
        <v>2542</v>
      </c>
      <c r="F5" s="3210"/>
      <c r="G5" s="3211" t="s">
        <v>2543</v>
      </c>
      <c r="H5" s="3212"/>
      <c r="I5" s="3211" t="s">
        <v>2544</v>
      </c>
      <c r="J5" s="3212"/>
      <c r="K5" s="610"/>
      <c r="L5" s="1130"/>
      <c r="M5" s="1131"/>
      <c r="N5" s="1131"/>
      <c r="O5" s="1131"/>
      <c r="P5" s="3254"/>
      <c r="Q5" s="3225"/>
      <c r="R5" s="3207"/>
      <c r="S5" s="3208"/>
      <c r="T5" s="3207"/>
      <c r="U5" s="3208"/>
      <c r="V5" s="3230"/>
      <c r="W5" s="3230"/>
      <c r="X5" s="1813"/>
      <c r="Y5" s="3207"/>
      <c r="Z5" s="3208"/>
      <c r="AA5" s="3201"/>
      <c r="AB5" s="3201"/>
      <c r="AC5" s="3250"/>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55"/>
      <c r="Q6" s="3227"/>
      <c r="R6" s="3207"/>
      <c r="S6" s="3208"/>
      <c r="T6" s="3228"/>
      <c r="U6" s="3229"/>
      <c r="V6" s="3230"/>
      <c r="W6" s="3230"/>
      <c r="X6" s="1813"/>
      <c r="Y6" s="3228"/>
      <c r="Z6" s="3229"/>
      <c r="AA6" s="3202"/>
      <c r="AB6" s="3202"/>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2551</v>
      </c>
      <c r="Q8" s="3204"/>
      <c r="R8" s="770" t="s">
        <v>17</v>
      </c>
      <c r="S8" s="771">
        <f t="shared" si="0"/>
        <v>0</v>
      </c>
      <c r="T8" s="770" t="s">
        <v>17</v>
      </c>
      <c r="U8" s="771">
        <f t="shared" si="1"/>
        <v>0</v>
      </c>
      <c r="V8" s="770" t="s">
        <v>17</v>
      </c>
      <c r="W8" s="771">
        <f t="shared" si="2"/>
        <v>0</v>
      </c>
      <c r="X8" s="772"/>
      <c r="Y8" s="3203" t="s">
        <v>2551</v>
      </c>
      <c r="Z8" s="3204"/>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2559</v>
      </c>
      <c r="Q15" s="1810" t="str">
        <f t="shared" si="6"/>
        <v>办公集聚程度</v>
      </c>
      <c r="R15" s="774" t="s">
        <v>17</v>
      </c>
      <c r="S15" s="775">
        <f t="shared" si="0"/>
        <v>100</v>
      </c>
      <c r="T15" s="774" t="s">
        <v>17</v>
      </c>
      <c r="U15" s="775">
        <f t="shared" si="1"/>
        <v>100</v>
      </c>
      <c r="V15" s="774" t="s">
        <v>17</v>
      </c>
      <c r="W15" s="775">
        <f t="shared" si="2"/>
        <v>100</v>
      </c>
      <c r="X15" s="1813"/>
      <c r="Y15" s="3237"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5"/>
      <c r="Q22" s="1810"/>
      <c r="R22" s="774"/>
      <c r="S22" s="775"/>
      <c r="T22" s="774"/>
      <c r="U22" s="775"/>
      <c r="V22" s="774"/>
      <c r="W22" s="775"/>
      <c r="X22" s="1813"/>
      <c r="Y22" s="3238"/>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5"/>
      <c r="Q25" s="1810" t="str">
        <f>B25</f>
        <v>毗邻道路的类型与等级</v>
      </c>
      <c r="R25" s="774" t="s">
        <v>17</v>
      </c>
      <c r="S25" s="775">
        <f>F25</f>
        <v>100</v>
      </c>
      <c r="T25" s="774" t="s">
        <v>17</v>
      </c>
      <c r="U25" s="775">
        <f>H25</f>
        <v>100</v>
      </c>
      <c r="V25" s="774" t="s">
        <v>17</v>
      </c>
      <c r="W25" s="775">
        <f>J25</f>
        <v>100</v>
      </c>
      <c r="X25" s="1813"/>
      <c r="Y25" s="3238"/>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5"/>
      <c r="Q26" s="1810"/>
      <c r="R26" s="774"/>
      <c r="S26" s="775"/>
      <c r="T26" s="774"/>
      <c r="U26" s="775"/>
      <c r="V26" s="774"/>
      <c r="W26" s="775"/>
      <c r="X26" s="1813"/>
      <c r="Y26" s="3238"/>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10" t="str">
        <f t="shared" ref="Q27:Q47" si="11">B27</f>
        <v>楼层</v>
      </c>
      <c r="R27" s="774" t="s">
        <v>17</v>
      </c>
      <c r="S27" s="775">
        <f>F27</f>
        <v>100</v>
      </c>
      <c r="T27" s="774" t="s">
        <v>17</v>
      </c>
      <c r="U27" s="775">
        <f>H27</f>
        <v>100</v>
      </c>
      <c r="V27" s="774" t="s">
        <v>17</v>
      </c>
      <c r="W27" s="775">
        <f>J27</f>
        <v>100</v>
      </c>
      <c r="X27" s="1813"/>
      <c r="Y27" s="3238"/>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5"/>
      <c r="Q28" s="1795" t="str">
        <f t="shared" si="11"/>
        <v>朝向</v>
      </c>
      <c r="R28" s="770" t="s">
        <v>17</v>
      </c>
      <c r="S28" s="771">
        <f>F28</f>
        <v>100</v>
      </c>
      <c r="T28" s="770" t="s">
        <v>17</v>
      </c>
      <c r="U28" s="771">
        <f>H28</f>
        <v>100</v>
      </c>
      <c r="V28" s="770" t="s">
        <v>17</v>
      </c>
      <c r="W28" s="771">
        <f>J28</f>
        <v>100</v>
      </c>
      <c r="X28" s="772"/>
      <c r="Y28" s="3238"/>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5"/>
      <c r="Q29" s="1810">
        <f t="shared" si="11"/>
        <v>111</v>
      </c>
      <c r="R29" s="774" t="s">
        <v>17</v>
      </c>
      <c r="S29" s="775">
        <f t="shared" ref="S29:S47" si="12">F29</f>
        <v>100</v>
      </c>
      <c r="T29" s="774" t="s">
        <v>17</v>
      </c>
      <c r="U29" s="775">
        <f t="shared" ref="U29:U47" si="13">H29</f>
        <v>100</v>
      </c>
      <c r="V29" s="774" t="s">
        <v>17</v>
      </c>
      <c r="W29" s="775">
        <f t="shared" ref="W29:W47" si="14">J29</f>
        <v>100</v>
      </c>
      <c r="X29" s="1813"/>
      <c r="Y29" s="3238"/>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5"/>
      <c r="Q32" s="1810">
        <f t="shared" si="11"/>
        <v>111</v>
      </c>
      <c r="R32" s="774" t="s">
        <v>17</v>
      </c>
      <c r="S32" s="775">
        <f t="shared" si="12"/>
        <v>100</v>
      </c>
      <c r="T32" s="774" t="s">
        <v>17</v>
      </c>
      <c r="U32" s="775">
        <f t="shared" si="13"/>
        <v>100</v>
      </c>
      <c r="V32" s="774" t="s">
        <v>17</v>
      </c>
      <c r="W32" s="775">
        <f t="shared" si="14"/>
        <v>100</v>
      </c>
      <c r="X32" s="1813"/>
      <c r="Y32" s="3238"/>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9" t="s">
        <v>2564</v>
      </c>
      <c r="Q33" s="1810" t="str">
        <f t="shared" si="11"/>
        <v>建筑类型</v>
      </c>
      <c r="R33" s="774" t="s">
        <v>17</v>
      </c>
      <c r="S33" s="775">
        <f t="shared" si="12"/>
        <v>100</v>
      </c>
      <c r="T33" s="774" t="s">
        <v>17</v>
      </c>
      <c r="U33" s="775">
        <f t="shared" si="13"/>
        <v>100</v>
      </c>
      <c r="V33" s="774" t="s">
        <v>17</v>
      </c>
      <c r="W33" s="775">
        <f t="shared" si="14"/>
        <v>100</v>
      </c>
      <c r="X33" s="1813"/>
      <c r="Y33" s="3242"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10" t="str">
        <f t="shared" si="11"/>
        <v>建筑结构</v>
      </c>
      <c r="R35" s="774" t="s">
        <v>17</v>
      </c>
      <c r="S35" s="775">
        <f t="shared" si="12"/>
        <v>100</v>
      </c>
      <c r="T35" s="774" t="s">
        <v>17</v>
      </c>
      <c r="U35" s="775">
        <f t="shared" si="13"/>
        <v>100</v>
      </c>
      <c r="V35" s="774" t="s">
        <v>17</v>
      </c>
      <c r="W35" s="775">
        <f t="shared" si="14"/>
        <v>100</v>
      </c>
      <c r="X35" s="1813"/>
      <c r="Y35" s="3242"/>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10" t="str">
        <f t="shared" si="11"/>
        <v>公共部分装修</v>
      </c>
      <c r="R36" s="774" t="s">
        <v>17</v>
      </c>
      <c r="S36" s="775">
        <f t="shared" si="12"/>
        <v>100</v>
      </c>
      <c r="T36" s="774" t="s">
        <v>17</v>
      </c>
      <c r="U36" s="775">
        <f t="shared" si="13"/>
        <v>100</v>
      </c>
      <c r="V36" s="774" t="s">
        <v>17</v>
      </c>
      <c r="W36" s="775">
        <f t="shared" si="14"/>
        <v>100</v>
      </c>
      <c r="X36" s="1813"/>
      <c r="Y36" s="3242"/>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10" t="str">
        <f t="shared" si="11"/>
        <v>成新度</v>
      </c>
      <c r="R37" s="774" t="s">
        <v>17</v>
      </c>
      <c r="S37" s="775" t="e">
        <f t="shared" si="12"/>
        <v>#N/A</v>
      </c>
      <c r="T37" s="774" t="s">
        <v>17</v>
      </c>
      <c r="U37" s="775" t="e">
        <f t="shared" si="13"/>
        <v>#N/A</v>
      </c>
      <c r="V37" s="774" t="s">
        <v>17</v>
      </c>
      <c r="W37" s="775" t="e">
        <f t="shared" si="14"/>
        <v>#N/A</v>
      </c>
      <c r="X37" s="1813"/>
      <c r="Y37" s="3242"/>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5"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2564</v>
      </c>
      <c r="Q39" s="1810" t="str">
        <f t="shared" si="11"/>
        <v>物业管理</v>
      </c>
      <c r="R39" s="774" t="s">
        <v>17</v>
      </c>
      <c r="S39" s="775">
        <f t="shared" si="12"/>
        <v>100</v>
      </c>
      <c r="T39" s="774" t="s">
        <v>17</v>
      </c>
      <c r="U39" s="775">
        <f t="shared" si="13"/>
        <v>100</v>
      </c>
      <c r="V39" s="774" t="s">
        <v>17</v>
      </c>
      <c r="W39" s="775">
        <f t="shared" si="14"/>
        <v>100</v>
      </c>
      <c r="X39" s="1813"/>
      <c r="Y39" s="3242"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10" t="str">
        <f t="shared" si="11"/>
        <v>市政基础设施</v>
      </c>
      <c r="R40" s="774" t="s">
        <v>17</v>
      </c>
      <c r="S40" s="775">
        <f t="shared" si="12"/>
        <v>100</v>
      </c>
      <c r="T40" s="774" t="s">
        <v>17</v>
      </c>
      <c r="U40" s="775">
        <f t="shared" si="13"/>
        <v>100</v>
      </c>
      <c r="V40" s="774" t="s">
        <v>17</v>
      </c>
      <c r="W40" s="775">
        <f t="shared" si="14"/>
        <v>100</v>
      </c>
      <c r="X40" s="1813"/>
      <c r="Y40" s="3242"/>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10" t="str">
        <f t="shared" si="11"/>
        <v>层高</v>
      </c>
      <c r="R41" s="774" t="s">
        <v>17</v>
      </c>
      <c r="S41" s="775">
        <f t="shared" si="12"/>
        <v>100</v>
      </c>
      <c r="T41" s="774" t="s">
        <v>17</v>
      </c>
      <c r="U41" s="775">
        <f t="shared" si="13"/>
        <v>100</v>
      </c>
      <c r="V41" s="774" t="s">
        <v>17</v>
      </c>
      <c r="W41" s="775">
        <f t="shared" si="14"/>
        <v>100</v>
      </c>
      <c r="X41" s="1813"/>
      <c r="Y41" s="3242"/>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10" t="str">
        <f t="shared" si="11"/>
        <v>内部装修</v>
      </c>
      <c r="R43" s="774" t="s">
        <v>17</v>
      </c>
      <c r="S43" s="775">
        <f t="shared" si="12"/>
        <v>100</v>
      </c>
      <c r="T43" s="774" t="s">
        <v>17</v>
      </c>
      <c r="U43" s="775">
        <f t="shared" si="13"/>
        <v>100</v>
      </c>
      <c r="V43" s="774" t="s">
        <v>17</v>
      </c>
      <c r="W43" s="775">
        <f t="shared" si="14"/>
        <v>100</v>
      </c>
      <c r="X43" s="1813"/>
      <c r="Y43" s="3242"/>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0"/>
      <c r="Q44" s="1810" t="str">
        <f t="shared" si="11"/>
        <v>内部装修维护情况</v>
      </c>
      <c r="R44" s="774" t="s">
        <v>17</v>
      </c>
      <c r="S44" s="775">
        <f t="shared" si="12"/>
        <v>100</v>
      </c>
      <c r="T44" s="774" t="s">
        <v>17</v>
      </c>
      <c r="U44" s="775">
        <f t="shared" si="13"/>
        <v>100</v>
      </c>
      <c r="V44" s="774" t="s">
        <v>17</v>
      </c>
      <c r="W44" s="775">
        <f t="shared" si="14"/>
        <v>100</v>
      </c>
      <c r="X44" s="1813"/>
      <c r="Y44" s="3242"/>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5">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10">
        <f t="shared" si="11"/>
        <v>111</v>
      </c>
      <c r="R47" s="774" t="s">
        <v>17</v>
      </c>
      <c r="S47" s="775">
        <f t="shared" si="12"/>
        <v>100</v>
      </c>
      <c r="T47" s="774" t="s">
        <v>17</v>
      </c>
      <c r="U47" s="775">
        <f t="shared" si="13"/>
        <v>100</v>
      </c>
      <c r="V47" s="774" t="s">
        <v>17</v>
      </c>
      <c r="W47" s="775">
        <f t="shared" si="14"/>
        <v>100</v>
      </c>
      <c r="X47" s="1813"/>
      <c r="Y47" s="3243"/>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8"/>
      <c r="Q18" s="1810"/>
      <c r="R18" s="774"/>
      <c r="S18" s="775"/>
      <c r="T18" s="774"/>
      <c r="U18" s="775"/>
      <c r="V18" s="774"/>
      <c r="W18" s="775"/>
      <c r="X18" s="1813"/>
      <c r="Y18" s="3238"/>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8"/>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8"/>
      <c r="Q20" s="1810"/>
      <c r="R20" s="774"/>
      <c r="S20" s="775"/>
      <c r="T20" s="774"/>
      <c r="U20" s="775"/>
      <c r="V20" s="774"/>
      <c r="W20" s="775"/>
      <c r="X20" s="1813"/>
      <c r="Y20" s="3238"/>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8"/>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8"/>
      <c r="Q22" s="1810"/>
      <c r="R22" s="774"/>
      <c r="S22" s="775"/>
      <c r="T22" s="774"/>
      <c r="U22" s="775"/>
      <c r="V22" s="774"/>
      <c r="W22" s="775"/>
      <c r="X22" s="1813"/>
      <c r="Y22" s="3238"/>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8"/>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8"/>
      <c r="Q24" s="1810"/>
      <c r="R24" s="774"/>
      <c r="S24" s="775"/>
      <c r="T24" s="774"/>
      <c r="U24" s="775"/>
      <c r="V24" s="774"/>
      <c r="W24" s="775"/>
      <c r="X24" s="1813"/>
      <c r="Y24" s="323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8"/>
      <c r="Q25" s="1810">
        <f>B25</f>
        <v>111</v>
      </c>
      <c r="R25" s="774" t="s">
        <v>17</v>
      </c>
      <c r="S25" s="775">
        <f>F25</f>
        <v>100</v>
      </c>
      <c r="T25" s="774" t="s">
        <v>17</v>
      </c>
      <c r="U25" s="775">
        <f>H25</f>
        <v>100</v>
      </c>
      <c r="V25" s="774" t="s">
        <v>17</v>
      </c>
      <c r="W25" s="775">
        <f>J25</f>
        <v>100</v>
      </c>
      <c r="X25" s="1813"/>
      <c r="Y25" s="323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8"/>
      <c r="Q26" s="1810">
        <f t="shared" ref="Q26:Q40" si="11">B26</f>
        <v>111</v>
      </c>
      <c r="R26" s="774" t="s">
        <v>17</v>
      </c>
      <c r="S26" s="775">
        <f>F26</f>
        <v>100</v>
      </c>
      <c r="T26" s="774" t="s">
        <v>17</v>
      </c>
      <c r="U26" s="775">
        <f>H26</f>
        <v>100</v>
      </c>
      <c r="V26" s="774" t="s">
        <v>17</v>
      </c>
      <c r="W26" s="775">
        <f>J26</f>
        <v>100</v>
      </c>
      <c r="X26" s="1813"/>
      <c r="Y26" s="323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8"/>
      <c r="Q27" s="1795">
        <f t="shared" si="11"/>
        <v>111</v>
      </c>
      <c r="R27" s="770" t="s">
        <v>17</v>
      </c>
      <c r="S27" s="771">
        <f>F27</f>
        <v>100</v>
      </c>
      <c r="T27" s="770" t="s">
        <v>17</v>
      </c>
      <c r="U27" s="771">
        <f>H27</f>
        <v>100</v>
      </c>
      <c r="V27" s="770" t="s">
        <v>17</v>
      </c>
      <c r="W27" s="771">
        <f>J27</f>
        <v>100</v>
      </c>
      <c r="X27" s="772"/>
      <c r="Y27" s="323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8"/>
      <c r="Q28" s="1810">
        <f t="shared" si="11"/>
        <v>111</v>
      </c>
      <c r="R28" s="774" t="s">
        <v>17</v>
      </c>
      <c r="S28" s="775">
        <f t="shared" ref="S28:S40" si="12">F28</f>
        <v>100</v>
      </c>
      <c r="T28" s="774" t="s">
        <v>17</v>
      </c>
      <c r="U28" s="775">
        <f t="shared" ref="U28:U40" si="13">H28</f>
        <v>100</v>
      </c>
      <c r="V28" s="774" t="s">
        <v>17</v>
      </c>
      <c r="W28" s="775">
        <f t="shared" ref="W28:W40" si="14">J28</f>
        <v>100</v>
      </c>
      <c r="X28" s="1813"/>
      <c r="Y28" s="3238"/>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4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10" t="str">
        <f t="shared" si="11"/>
        <v>建筑结构</v>
      </c>
      <c r="R31" s="774" t="s">
        <v>17</v>
      </c>
      <c r="S31" s="775">
        <f t="shared" si="12"/>
        <v>100</v>
      </c>
      <c r="T31" s="774" t="s">
        <v>17</v>
      </c>
      <c r="U31" s="775">
        <f t="shared" si="13"/>
        <v>100</v>
      </c>
      <c r="V31" s="774" t="s">
        <v>17</v>
      </c>
      <c r="W31" s="775">
        <f t="shared" si="14"/>
        <v>100</v>
      </c>
      <c r="X31" s="1813"/>
      <c r="Y31" s="324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10" t="str">
        <f t="shared" si="11"/>
        <v>公共部分装修</v>
      </c>
      <c r="R32" s="774" t="s">
        <v>17</v>
      </c>
      <c r="S32" s="775">
        <f t="shared" si="12"/>
        <v>100</v>
      </c>
      <c r="T32" s="774" t="s">
        <v>17</v>
      </c>
      <c r="U32" s="775">
        <f t="shared" si="13"/>
        <v>100</v>
      </c>
      <c r="V32" s="774" t="s">
        <v>17</v>
      </c>
      <c r="W32" s="775">
        <f t="shared" si="14"/>
        <v>100</v>
      </c>
      <c r="X32" s="1813"/>
      <c r="Y32" s="324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10" t="str">
        <f t="shared" si="11"/>
        <v>成新度</v>
      </c>
      <c r="R33" s="774" t="s">
        <v>17</v>
      </c>
      <c r="S33" s="775" t="e">
        <f t="shared" si="12"/>
        <v>#N/A</v>
      </c>
      <c r="T33" s="774" t="s">
        <v>17</v>
      </c>
      <c r="U33" s="775" t="e">
        <f t="shared" si="13"/>
        <v>#N/A</v>
      </c>
      <c r="V33" s="774" t="s">
        <v>17</v>
      </c>
      <c r="W33" s="775" t="e">
        <f t="shared" si="14"/>
        <v>#N/A</v>
      </c>
      <c r="X33" s="1813"/>
      <c r="Y33" s="324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5"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2564</v>
      </c>
      <c r="Q35" s="1810" t="str">
        <f t="shared" si="11"/>
        <v>市政基础设施</v>
      </c>
      <c r="R35" s="774" t="s">
        <v>17</v>
      </c>
      <c r="S35" s="775">
        <f t="shared" si="12"/>
        <v>100</v>
      </c>
      <c r="T35" s="774" t="s">
        <v>17</v>
      </c>
      <c r="U35" s="775">
        <f t="shared" si="13"/>
        <v>100</v>
      </c>
      <c r="V35" s="774" t="s">
        <v>17</v>
      </c>
      <c r="W35" s="775">
        <f t="shared" si="14"/>
        <v>100</v>
      </c>
      <c r="X35" s="1813"/>
      <c r="Y35" s="324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10" t="str">
        <f t="shared" si="11"/>
        <v>内部装修</v>
      </c>
      <c r="R36" s="774" t="s">
        <v>17</v>
      </c>
      <c r="S36" s="775">
        <f t="shared" si="12"/>
        <v>100</v>
      </c>
      <c r="T36" s="774" t="s">
        <v>17</v>
      </c>
      <c r="U36" s="775">
        <f t="shared" si="13"/>
        <v>100</v>
      </c>
      <c r="V36" s="774" t="s">
        <v>17</v>
      </c>
      <c r="W36" s="775">
        <f t="shared" si="14"/>
        <v>100</v>
      </c>
      <c r="X36" s="1813"/>
      <c r="Y36" s="324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10" t="str">
        <f t="shared" si="11"/>
        <v>内部装修状况</v>
      </c>
      <c r="R37" s="774" t="s">
        <v>17</v>
      </c>
      <c r="S37" s="775">
        <f t="shared" si="12"/>
        <v>100</v>
      </c>
      <c r="T37" s="774" t="s">
        <v>17</v>
      </c>
      <c r="U37" s="775">
        <f t="shared" si="13"/>
        <v>100</v>
      </c>
      <c r="V37" s="774" t="s">
        <v>17</v>
      </c>
      <c r="W37" s="775">
        <f t="shared" si="14"/>
        <v>100</v>
      </c>
      <c r="X37" s="1813"/>
      <c r="Y37" s="324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10">
        <f t="shared" si="11"/>
        <v>111</v>
      </c>
      <c r="R39" s="774" t="s">
        <v>17</v>
      </c>
      <c r="S39" s="775">
        <f t="shared" si="12"/>
        <v>100</v>
      </c>
      <c r="T39" s="774" t="s">
        <v>17</v>
      </c>
      <c r="U39" s="775">
        <f t="shared" si="13"/>
        <v>100</v>
      </c>
      <c r="V39" s="774" t="s">
        <v>17</v>
      </c>
      <c r="W39" s="775">
        <f t="shared" si="14"/>
        <v>100</v>
      </c>
      <c r="X39" s="1813"/>
      <c r="Y39" s="3242"/>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10">
        <f t="shared" si="11"/>
        <v>111</v>
      </c>
      <c r="R40" s="774" t="s">
        <v>17</v>
      </c>
      <c r="S40" s="775">
        <f t="shared" si="12"/>
        <v>100</v>
      </c>
      <c r="T40" s="774" t="s">
        <v>17</v>
      </c>
      <c r="U40" s="775">
        <f t="shared" si="13"/>
        <v>100</v>
      </c>
      <c r="V40" s="774" t="s">
        <v>17</v>
      </c>
      <c r="W40" s="775">
        <f t="shared" si="14"/>
        <v>100</v>
      </c>
      <c r="X40" s="1813"/>
      <c r="Y40" s="324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8"/>
      <c r="Q15" s="1810"/>
      <c r="R15" s="774"/>
      <c r="S15" s="775"/>
      <c r="T15" s="774"/>
      <c r="U15" s="775"/>
      <c r="V15" s="774"/>
      <c r="W15" s="775"/>
      <c r="X15" s="1813"/>
      <c r="Y15" s="3238"/>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8"/>
      <c r="Q17" s="1810"/>
      <c r="R17" s="774"/>
      <c r="S17" s="775"/>
      <c r="T17" s="774"/>
      <c r="U17" s="775"/>
      <c r="V17" s="774"/>
      <c r="W17" s="775"/>
      <c r="X17" s="1813"/>
      <c r="Y17" s="3238"/>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8"/>
      <c r="Q19" s="1810"/>
      <c r="R19" s="774"/>
      <c r="S19" s="775"/>
      <c r="T19" s="774"/>
      <c r="U19" s="775"/>
      <c r="V19" s="774"/>
      <c r="W19" s="775"/>
      <c r="X19" s="1813"/>
      <c r="Y19" s="3238"/>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8"/>
      <c r="Q21" s="1810"/>
      <c r="R21" s="774"/>
      <c r="S21" s="775"/>
      <c r="T21" s="774"/>
      <c r="U21" s="775"/>
      <c r="V21" s="774"/>
      <c r="W21" s="775"/>
      <c r="X21" s="1813"/>
      <c r="Y21" s="323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8"/>
      <c r="Q24" s="1810">
        <f t="shared" ref="Q24:Q36"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10" t="str">
        <f t="shared" si="11"/>
        <v>公共部分装修</v>
      </c>
      <c r="R28" s="774" t="s">
        <v>17</v>
      </c>
      <c r="S28" s="775">
        <f t="shared" si="12"/>
        <v>100</v>
      </c>
      <c r="T28" s="774" t="s">
        <v>17</v>
      </c>
      <c r="U28" s="775">
        <f t="shared" si="13"/>
        <v>100</v>
      </c>
      <c r="V28" s="774" t="s">
        <v>17</v>
      </c>
      <c r="W28" s="775">
        <f t="shared" si="14"/>
        <v>100</v>
      </c>
      <c r="X28" s="1813"/>
      <c r="Y28" s="324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10" t="str">
        <f t="shared" si="11"/>
        <v>成新率</v>
      </c>
      <c r="R29" s="774" t="s">
        <v>17</v>
      </c>
      <c r="S29" s="775" t="e">
        <f t="shared" si="12"/>
        <v>#N/A</v>
      </c>
      <c r="T29" s="774" t="s">
        <v>17</v>
      </c>
      <c r="U29" s="775" t="e">
        <f t="shared" si="13"/>
        <v>#N/A</v>
      </c>
      <c r="V29" s="774" t="s">
        <v>17</v>
      </c>
      <c r="W29" s="775" t="e">
        <f t="shared" si="14"/>
        <v>#N/A</v>
      </c>
      <c r="X29" s="1813"/>
      <c r="Y29" s="324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10" t="str">
        <f t="shared" si="11"/>
        <v>物业等级</v>
      </c>
      <c r="R30" s="774" t="s">
        <v>17</v>
      </c>
      <c r="S30" s="775">
        <f t="shared" si="12"/>
        <v>100</v>
      </c>
      <c r="T30" s="774" t="s">
        <v>17</v>
      </c>
      <c r="U30" s="775">
        <f t="shared" si="13"/>
        <v>100</v>
      </c>
      <c r="V30" s="774" t="s">
        <v>17</v>
      </c>
      <c r="W30" s="775">
        <f t="shared" si="14"/>
        <v>100</v>
      </c>
      <c r="X30" s="1813"/>
      <c r="Y30" s="324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5"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2564</v>
      </c>
      <c r="Q32" s="1810" t="str">
        <f t="shared" si="11"/>
        <v>车位类型</v>
      </c>
      <c r="R32" s="774" t="s">
        <v>17</v>
      </c>
      <c r="S32" s="775">
        <f t="shared" si="12"/>
        <v>100</v>
      </c>
      <c r="T32" s="774" t="s">
        <v>17</v>
      </c>
      <c r="U32" s="775">
        <f t="shared" si="13"/>
        <v>100</v>
      </c>
      <c r="V32" s="774" t="s">
        <v>17</v>
      </c>
      <c r="W32" s="775">
        <f t="shared" si="14"/>
        <v>100</v>
      </c>
      <c r="X32" s="1813"/>
      <c r="Y32" s="324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10" t="str">
        <f t="shared" si="11"/>
        <v>是否直接入户</v>
      </c>
      <c r="R33" s="774" t="s">
        <v>17</v>
      </c>
      <c r="S33" s="775">
        <f t="shared" si="12"/>
        <v>100</v>
      </c>
      <c r="T33" s="774" t="s">
        <v>17</v>
      </c>
      <c r="U33" s="775">
        <f t="shared" si="13"/>
        <v>100</v>
      </c>
      <c r="V33" s="774" t="s">
        <v>17</v>
      </c>
      <c r="W33" s="775">
        <f t="shared" si="14"/>
        <v>100</v>
      </c>
      <c r="X33" s="1813"/>
      <c r="Y33" s="324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10">
        <f t="shared" si="11"/>
        <v>111</v>
      </c>
      <c r="R36" s="774" t="s">
        <v>17</v>
      </c>
      <c r="S36" s="775">
        <f t="shared" si="12"/>
        <v>100</v>
      </c>
      <c r="T36" s="774" t="s">
        <v>17</v>
      </c>
      <c r="U36" s="775">
        <f t="shared" si="13"/>
        <v>100</v>
      </c>
      <c r="V36" s="774" t="s">
        <v>17</v>
      </c>
      <c r="W36" s="775">
        <f t="shared" si="14"/>
        <v>100</v>
      </c>
      <c r="X36" s="1813"/>
      <c r="Y36" s="3242"/>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8"/>
      <c r="Q15" s="1810"/>
      <c r="R15" s="774"/>
      <c r="S15" s="775"/>
      <c r="T15" s="774"/>
      <c r="U15" s="775"/>
      <c r="V15" s="774"/>
      <c r="W15" s="775"/>
      <c r="X15" s="1813"/>
      <c r="Y15" s="3238"/>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8"/>
      <c r="Q17" s="1810"/>
      <c r="R17" s="774"/>
      <c r="S17" s="775"/>
      <c r="T17" s="774"/>
      <c r="U17" s="775"/>
      <c r="V17" s="774"/>
      <c r="W17" s="775"/>
      <c r="X17" s="1813"/>
      <c r="Y17" s="3238"/>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8"/>
      <c r="Q19" s="1810"/>
      <c r="R19" s="774"/>
      <c r="S19" s="775"/>
      <c r="T19" s="774"/>
      <c r="U19" s="775"/>
      <c r="V19" s="774"/>
      <c r="W19" s="775"/>
      <c r="X19" s="1813"/>
      <c r="Y19" s="3238"/>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8"/>
      <c r="Q21" s="1810"/>
      <c r="R21" s="774"/>
      <c r="S21" s="775"/>
      <c r="T21" s="774"/>
      <c r="U21" s="775"/>
      <c r="V21" s="774"/>
      <c r="W21" s="775"/>
      <c r="X21" s="1813"/>
      <c r="Y21" s="323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8"/>
      <c r="Q24" s="1810">
        <f t="shared" ref="Q24:Q34"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10" t="str">
        <f t="shared" si="11"/>
        <v>物业等级</v>
      </c>
      <c r="R28" s="774" t="s">
        <v>17</v>
      </c>
      <c r="S28" s="775">
        <f t="shared" si="12"/>
        <v>100</v>
      </c>
      <c r="T28" s="774" t="s">
        <v>17</v>
      </c>
      <c r="U28" s="775">
        <f t="shared" si="13"/>
        <v>100</v>
      </c>
      <c r="V28" s="774" t="s">
        <v>17</v>
      </c>
      <c r="W28" s="775">
        <f t="shared" si="14"/>
        <v>100</v>
      </c>
      <c r="X28" s="1813"/>
      <c r="Y28" s="324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10" t="str">
        <f t="shared" si="11"/>
        <v>有无电梯</v>
      </c>
      <c r="R29" s="774" t="s">
        <v>17</v>
      </c>
      <c r="S29" s="775">
        <f t="shared" si="12"/>
        <v>100</v>
      </c>
      <c r="T29" s="774" t="s">
        <v>17</v>
      </c>
      <c r="U29" s="775">
        <f t="shared" si="13"/>
        <v>100</v>
      </c>
      <c r="V29" s="774" t="s">
        <v>17</v>
      </c>
      <c r="W29" s="775">
        <f t="shared" si="14"/>
        <v>100</v>
      </c>
      <c r="X29" s="1813"/>
      <c r="Y29" s="324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10" t="str">
        <f t="shared" si="11"/>
        <v>建筑面积</v>
      </c>
      <c r="R30" s="774" t="s">
        <v>17</v>
      </c>
      <c r="S30" s="775" t="e">
        <f t="shared" si="12"/>
        <v>#N/A</v>
      </c>
      <c r="T30" s="774" t="s">
        <v>17</v>
      </c>
      <c r="U30" s="775" t="e">
        <f t="shared" si="13"/>
        <v>#N/A</v>
      </c>
      <c r="V30" s="774" t="s">
        <v>17</v>
      </c>
      <c r="W30" s="775" t="e">
        <f t="shared" si="14"/>
        <v>#N/A</v>
      </c>
      <c r="X30" s="1813"/>
      <c r="Y30" s="324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5"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2564</v>
      </c>
      <c r="Q32" s="1810">
        <f t="shared" si="11"/>
        <v>111</v>
      </c>
      <c r="R32" s="774" t="s">
        <v>17</v>
      </c>
      <c r="S32" s="775">
        <f t="shared" si="12"/>
        <v>100</v>
      </c>
      <c r="T32" s="774" t="s">
        <v>17</v>
      </c>
      <c r="U32" s="775">
        <f t="shared" si="13"/>
        <v>100</v>
      </c>
      <c r="V32" s="774" t="s">
        <v>17</v>
      </c>
      <c r="W32" s="775">
        <f t="shared" si="14"/>
        <v>100</v>
      </c>
      <c r="X32" s="1813"/>
      <c r="Y32" s="3242"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10">
        <f t="shared" si="11"/>
        <v>111</v>
      </c>
      <c r="R33" s="774" t="s">
        <v>17</v>
      </c>
      <c r="S33" s="775">
        <f t="shared" si="12"/>
        <v>100</v>
      </c>
      <c r="T33" s="774" t="s">
        <v>17</v>
      </c>
      <c r="U33" s="775">
        <f t="shared" si="13"/>
        <v>100</v>
      </c>
      <c r="V33" s="774" t="s">
        <v>17</v>
      </c>
      <c r="W33" s="775">
        <f t="shared" si="14"/>
        <v>100</v>
      </c>
      <c r="X33" s="1813"/>
      <c r="Y33" s="3242"/>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30"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30"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5"/>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7" t="s">
        <v>2559</v>
      </c>
      <c r="Q15" s="1810" t="str">
        <f t="shared" si="6"/>
        <v>居住社区成熟度</v>
      </c>
      <c r="R15" s="774" t="s">
        <v>17</v>
      </c>
      <c r="S15" s="775">
        <f t="shared" si="0"/>
        <v>100</v>
      </c>
      <c r="T15" s="774" t="s">
        <v>17</v>
      </c>
      <c r="U15" s="775">
        <f t="shared" si="1"/>
        <v>100</v>
      </c>
      <c r="V15" s="774" t="s">
        <v>17</v>
      </c>
      <c r="W15" s="775">
        <f t="shared" si="2"/>
        <v>100</v>
      </c>
      <c r="X15" s="1813"/>
      <c r="Y15" s="3237"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8"/>
      <c r="Q17" s="1810" t="str">
        <f>B17</f>
        <v>商业繁华度</v>
      </c>
      <c r="R17" s="774" t="s">
        <v>17</v>
      </c>
      <c r="S17" s="775">
        <f>F17</f>
        <v>100</v>
      </c>
      <c r="T17" s="774" t="s">
        <v>17</v>
      </c>
      <c r="U17" s="775">
        <f>H17</f>
        <v>100</v>
      </c>
      <c r="V17" s="774" t="s">
        <v>17</v>
      </c>
      <c r="W17" s="775">
        <f>J17</f>
        <v>100</v>
      </c>
      <c r="X17" s="1813"/>
      <c r="Y17" s="3238"/>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8"/>
      <c r="Q19" s="1810" t="str">
        <f>B19</f>
        <v>办公集聚程度</v>
      </c>
      <c r="R19" s="774" t="s">
        <v>17</v>
      </c>
      <c r="S19" s="775">
        <f>F19</f>
        <v>100</v>
      </c>
      <c r="T19" s="774" t="s">
        <v>17</v>
      </c>
      <c r="U19" s="775">
        <f>H19</f>
        <v>100</v>
      </c>
      <c r="V19" s="774" t="s">
        <v>17</v>
      </c>
      <c r="W19" s="775">
        <f>J19</f>
        <v>100</v>
      </c>
      <c r="X19" s="1813"/>
      <c r="Y19" s="3238"/>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8"/>
      <c r="Q20" s="1810"/>
      <c r="R20" s="774"/>
      <c r="S20" s="775"/>
      <c r="T20" s="774"/>
      <c r="U20" s="775"/>
      <c r="V20" s="774"/>
      <c r="W20" s="775"/>
      <c r="X20" s="1813"/>
      <c r="Y20" s="3238"/>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8"/>
      <c r="Q21" s="1810" t="str">
        <f>B21</f>
        <v>交通便捷度</v>
      </c>
      <c r="R21" s="774" t="s">
        <v>17</v>
      </c>
      <c r="S21" s="775">
        <f>F21</f>
        <v>100</v>
      </c>
      <c r="T21" s="774" t="s">
        <v>17</v>
      </c>
      <c r="U21" s="775">
        <f>H21</f>
        <v>100</v>
      </c>
      <c r="V21" s="774" t="s">
        <v>17</v>
      </c>
      <c r="W21" s="775">
        <f>J21</f>
        <v>100</v>
      </c>
      <c r="X21" s="1813"/>
      <c r="Y21" s="3238"/>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8"/>
      <c r="Q23" s="1810" t="str">
        <f t="shared" ref="Q23:Q37" si="8">B23</f>
        <v>区域土地利用方向</v>
      </c>
      <c r="R23" s="774" t="s">
        <v>17</v>
      </c>
      <c r="S23" s="775">
        <f>F23</f>
        <v>100</v>
      </c>
      <c r="T23" s="774" t="s">
        <v>17</v>
      </c>
      <c r="U23" s="775">
        <f>H23</f>
        <v>100</v>
      </c>
      <c r="V23" s="774" t="s">
        <v>17</v>
      </c>
      <c r="W23" s="775">
        <f>J23</f>
        <v>100</v>
      </c>
      <c r="X23" s="1813"/>
      <c r="Y23" s="3238"/>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8"/>
      <c r="Q24" s="1810"/>
      <c r="R24" s="774"/>
      <c r="S24" s="775"/>
      <c r="T24" s="774"/>
      <c r="U24" s="775"/>
      <c r="V24" s="774"/>
      <c r="W24" s="775"/>
      <c r="X24" s="1813"/>
      <c r="Y24" s="3238"/>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8"/>
      <c r="Q25" s="1810" t="str">
        <f t="shared" si="8"/>
        <v>自然及人文环境状况</v>
      </c>
      <c r="R25" s="774" t="s">
        <v>17</v>
      </c>
      <c r="S25" s="775">
        <f>F25</f>
        <v>100</v>
      </c>
      <c r="T25" s="774" t="s">
        <v>17</v>
      </c>
      <c r="U25" s="775">
        <f>H25</f>
        <v>100</v>
      </c>
      <c r="V25" s="774" t="s">
        <v>17</v>
      </c>
      <c r="W25" s="775">
        <f>J25</f>
        <v>100</v>
      </c>
      <c r="X25" s="1813"/>
      <c r="Y25" s="3238"/>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8"/>
      <c r="Q26" s="1810"/>
      <c r="R26" s="774"/>
      <c r="S26" s="775"/>
      <c r="T26" s="774"/>
      <c r="U26" s="775"/>
      <c r="V26" s="774"/>
      <c r="W26" s="775"/>
      <c r="X26" s="1813"/>
      <c r="Y26" s="3238"/>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8"/>
      <c r="Q27" s="1795" t="str">
        <f t="shared" si="8"/>
        <v>公共配套设施</v>
      </c>
      <c r="R27" s="770" t="s">
        <v>17</v>
      </c>
      <c r="S27" s="771">
        <f>F27</f>
        <v>100</v>
      </c>
      <c r="T27" s="770" t="s">
        <v>17</v>
      </c>
      <c r="U27" s="771">
        <f>H27</f>
        <v>100</v>
      </c>
      <c r="V27" s="770" t="s">
        <v>17</v>
      </c>
      <c r="W27" s="771">
        <f>J27</f>
        <v>100</v>
      </c>
      <c r="X27" s="772"/>
      <c r="Y27" s="3238"/>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8"/>
      <c r="Q28" s="1795"/>
      <c r="R28" s="770"/>
      <c r="S28" s="771"/>
      <c r="T28" s="770"/>
      <c r="U28" s="771"/>
      <c r="V28" s="770"/>
      <c r="W28" s="771"/>
      <c r="X28" s="772"/>
      <c r="Y28" s="3238"/>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8"/>
      <c r="Q29" s="1795"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8"/>
      <c r="Q30" s="1795"/>
      <c r="R30" s="770"/>
      <c r="S30" s="771"/>
      <c r="T30" s="770"/>
      <c r="U30" s="771"/>
      <c r="V30" s="770"/>
      <c r="W30" s="771"/>
      <c r="X30" s="772"/>
      <c r="Y30" s="323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8"/>
      <c r="Q32" s="1810" t="str">
        <f t="shared" si="8"/>
        <v>毗邻道路的类型与等级</v>
      </c>
      <c r="R32" s="774" t="s">
        <v>17</v>
      </c>
      <c r="S32" s="775">
        <f t="shared" si="10"/>
        <v>100</v>
      </c>
      <c r="T32" s="774" t="s">
        <v>17</v>
      </c>
      <c r="U32" s="775">
        <f t="shared" si="11"/>
        <v>100</v>
      </c>
      <c r="V32" s="774" t="s">
        <v>17</v>
      </c>
      <c r="W32" s="775">
        <f t="shared" si="12"/>
        <v>100</v>
      </c>
      <c r="X32" s="1813"/>
      <c r="Y32" s="3238"/>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8"/>
      <c r="Q33" s="1810"/>
      <c r="R33" s="774"/>
      <c r="S33" s="775"/>
      <c r="T33" s="774"/>
      <c r="U33" s="775"/>
      <c r="V33" s="774"/>
      <c r="W33" s="775"/>
      <c r="X33" s="1813"/>
      <c r="Y33" s="323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8"/>
      <c r="Q34" s="1810" t="str">
        <f t="shared" si="8"/>
        <v>土地级别</v>
      </c>
      <c r="R34" s="774" t="s">
        <v>17</v>
      </c>
      <c r="S34" s="775">
        <f t="shared" si="10"/>
        <v>100</v>
      </c>
      <c r="T34" s="774" t="s">
        <v>17</v>
      </c>
      <c r="U34" s="775">
        <f t="shared" si="11"/>
        <v>100</v>
      </c>
      <c r="V34" s="774" t="s">
        <v>17</v>
      </c>
      <c r="W34" s="775">
        <f t="shared" si="12"/>
        <v>100</v>
      </c>
      <c r="X34" s="1813"/>
      <c r="Y34" s="323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8"/>
      <c r="Q35" s="1810">
        <f t="shared" si="8"/>
        <v>111</v>
      </c>
      <c r="R35" s="774" t="s">
        <v>17</v>
      </c>
      <c r="S35" s="775">
        <f t="shared" si="10"/>
        <v>100</v>
      </c>
      <c r="T35" s="774" t="s">
        <v>17</v>
      </c>
      <c r="U35" s="775">
        <f t="shared" si="11"/>
        <v>100</v>
      </c>
      <c r="V35" s="774" t="s">
        <v>17</v>
      </c>
      <c r="W35" s="775">
        <f t="shared" si="12"/>
        <v>100</v>
      </c>
      <c r="X35" s="1813"/>
      <c r="Y35" s="323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4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10">
        <f t="shared" si="8"/>
        <v>111</v>
      </c>
      <c r="R37" s="777" t="s">
        <v>17</v>
      </c>
      <c r="S37" s="778">
        <f t="shared" si="10"/>
        <v>100</v>
      </c>
      <c r="T37" s="777" t="s">
        <v>17</v>
      </c>
      <c r="U37" s="778">
        <f t="shared" si="11"/>
        <v>100</v>
      </c>
      <c r="V37" s="777" t="s">
        <v>17</v>
      </c>
      <c r="W37" s="778">
        <f t="shared" si="12"/>
        <v>100</v>
      </c>
      <c r="X37" s="779"/>
      <c r="Y37" s="324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2"/>
      <c r="Q38" s="1810" t="str">
        <f>B38</f>
        <v>宗地面积</v>
      </c>
      <c r="R38" s="774" t="s">
        <v>17</v>
      </c>
      <c r="S38" s="775" t="e">
        <f t="shared" si="10"/>
        <v>#N/A</v>
      </c>
      <c r="T38" s="774" t="s">
        <v>17</v>
      </c>
      <c r="U38" s="775" t="e">
        <f t="shared" si="11"/>
        <v>#N/A</v>
      </c>
      <c r="V38" s="774" t="s">
        <v>17</v>
      </c>
      <c r="W38" s="775" t="e">
        <f t="shared" si="12"/>
        <v>#N/A</v>
      </c>
      <c r="X38" s="1813"/>
      <c r="Y38" s="3242"/>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2"/>
      <c r="Q39" s="1810" t="str">
        <f t="shared" ref="Q39:Q45" si="14">B39</f>
        <v>宗地形状</v>
      </c>
      <c r="R39" s="774" t="s">
        <v>17</v>
      </c>
      <c r="S39" s="775">
        <f t="shared" si="10"/>
        <v>100</v>
      </c>
      <c r="T39" s="774" t="s">
        <v>17</v>
      </c>
      <c r="U39" s="775">
        <f t="shared" si="11"/>
        <v>100</v>
      </c>
      <c r="V39" s="774" t="s">
        <v>17</v>
      </c>
      <c r="W39" s="775">
        <f t="shared" si="12"/>
        <v>100</v>
      </c>
      <c r="X39" s="1813"/>
      <c r="Y39" s="3242"/>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2"/>
      <c r="Q40" s="1810" t="str">
        <f t="shared" si="14"/>
        <v>临街宽度及深度</v>
      </c>
      <c r="R40" s="774" t="s">
        <v>17</v>
      </c>
      <c r="S40" s="775">
        <f t="shared" si="10"/>
        <v>100</v>
      </c>
      <c r="T40" s="774" t="s">
        <v>17</v>
      </c>
      <c r="U40" s="775">
        <f t="shared" si="11"/>
        <v>100</v>
      </c>
      <c r="V40" s="774" t="s">
        <v>17</v>
      </c>
      <c r="W40" s="775">
        <f t="shared" si="12"/>
        <v>100</v>
      </c>
      <c r="X40" s="1813"/>
      <c r="Y40" s="3242"/>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2"/>
      <c r="Q41" s="1810"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2" t="s">
        <v>2564</v>
      </c>
      <c r="Q42" s="1810" t="str">
        <f t="shared" si="14"/>
        <v>工程地质条件</v>
      </c>
      <c r="R42" s="774" t="s">
        <v>17</v>
      </c>
      <c r="S42" s="775">
        <f t="shared" si="10"/>
        <v>100</v>
      </c>
      <c r="T42" s="774" t="s">
        <v>17</v>
      </c>
      <c r="U42" s="775">
        <f t="shared" si="11"/>
        <v>100</v>
      </c>
      <c r="V42" s="774" t="s">
        <v>17</v>
      </c>
      <c r="W42" s="775">
        <f t="shared" si="12"/>
        <v>100</v>
      </c>
      <c r="X42" s="1813"/>
      <c r="Y42" s="324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10">
        <f t="shared" si="14"/>
        <v>111</v>
      </c>
      <c r="R43" s="774" t="s">
        <v>17</v>
      </c>
      <c r="S43" s="775">
        <f t="shared" si="10"/>
        <v>100</v>
      </c>
      <c r="T43" s="774" t="s">
        <v>17</v>
      </c>
      <c r="U43" s="775">
        <f t="shared" si="11"/>
        <v>100</v>
      </c>
      <c r="V43" s="774" t="s">
        <v>17</v>
      </c>
      <c r="W43" s="775">
        <f t="shared" si="12"/>
        <v>100</v>
      </c>
      <c r="X43" s="1813"/>
      <c r="Y43" s="324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10">
        <f t="shared" si="14"/>
        <v>111</v>
      </c>
      <c r="R44" s="774" t="s">
        <v>17</v>
      </c>
      <c r="S44" s="775">
        <f t="shared" si="10"/>
        <v>100</v>
      </c>
      <c r="T44" s="774" t="s">
        <v>17</v>
      </c>
      <c r="U44" s="775">
        <f t="shared" si="11"/>
        <v>100</v>
      </c>
      <c r="V44" s="774" t="s">
        <v>17</v>
      </c>
      <c r="W44" s="775">
        <f t="shared" si="12"/>
        <v>100</v>
      </c>
      <c r="X44" s="1813"/>
      <c r="Y44" s="3242"/>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10">
        <f t="shared" si="14"/>
        <v>111</v>
      </c>
      <c r="R45" s="777" t="s">
        <v>17</v>
      </c>
      <c r="S45" s="778">
        <f t="shared" si="10"/>
        <v>100</v>
      </c>
      <c r="T45" s="777" t="s">
        <v>17</v>
      </c>
      <c r="U45" s="778">
        <f t="shared" si="11"/>
        <v>100</v>
      </c>
      <c r="V45" s="777" t="s">
        <v>17</v>
      </c>
      <c r="W45" s="778">
        <f t="shared" si="12"/>
        <v>100</v>
      </c>
      <c r="X45" s="779"/>
      <c r="Y45" s="3242"/>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5" t="str">
        <f>A47</f>
        <v>比较价值（元/平方米）</v>
      </c>
      <c r="Q47" s="3235"/>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2" t="str">
        <f>A48</f>
        <v>估价对象XX用房的比较价值（楼面单价，元/平方米）</v>
      </c>
      <c r="Q48" s="3233"/>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7"/>
      <c r="H56" s="323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8"/>
      <c r="Q19" s="1810" t="str">
        <f t="shared" ref="Q19:Q33" si="8">B19</f>
        <v>区域土地利用方向</v>
      </c>
      <c r="R19" s="774" t="s">
        <v>17</v>
      </c>
      <c r="S19" s="775">
        <f>F19</f>
        <v>100</v>
      </c>
      <c r="T19" s="774" t="s">
        <v>17</v>
      </c>
      <c r="U19" s="775">
        <f>H19</f>
        <v>100</v>
      </c>
      <c r="V19" s="774" t="s">
        <v>17</v>
      </c>
      <c r="W19" s="775">
        <f>J19</f>
        <v>100</v>
      </c>
      <c r="X19" s="1813"/>
      <c r="Y19" s="3238"/>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8"/>
      <c r="Q20" s="1810"/>
      <c r="R20" s="774"/>
      <c r="S20" s="775"/>
      <c r="T20" s="774"/>
      <c r="U20" s="775"/>
      <c r="V20" s="774"/>
      <c r="W20" s="775"/>
      <c r="X20" s="1813"/>
      <c r="Y20" s="3238"/>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8"/>
      <c r="Q21" s="1810" t="str">
        <f t="shared" si="8"/>
        <v>环境状况</v>
      </c>
      <c r="R21" s="774" t="s">
        <v>17</v>
      </c>
      <c r="S21" s="775">
        <f>F21</f>
        <v>100</v>
      </c>
      <c r="T21" s="774" t="s">
        <v>17</v>
      </c>
      <c r="U21" s="775">
        <f>H21</f>
        <v>100</v>
      </c>
      <c r="V21" s="774" t="s">
        <v>17</v>
      </c>
      <c r="W21" s="775">
        <f>J21</f>
        <v>100</v>
      </c>
      <c r="X21" s="1813"/>
      <c r="Y21" s="3238"/>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8"/>
      <c r="Q23" s="1795" t="str">
        <f t="shared" si="8"/>
        <v>公共配套设施</v>
      </c>
      <c r="R23" s="770" t="s">
        <v>17</v>
      </c>
      <c r="S23" s="771">
        <f>F23</f>
        <v>100</v>
      </c>
      <c r="T23" s="770" t="s">
        <v>17</v>
      </c>
      <c r="U23" s="771">
        <f>H23</f>
        <v>100</v>
      </c>
      <c r="V23" s="770" t="s">
        <v>17</v>
      </c>
      <c r="W23" s="771">
        <f>J23</f>
        <v>100</v>
      </c>
      <c r="X23" s="772"/>
      <c r="Y23" s="3238"/>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8"/>
      <c r="Q24" s="1795"/>
      <c r="R24" s="770"/>
      <c r="S24" s="771"/>
      <c r="T24" s="770"/>
      <c r="U24" s="771"/>
      <c r="V24" s="770"/>
      <c r="W24" s="771"/>
      <c r="X24" s="772"/>
      <c r="Y24" s="3238"/>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8"/>
      <c r="Q25" s="1795"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8"/>
      <c r="Q26" s="1795"/>
      <c r="R26" s="770"/>
      <c r="S26" s="771"/>
      <c r="T26" s="770"/>
      <c r="U26" s="771"/>
      <c r="V26" s="770"/>
      <c r="W26" s="771"/>
      <c r="X26" s="772"/>
      <c r="Y26" s="323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8"/>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8"/>
      <c r="Q28" s="1810" t="str">
        <f t="shared" si="8"/>
        <v>毗邻道路的类型与等级</v>
      </c>
      <c r="R28" s="774" t="s">
        <v>17</v>
      </c>
      <c r="S28" s="775">
        <f t="shared" si="10"/>
        <v>100</v>
      </c>
      <c r="T28" s="774" t="s">
        <v>17</v>
      </c>
      <c r="U28" s="775">
        <f t="shared" si="11"/>
        <v>100</v>
      </c>
      <c r="V28" s="774" t="s">
        <v>17</v>
      </c>
      <c r="W28" s="775">
        <f t="shared" si="12"/>
        <v>100</v>
      </c>
      <c r="X28" s="1813"/>
      <c r="Y28" s="3238"/>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8"/>
      <c r="Q29" s="1810"/>
      <c r="R29" s="774"/>
      <c r="S29" s="775"/>
      <c r="T29" s="774"/>
      <c r="U29" s="775"/>
      <c r="V29" s="774"/>
      <c r="W29" s="775"/>
      <c r="X29" s="1813"/>
      <c r="Y29" s="3238"/>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8"/>
      <c r="Q30" s="1810" t="str">
        <f t="shared" si="8"/>
        <v>土地级别</v>
      </c>
      <c r="R30" s="774" t="s">
        <v>17</v>
      </c>
      <c r="S30" s="775">
        <f t="shared" si="10"/>
        <v>100</v>
      </c>
      <c r="T30" s="774" t="s">
        <v>17</v>
      </c>
      <c r="U30" s="775">
        <f t="shared" si="11"/>
        <v>100</v>
      </c>
      <c r="V30" s="774" t="s">
        <v>17</v>
      </c>
      <c r="W30" s="775">
        <f t="shared" si="12"/>
        <v>100</v>
      </c>
      <c r="X30" s="1813"/>
      <c r="Y30" s="3238"/>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8"/>
      <c r="Q31" s="1810">
        <f t="shared" si="8"/>
        <v>111</v>
      </c>
      <c r="R31" s="774" t="s">
        <v>17</v>
      </c>
      <c r="S31" s="775">
        <f t="shared" si="10"/>
        <v>100</v>
      </c>
      <c r="T31" s="774" t="s">
        <v>17</v>
      </c>
      <c r="U31" s="775">
        <f t="shared" si="11"/>
        <v>100</v>
      </c>
      <c r="V31" s="774" t="s">
        <v>17</v>
      </c>
      <c r="W31" s="775">
        <f t="shared" si="12"/>
        <v>100</v>
      </c>
      <c r="X31" s="1813"/>
      <c r="Y31" s="3238"/>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42"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10">
        <f t="shared" si="8"/>
        <v>111</v>
      </c>
      <c r="R33" s="777" t="s">
        <v>17</v>
      </c>
      <c r="S33" s="778">
        <f t="shared" si="10"/>
        <v>100</v>
      </c>
      <c r="T33" s="777" t="s">
        <v>17</v>
      </c>
      <c r="U33" s="778">
        <f t="shared" si="11"/>
        <v>100</v>
      </c>
      <c r="V33" s="777" t="s">
        <v>17</v>
      </c>
      <c r="W33" s="778">
        <f t="shared" si="12"/>
        <v>100</v>
      </c>
      <c r="X33" s="779"/>
      <c r="Y33" s="3242"/>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10" t="str">
        <f>B34</f>
        <v>宗地面积</v>
      </c>
      <c r="R34" s="774" t="s">
        <v>17</v>
      </c>
      <c r="S34" s="775" t="e">
        <f t="shared" si="10"/>
        <v>#N/A</v>
      </c>
      <c r="T34" s="774" t="s">
        <v>17</v>
      </c>
      <c r="U34" s="775" t="e">
        <f t="shared" si="11"/>
        <v>#N/A</v>
      </c>
      <c r="V34" s="774" t="s">
        <v>17</v>
      </c>
      <c r="W34" s="775" t="e">
        <f t="shared" si="12"/>
        <v>#N/A</v>
      </c>
      <c r="X34" s="1813"/>
      <c r="Y34" s="3242"/>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2"/>
      <c r="Q35" s="1810" t="str">
        <f t="shared" ref="Q35:Q40" si="14">B35</f>
        <v>宗地形状</v>
      </c>
      <c r="R35" s="774" t="s">
        <v>17</v>
      </c>
      <c r="S35" s="775">
        <f t="shared" si="10"/>
        <v>100</v>
      </c>
      <c r="T35" s="774" t="s">
        <v>17</v>
      </c>
      <c r="U35" s="775">
        <f t="shared" si="11"/>
        <v>100</v>
      </c>
      <c r="V35" s="774" t="s">
        <v>17</v>
      </c>
      <c r="W35" s="775">
        <f t="shared" si="12"/>
        <v>100</v>
      </c>
      <c r="X35" s="1813"/>
      <c r="Y35" s="3242"/>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2"/>
      <c r="Q36" s="1810"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2" t="s">
        <v>2564</v>
      </c>
      <c r="Q37" s="1810" t="str">
        <f t="shared" si="14"/>
        <v>工程地质条件</v>
      </c>
      <c r="R37" s="774" t="s">
        <v>17</v>
      </c>
      <c r="S37" s="775">
        <f t="shared" si="10"/>
        <v>100</v>
      </c>
      <c r="T37" s="774" t="s">
        <v>17</v>
      </c>
      <c r="U37" s="775">
        <f t="shared" si="11"/>
        <v>100</v>
      </c>
      <c r="V37" s="774" t="s">
        <v>17</v>
      </c>
      <c r="W37" s="775">
        <f t="shared" si="12"/>
        <v>100</v>
      </c>
      <c r="X37" s="1813"/>
      <c r="Y37" s="324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10">
        <f t="shared" si="14"/>
        <v>111</v>
      </c>
      <c r="R38" s="774" t="s">
        <v>17</v>
      </c>
      <c r="S38" s="775">
        <f t="shared" si="10"/>
        <v>100</v>
      </c>
      <c r="T38" s="774" t="s">
        <v>17</v>
      </c>
      <c r="U38" s="775">
        <f t="shared" si="11"/>
        <v>100</v>
      </c>
      <c r="V38" s="774" t="s">
        <v>17</v>
      </c>
      <c r="W38" s="775">
        <f t="shared" si="12"/>
        <v>100</v>
      </c>
      <c r="X38" s="1813"/>
      <c r="Y38" s="324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10">
        <f t="shared" si="14"/>
        <v>111</v>
      </c>
      <c r="R39" s="774" t="s">
        <v>17</v>
      </c>
      <c r="S39" s="775">
        <f t="shared" si="10"/>
        <v>100</v>
      </c>
      <c r="T39" s="774" t="s">
        <v>17</v>
      </c>
      <c r="U39" s="775">
        <f t="shared" si="11"/>
        <v>100</v>
      </c>
      <c r="V39" s="774" t="s">
        <v>17</v>
      </c>
      <c r="W39" s="775">
        <f t="shared" si="12"/>
        <v>100</v>
      </c>
      <c r="X39" s="1813"/>
      <c r="Y39" s="3242"/>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10">
        <f t="shared" si="14"/>
        <v>111</v>
      </c>
      <c r="R40" s="777" t="s">
        <v>17</v>
      </c>
      <c r="S40" s="778">
        <f t="shared" si="10"/>
        <v>100</v>
      </c>
      <c r="T40" s="777" t="s">
        <v>17</v>
      </c>
      <c r="U40" s="778">
        <f t="shared" si="11"/>
        <v>100</v>
      </c>
      <c r="V40" s="777" t="s">
        <v>17</v>
      </c>
      <c r="W40" s="778">
        <f t="shared" si="12"/>
        <v>100</v>
      </c>
      <c r="X40" s="779"/>
      <c r="Y40" s="3242"/>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5" t="str">
        <f>A42</f>
        <v>比较价值（元/平方米）</v>
      </c>
      <c r="Q42" s="3235"/>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7"/>
      <c r="H51" s="3235"/>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2431</v>
      </c>
      <c r="C2" s="2904" t="s">
        <v>2993</v>
      </c>
      <c r="D2" s="2904" t="s">
        <v>2994</v>
      </c>
      <c r="E2" s="2905">
        <f ca="1">SUMIF(E6:E13,"&lt;&gt;#ref!",E6:E13)</f>
        <v>5522.69</v>
      </c>
    </row>
    <row r="3" spans="1:5" ht="15.75">
      <c r="A3" s="2904" t="s">
        <v>2995</v>
      </c>
      <c r="B3" s="2905">
        <f ca="1">ROUND(B2*10000/E2,0)</f>
        <v>4402</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2431</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2255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4083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18418171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16568070</v>
      </c>
      <c r="D34" s="261"/>
      <c r="E34" s="264"/>
      <c r="F34" s="301"/>
      <c r="G34" s="263"/>
    </row>
    <row r="35" spans="1:7" ht="13.5" customHeight="1">
      <c r="A35" s="951" t="s">
        <v>796</v>
      </c>
      <c r="B35" s="259" t="s">
        <v>2391</v>
      </c>
      <c r="C35" s="264">
        <f ca="1">ROUND(C34*F35,0)</f>
        <v>497042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248521</v>
      </c>
      <c r="D38" s="264"/>
      <c r="E38" s="264"/>
      <c r="F38" s="303">
        <f>'数据-取费表'!B36</f>
        <v>1.4999999999999999E-2</v>
      </c>
      <c r="G38" s="263" t="s">
        <v>2392</v>
      </c>
    </row>
    <row r="39" spans="1:7" s="258" customFormat="1" ht="13.5" customHeight="1">
      <c r="A39" s="299" t="s">
        <v>2398</v>
      </c>
      <c r="B39" s="254" t="s">
        <v>2399</v>
      </c>
      <c r="C39" s="276">
        <f ca="1">ROUND(C33*F20,0)</f>
        <v>368363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892360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874863</v>
      </c>
      <c r="D42" s="282"/>
      <c r="E42" s="282"/>
      <c r="F42" s="283"/>
      <c r="G42" s="3152" t="s">
        <v>2455</v>
      </c>
    </row>
    <row r="43" spans="1:7" ht="13.5" customHeight="1">
      <c r="A43" s="951" t="s">
        <v>792</v>
      </c>
      <c r="B43" s="259" t="s">
        <v>2409</v>
      </c>
      <c r="C43" s="282">
        <f ca="1">ROUND(IF('数据-取费表'!B22&lt;=1,C39*F22*'数据-取费表'!B20/2,C39*(POWER((1+F22),'数据-取费表'!B20/2)-1)),0)</f>
        <v>17497</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2817980</v>
      </c>
      <c r="D45" s="279">
        <f ca="1">C47</f>
        <v>3.0000000000000001E-3</v>
      </c>
      <c r="E45" s="280" t="s">
        <v>2403</v>
      </c>
      <c r="F45" s="290"/>
      <c r="G45" s="291" t="s">
        <v>2412</v>
      </c>
    </row>
    <row r="46" spans="1:7" s="258" customFormat="1" ht="13.5" customHeight="1">
      <c r="A46" s="951" t="s">
        <v>791</v>
      </c>
      <c r="B46" s="292" t="s">
        <v>2413</v>
      </c>
      <c r="C46" s="293">
        <f ca="1">ROUND((C33+C39)*F27,0)</f>
        <v>2817980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24381569</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19505255</v>
      </c>
      <c r="D51" s="276"/>
      <c r="E51" s="276"/>
      <c r="F51" s="308"/>
      <c r="G51" s="278" t="s">
        <v>2424</v>
      </c>
    </row>
    <row r="52" spans="1:7" s="252" customFormat="1" ht="16.5" thickBot="1">
      <c r="A52" s="309" t="s">
        <v>2425</v>
      </c>
      <c r="B52" s="310"/>
      <c r="C52" s="311">
        <f ca="1">C31+C51</f>
        <v>22548706</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2" t="s">
        <v>1146</v>
      </c>
      <c r="H1" s="3272"/>
      <c r="I1" s="3272"/>
      <c r="J1" s="3272"/>
      <c r="K1" s="3272"/>
      <c r="L1" s="3272"/>
      <c r="N1" s="3272" t="s">
        <v>1147</v>
      </c>
      <c r="O1" s="3272"/>
      <c r="P1" s="3272"/>
      <c r="Q1" s="3272"/>
      <c r="R1" s="1446"/>
      <c r="S1" s="3272" t="s">
        <v>1148</v>
      </c>
      <c r="T1" s="3272"/>
      <c r="U1" s="3272"/>
      <c r="V1" s="3272"/>
      <c r="X1" s="3271" t="s">
        <v>1149</v>
      </c>
      <c r="Y1" s="3272"/>
      <c r="Z1" s="3272"/>
      <c r="AA1" s="3272"/>
      <c r="AB1" s="3272"/>
      <c r="AD1" s="3271" t="s">
        <v>1150</v>
      </c>
      <c r="AE1" s="3272"/>
      <c r="AF1" s="3272"/>
      <c r="AG1" s="3272"/>
      <c r="AH1" s="327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8781</v>
      </c>
      <c r="E5" s="1958"/>
    </row>
    <row r="6" spans="1:5" ht="15.75">
      <c r="A6" s="1958"/>
      <c r="B6" s="2963"/>
      <c r="C6" s="1961" t="s">
        <v>1618</v>
      </c>
      <c r="D6" s="1040" t="str">
        <f ca="1">NUMBERSTRING(INT(D5*10000),2)&amp;"元整"</f>
        <v>捌仟柒佰捌拾壹万元整</v>
      </c>
      <c r="E6" s="1958"/>
    </row>
    <row r="7" spans="1:5" ht="15.75">
      <c r="A7" s="1958"/>
      <c r="B7" s="2968"/>
      <c r="C7" s="1962" t="s">
        <v>1619</v>
      </c>
      <c r="D7" s="1041">
        <f ca="1">结果表!H102</f>
        <v>15900</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8781</v>
      </c>
      <c r="E13" s="1958"/>
    </row>
    <row r="14" spans="1:5" ht="15.75">
      <c r="A14" s="1958"/>
      <c r="B14" s="2963"/>
      <c r="C14" s="1961" t="s">
        <v>1618</v>
      </c>
      <c r="D14" s="1040" t="str">
        <f ca="1">NUMBERSTRING(INT(D13*10000),2)&amp;"元整"</f>
        <v>捌仟柒佰捌拾壹万元整</v>
      </c>
      <c r="E14" s="1958"/>
    </row>
    <row r="15" spans="1:5" ht="15">
      <c r="A15" s="1958"/>
      <c r="B15" s="2968"/>
      <c r="C15" s="1962" t="s">
        <v>1628</v>
      </c>
      <c r="D15" s="1052">
        <f ca="1">结果表!H108</f>
        <v>15900</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30498</v>
      </c>
      <c r="C2" s="2" t="s">
        <v>133</v>
      </c>
      <c r="D2" s="243"/>
      <c r="E2" s="243"/>
      <c r="F2" s="243"/>
      <c r="G2" s="243"/>
    </row>
    <row r="3" spans="1:7" s="244" customFormat="1" ht="18" customHeight="1" thickBot="1">
      <c r="A3" s="247" t="s">
        <v>85</v>
      </c>
      <c r="B3" s="248">
        <f ca="1">ROUND(B2*10000/'数据-汇总表'!E3,0)</f>
        <v>55223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1657</v>
      </c>
      <c r="D34" s="261"/>
      <c r="E34" s="264"/>
      <c r="F34" s="301">
        <f>IF('数据-取费表'!B24=0,1,'数据-取费表'!N16)</f>
        <v>1</v>
      </c>
      <c r="G34" s="263" t="s">
        <v>116</v>
      </c>
    </row>
    <row r="35" spans="1:7" ht="13.5" customHeight="1">
      <c r="A35" s="951" t="s">
        <v>796</v>
      </c>
      <c r="B35" s="259" t="s">
        <v>60</v>
      </c>
      <c r="C35" s="264">
        <f>ROUND(C34*F35,0)</f>
        <v>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25</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87</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282</v>
      </c>
      <c r="D45" s="279">
        <f>C47</f>
        <v>3.0000000000000001E-3</v>
      </c>
      <c r="E45" s="280" t="s">
        <v>129</v>
      </c>
      <c r="F45" s="290"/>
      <c r="G45" s="291" t="s">
        <v>1068</v>
      </c>
    </row>
    <row r="46" spans="1:7" s="258" customFormat="1" ht="13.5" customHeight="1">
      <c r="A46" s="951" t="s">
        <v>794</v>
      </c>
      <c r="B46" s="292" t="s">
        <v>1061</v>
      </c>
      <c r="C46" s="293">
        <f>ROUND((C33+C39)*F27,0)</f>
        <v>282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2439</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1951</v>
      </c>
      <c r="D51" s="276"/>
      <c r="E51" s="276"/>
      <c r="F51" s="308"/>
      <c r="G51" s="278" t="s">
        <v>64</v>
      </c>
    </row>
    <row r="52" spans="1:7" s="252" customFormat="1" ht="16.5" thickBot="1">
      <c r="A52" s="309" t="s">
        <v>65</v>
      </c>
      <c r="B52" s="310"/>
      <c r="C52" s="311">
        <f ca="1">C31+C51</f>
        <v>30498</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69" sqref="A6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74"/>
      <c r="B3" s="2974"/>
      <c r="C3" s="2974"/>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8781</v>
      </c>
      <c r="I4" s="1044">
        <f ca="1">结果表!I118</f>
        <v>15900</v>
      </c>
    </row>
    <row r="5" spans="1:9" ht="30" customHeight="1">
      <c r="A5" s="2974" t="s">
        <v>1634</v>
      </c>
      <c r="B5" s="2974"/>
      <c r="C5" s="2974"/>
      <c r="D5" s="2975" t="e">
        <f ca="1">结果表!D119</f>
        <v>#REF!</v>
      </c>
      <c r="E5" s="2975"/>
      <c r="F5" s="2975" t="e">
        <f ca="1">结果表!F119</f>
        <v>#REF!</v>
      </c>
      <c r="G5" s="2975"/>
      <c r="H5" s="2975" t="str">
        <f ca="1">结果表!H119</f>
        <v>捌仟柒佰捌拾壹万元整</v>
      </c>
      <c r="I5" s="2975"/>
    </row>
    <row r="6" spans="1:9" ht="15.75">
      <c r="A6" s="2976" t="str">
        <f>结果表!A120</f>
        <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
      </c>
      <c r="B8" s="2976"/>
      <c r="C8" s="2976"/>
      <c r="D8" s="2976">
        <f ca="1">结果表!D122</f>
        <v>8781</v>
      </c>
      <c r="E8" s="2976"/>
      <c r="F8" s="2976"/>
      <c r="G8" s="2976"/>
      <c r="H8" s="2976"/>
      <c r="I8" s="2976"/>
    </row>
    <row r="9" spans="1:9" ht="15">
      <c r="A9" s="2974" t="s">
        <v>1634</v>
      </c>
      <c r="B9" s="2974"/>
      <c r="C9" s="2974"/>
      <c r="D9" s="2975" t="str">
        <f ca="1">结果表!D123</f>
        <v>捌仟柒佰捌拾壹万元整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1656</v>
      </c>
      <c r="B1" s="2983"/>
      <c r="C1" s="2983"/>
      <c r="D1" s="2983"/>
    </row>
    <row r="2" spans="1:4" ht="18">
      <c r="A2" s="2984" t="s">
        <v>1640</v>
      </c>
      <c r="B2" s="2984"/>
      <c r="C2" s="2984"/>
      <c r="D2" s="2984"/>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84" t="s">
        <v>1646</v>
      </c>
      <c r="B6" s="2984"/>
      <c r="C6" s="2984"/>
      <c r="D6" s="298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6" t="str">
        <f>IF(项目基本情况!B8="抵押","3.抵押双方在办理抵押登记手续时，应使用本公司出具的正式《房地产评估报告》，特提醒报告使用者注意。","——")</f>
        <v>——</v>
      </c>
      <c r="B13" s="2987"/>
      <c r="C13" s="2987"/>
      <c r="D13" s="2987"/>
    </row>
    <row r="14" spans="1:4" ht="15.75" customHeight="1">
      <c r="A14" s="2986" t="str">
        <f>IF(项目基本情况!B8="抵押","4.本次评估估价师所知悉的法定优先受偿款情况说明如下：","——")</f>
        <v>——</v>
      </c>
      <c r="B14" s="2987"/>
      <c r="C14" s="2987"/>
      <c r="D14" s="2987"/>
    </row>
    <row r="15" spans="1:4" ht="42" customHeight="1">
      <c r="A15" s="2986" t="str">
        <f>IF(项目基本情况!B8="抵押","（1）"&amp;CONCATENATE(项目基本情况!L20,项目基本情况!L21,项目基本情况!L22),"——")</f>
        <v>——</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2020-06-28T01:43:04Z</dcterms:modified>
</cp:coreProperties>
</file>