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A14" i="3" l="1"/>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U2" i="43"/>
  <c r="U3" i="43" s="1"/>
  <c r="N19" i="1"/>
  <c r="F19" i="6"/>
  <c r="N21" i="1" l="1"/>
  <c r="N6" i="1"/>
  <c r="I29" i="79"/>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6" i="15"/>
  <c r="J15" i="15"/>
  <c r="F36" i="67"/>
  <c r="M26" i="15"/>
  <c r="M28" i="15"/>
  <c r="F16" i="67"/>
  <c r="M9" i="15"/>
  <c r="M8" i="67"/>
  <c r="E9" i="76"/>
  <c r="D3" i="73"/>
  <c r="F40" i="67"/>
  <c r="F26" i="67"/>
  <c r="B12" i="76"/>
  <c r="E8" i="76"/>
  <c r="M9" i="67"/>
  <c r="B11" i="76"/>
  <c r="M8" i="15"/>
  <c r="F43" i="15"/>
  <c r="F42" i="67"/>
  <c r="E11" i="76"/>
  <c r="F7" i="73"/>
  <c r="D5" i="73"/>
  <c r="F38" i="67"/>
  <c r="C76" i="67"/>
  <c r="F16" i="15"/>
  <c r="E2" i="69"/>
  <c r="F26" i="15"/>
  <c r="M24" i="67"/>
  <c r="F9" i="15"/>
  <c r="F6" i="73"/>
  <c r="F20" i="31"/>
  <c r="AO13" i="1"/>
  <c r="D4" i="73"/>
  <c r="F7" i="15"/>
  <c r="M22" i="67"/>
  <c r="F4" i="73"/>
  <c r="M23" i="67"/>
  <c r="J15" i="67"/>
  <c r="F8" i="15"/>
  <c r="F38" i="15"/>
  <c r="M6" i="67"/>
  <c r="F13" i="15"/>
  <c r="L47" i="67"/>
  <c r="F8" i="67"/>
  <c r="F36" i="15"/>
  <c r="M24" i="15"/>
  <c r="M29" i="15"/>
  <c r="F42" i="15"/>
  <c r="M22" i="15"/>
  <c r="E12" i="76"/>
  <c r="M26" i="67"/>
  <c r="F6" i="67"/>
  <c r="D7" i="73"/>
  <c r="F40" i="15"/>
  <c r="L47" i="15"/>
  <c r="B9" i="76"/>
  <c r="E10" i="76"/>
  <c r="F9" i="67"/>
  <c r="F7" i="67"/>
  <c r="F3" i="73"/>
  <c r="M29" i="67"/>
  <c r="M28" i="67"/>
  <c r="C76" i="15"/>
  <c r="F37" i="15"/>
  <c r="B8" i="76"/>
  <c r="B7" i="76"/>
  <c r="F43" i="67"/>
  <c r="M23" i="15"/>
  <c r="B10" i="76"/>
  <c r="L48" i="15"/>
  <c r="D6" i="73"/>
  <c r="E2" i="68"/>
  <c r="E7" i="76"/>
  <c r="F37" i="67"/>
  <c r="E13" i="76"/>
  <c r="F5" i="73"/>
  <c r="F13" i="67"/>
  <c r="F6" i="15"/>
  <c r="B13" i="76"/>
  <c r="C18" i="9" l="1"/>
  <c r="D18" i="9" s="1"/>
  <c r="H69" i="43"/>
  <c r="H50" i="43"/>
  <c r="G50" i="43" s="1"/>
  <c r="H67" i="43"/>
  <c r="C58" i="82"/>
  <c r="D58" i="82" s="1"/>
  <c r="E58" i="82" s="1"/>
  <c r="F58" i="82" s="1"/>
  <c r="G58" i="82" s="1"/>
  <c r="H58" i="82" s="1"/>
  <c r="I58" i="82" s="1"/>
  <c r="J58" i="82" s="1"/>
  <c r="K58" i="82" s="1"/>
  <c r="L58" i="82" s="1"/>
  <c r="M58" i="82" s="1"/>
  <c r="N58" i="82" s="1"/>
  <c r="O58" i="82" s="1"/>
  <c r="G7" i="82"/>
  <c r="H7" i="82" s="1"/>
  <c r="I7" i="82"/>
  <c r="J7" i="82" s="1"/>
  <c r="E7" i="82"/>
  <c r="F7" i="82" s="1"/>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I24" i="43"/>
  <c r="C24" i="4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P6" i="3"/>
  <c r="E88" i="3"/>
  <c r="E316" i="3"/>
  <c r="E109" i="3"/>
  <c r="E14" i="6"/>
  <c r="E63" i="39" s="1"/>
  <c r="I4" i="6"/>
  <c r="G3" i="43" s="1"/>
  <c r="J26" i="43" s="1"/>
  <c r="E29" i="6"/>
  <c r="K15" i="1"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F26" i="43"/>
  <c r="E26" i="43"/>
  <c r="A1" i="79"/>
  <c r="H55" i="43"/>
  <c r="G55" i="43" s="1"/>
  <c r="H86" i="43"/>
  <c r="H87" i="43"/>
  <c r="N370"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D9" i="69"/>
  <c r="G1" i="73"/>
  <c r="C16" i="67"/>
  <c r="C36" i="69"/>
  <c r="L48" i="67"/>
  <c r="C16" i="15"/>
  <c r="E30" i="3" l="1"/>
  <c r="E558" i="3"/>
  <c r="E480" i="3"/>
  <c r="E166" i="3"/>
  <c r="AG6" i="3"/>
  <c r="E334" i="3"/>
  <c r="E444" i="3"/>
  <c r="E397" i="3"/>
  <c r="G26" i="43"/>
  <c r="N94" i="46"/>
  <c r="S7" i="82"/>
  <c r="AA7" i="82"/>
  <c r="R48" i="82" s="1"/>
  <c r="AC7" i="82"/>
  <c r="V48" i="82" s="1"/>
  <c r="I48" i="82" s="1"/>
  <c r="W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I52" i="82" l="1"/>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E50" i="43" l="1"/>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L18" i="9"/>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C17" i="15"/>
  <c r="C34" i="69"/>
  <c r="D10" i="69"/>
  <c r="C14" i="67"/>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V2" i="43" s="1"/>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3" i="43" l="1"/>
  <c r="C6" i="69"/>
  <c r="E37" i="43"/>
  <c r="C34" i="43"/>
  <c r="E34" i="43" s="1"/>
  <c r="E42" i="43"/>
  <c r="G42" i="43"/>
  <c r="I42" i="43" s="1"/>
  <c r="C7" i="69"/>
  <c r="G39" i="43"/>
  <c r="I39" i="43" s="1"/>
  <c r="E39" i="43"/>
  <c r="E40" i="43"/>
  <c r="C30" i="43" s="1"/>
  <c r="G40" i="43"/>
  <c r="I40"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5" i="69"/>
  <c r="C23" i="69" s="1"/>
  <c r="B2"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B6" i="76"/>
  <c r="E6" i="76"/>
  <c r="C20" i="69" l="1"/>
  <c r="C28" i="69" s="1"/>
  <c r="C27" i="69" s="1"/>
  <c r="E2" i="76"/>
  <c r="B2" i="76"/>
  <c r="B3" i="76" s="1"/>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D19" i="9"/>
  <c r="C19" i="9"/>
  <c r="L51" i="15"/>
  <c r="D2" i="37"/>
  <c r="D2" i="34"/>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0" i="1"/>
  <c r="AO6" i="1"/>
  <c r="D35" i="9"/>
  <c r="C20" i="9"/>
  <c r="AO11" i="1"/>
  <c r="D34" i="9"/>
  <c r="D20" i="9"/>
  <c r="AO9" i="1"/>
  <c r="AO7" i="1"/>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<sst xmlns="http://schemas.openxmlformats.org/spreadsheetml/2006/main" count="8275" uniqueCount="3473">
  <si>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</si>
  <si>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</si>
  <si>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</si>
  <si>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</si>
  <si>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</si>
  <si>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</si>
  <si>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</si>
  <si>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</si>
  <si>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</si>
  <si>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</si>
  <si>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</si>
  <si>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</si>
  <si>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</si>
  <si>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</si>
  <si>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</si>
  <si>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</si>
  <si>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</si>
  <si>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</si>
  <si>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</si>
  <si>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</si>
  <si>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</si>
  <si>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</si>
  <si>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</si>
  <si>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</si>
  <si>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</si>
  <si>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</si>
  <si>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</si>
  <si>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</si>
  <si>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</si>
  <si>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</si>
  <si>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</si>
  <si>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</si>
  <si>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</si>
  <si>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</si>
  <si>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</si>
  <si>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</si>
  <si>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</si>
  <si>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</si>
  <si>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</si>
  <si>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</si>
  <si>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</si>
  <si>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</si>
  <si>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</si>
  <si>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</si>
  <si>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</si>
  <si>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</si>
  <si>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</si>
  <si>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</si>
  <si>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</si>
  <si>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</si>
  <si>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</si>
  <si>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</si>
  <si>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</si>
  <si>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</si>
  <si>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</si>
  <si>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</si>
  <si>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</si>
  <si>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</si>
  <si>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</si>
  <si>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</si>
  <si>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</si>
  <si>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</si>
  <si>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</si>
  <si>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</si>
  <si>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</si>
  <si>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</si>
  <si>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</si>
  <si>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</si>
  <si>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</si>
  <si>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</si>
  <si>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</si>
  <si>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</si>
  <si>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</si>
  <si>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</si>
  <si>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</si>
  <si>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</si>
  <si>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</si>
  <si>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</si>
  <si>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</si>
  <si>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</si>
  <si>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</si>
  <si>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</si>
  <si>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</si>
  <si>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</si>
  <si>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</si>
  <si>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</si>
  <si>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</si>
  <si>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</si>
  <si>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</si>
  <si>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</si>
  <si>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</si>
  <si>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</si>
  <si>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</si>
  <si>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</si>
  <si>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</si>
  <si>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</si>
  <si>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</si>
  <si>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</si>
  <si>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</si>
  <si>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</si>
  <si>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</si>
  <si>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</si>
  <si>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</si>
  <si>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</si>
  <si>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</si>
  <si>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</si>
  <si>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</si>
  <si>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</si>
  <si>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</si>
  <si>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</si>
  <si>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</si>
  <si>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</si>
  <si>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</si>
  <si>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</si>
  <si>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</si>
  <si>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</si>
  <si>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</si>
  <si>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</si>
  <si>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</si>
  <si>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</si>
  <si>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</si>
  <si>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</si>
  <si>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</si>
  <si>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</si>
  <si>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</si>
  <si>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</si>
  <si>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</si>
  <si>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</si>
  <si>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</si>
  <si>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</si>
  <si>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</si>
  <si>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</si>
  <si>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</si>
  <si>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</si>
  <si>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</si>
  <si>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</si>
  <si>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</si>
  <si>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</si>
  <si>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</si>
  <si>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</si>
  <si>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</si>
  <si>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</si>
  <si>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</si>
  <si>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</si>
  <si>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</si>
  <si>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</si>
  <si>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</si>
  <si>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</si>
  <si>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</si>
  <si>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</si>
  <si>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</si>
  <si>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</si>
  <si>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</si>
  <si>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</si>
  <si>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</si>
  <si>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</si>
  <si>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</si>
  <si>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</si>
  <si>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</si>
  <si>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</si>
  <si>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</si>
  <si>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</si>
  <si>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</si>
  <si>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</si>
  <si>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</si>
  <si>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</si>
  <si>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</si>
  <si>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</si>
  <si>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</si>
  <si>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</si>
  <si>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</si>
  <si>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</si>
  <si>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</si>
  <si>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</si>
  <si>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</si>
  <si>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</si>
  <si>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</si>
  <si>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</si>
  <si>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</si>
  <si>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</si>
  <si>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</si>
  <si>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</si>
  <si>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</si>
  <si>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</si>
  <si>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</si>
  <si>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</si>
  <si>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</si>
  <si>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</si>
  <si>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</si>
  <si>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</si>
  <si>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</si>
  <si>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</si>
  <si>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</si>
  <si>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</si>
  <si>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</si>
  <si>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</si>
  <si>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</si>
  <si>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</si>
  <si>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</si>
  <si>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</si>
  <si>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</si>
  <si>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</si>
  <si>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</si>
  <si>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</si>
  <si>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</si>
  <si>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</si>
  <si>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</si>
  <si>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</si>
  <si>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</si>
  <si>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</si>
  <si>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</si>
  <si>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</si>
  <si>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</si>
  <si>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</si>
  <si>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</si>
  <si>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</si>
  <si>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</si>
  <si>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</si>
  <si>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</si>
  <si>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</si>
  <si>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</si>
  <si>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</si>
  <si>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</si>
  <si>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</si>
  <si>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</si>
  <si>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</si>
  <si>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</si>
  <si>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</si>
  <si>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</si>
  <si>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</si>
  <si>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</si>
  <si>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</si>
  <si>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</si>
  <si>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</si>
  <si>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</si>
  <si>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</si>
  <si>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</si>
  <si>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</si>
  <si>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</si>
  <si>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</si>
  <si>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</si>
  <si>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</si>
  <si>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</si>
  <si>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</si>
  <si>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</si>
  <si>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</si>
  <si>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</si>
  <si>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</si>
  <si>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</si>
  <si>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</si>
  <si>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</si>
  <si>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</si>
  <si>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</si>
  <si>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</si>
  <si>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</si>
  <si>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</si>
  <si>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</si>
  <si>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</si>
  <si>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</si>
  <si>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</si>
  <si>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</si>
  <si>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</si>
  <si>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</si>
  <si>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</si>
  <si>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</si>
  <si>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</si>
  <si>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</si>
  <si>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</si>
  <si>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</si>
  <si>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</si>
  <si>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</si>
  <si>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</si>
  <si>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</si>
  <si>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</si>
  <si>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</si>
  <si>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</si>
  <si>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</si>
  <si>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</si>
  <si>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</si>
  <si>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</si>
  <si>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</si>
  <si>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</si>
  <si>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</si>
  <si>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</si>
  <si>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</si>
  <si>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</si>
  <si>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</si>
  <si>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</si>
  <si>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</si>
  <si>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</si>
  <si>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</si>
  <si>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</si>
  <si>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</si>
  <si>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</si>
  <si>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</si>
  <si>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</si>
  <si>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</si>
  <si>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</si>
  <si>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</si>
  <si>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</si>
  <si>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</si>
  <si>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</si>
  <si>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</si>
  <si>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</si>
  <si>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</si>
  <si>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</si>
  <si>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</si>
  <si>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</si>
  <si>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</si>
  <si>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</si>
  <si>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</si>
  <si>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</si>
  <si>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</si>
  <si>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</si>
  <si>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</si>
  <si>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</si>
  <si>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</si>
  <si>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</si>
  <si>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</si>
  <si>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</si>
  <si>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</si>
  <si>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</si>
  <si>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</si>
  <si>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</si>
  <si>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</si>
  <si>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</si>
  <si>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</si>
  <si>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</si>
  <si>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</si>
  <si>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</si>
  <si>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</si>
  <si>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</si>
  <si>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</si>
  <si>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</si>
  <si>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</si>
  <si>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</si>
  <si>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</si>
  <si>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</si>
  <si>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</si>
  <si>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</si>
  <si>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</si>
  <si>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</si>
  <si>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</si>
  <si>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</si>
  <si>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</si>
  <si>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</si>
  <si>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</si>
  <si>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</si>
  <si>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</si>
  <si>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</si>
  <si>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</si>
  <si>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</si>
  <si>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</si>
  <si>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</si>
  <si>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</si>
  <si>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</si>
  <si>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</si>
  <si>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</si>
  <si>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</si>
  <si>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</si>
  <si>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</si>
  <si>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</si>
  <si>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</si>
  <si>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</si>
  <si>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</si>
  <si>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</si>
  <si>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</si>
  <si>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</si>
  <si>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</si>
  <si>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</si>
  <si>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</si>
  <si>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</si>
  <si>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</si>
  <si>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</si>
  <si>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</si>
  <si>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</si>
  <si>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</si>
  <si>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</si>
  <si>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</si>
  <si>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</si>
  <si>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</si>
  <si>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</si>
  <si>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</si>
  <si>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</si>
  <si>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</si>
  <si>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</si>
  <si>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</si>
  <si>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</si>
  <si>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</si>
  <si>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</si>
  <si>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</si>
  <si>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</si>
  <si>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</si>
  <si>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</si>
  <si>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</si>
  <si>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</si>
  <si>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</si>
  <si>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</si>
  <si>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</si>
  <si>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</si>
  <si>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</si>
  <si>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</si>
  <si>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</si>
  <si>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</si>
  <si>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</si>
  <si>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</si>
  <si>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</si>
  <si>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</si>
  <si>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</si>
  <si>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</si>
  <si>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</si>
  <si>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</si>
  <si>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</si>
  <si>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</si>
  <si>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</si>
  <si>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</si>
  <si>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</si>
  <si>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</si>
  <si>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</si>
  <si>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</si>
  <si>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</si>
  <si>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</si>
  <si>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</si>
  <si>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</si>
  <si>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</si>
  <si>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</si>
  <si>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</si>
  <si>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</si>
  <si>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</si>
  <si>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</si>
  <si>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</si>
  <si>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</si>
  <si>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</si>
  <si>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</si>
  <si>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</si>
  <si>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</si>
  <si>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</si>
  <si>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</si>
  <si>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</si>
  <si>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</si>
  <si>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</si>
  <si>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</si>
  <si>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</si>
  <si>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</si>
  <si>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</si>
  <si>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</si>
  <si>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</si>
  <si>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</si>
  <si>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</si>
  <si>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</si>
  <si>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</si>
  <si>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</si>
  <si>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</si>
  <si>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</si>
  <si>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</si>
  <si>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</si>
  <si>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</si>
  <si>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</si>
  <si>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</si>
  <si>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</si>
  <si>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</si>
  <si>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</si>
  <si>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</si>
  <si>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</si>
  <si>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</si>
  <si>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</si>
  <si>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</si>
  <si>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</si>
  <si>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</si>
  <si>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</si>
  <si>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</si>
  <si>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</si>
  <si>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</si>
  <si>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</si>
  <si>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</si>
  <si>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</si>
  <si>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</si>
  <si>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</si>
  <si>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</si>
  <si>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</si>
  <si>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</si>
  <si>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</si>
  <si>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</si>
  <si>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</si>
  <si>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</si>
  <si>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</si>
  <si>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</si>
  <si>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</si>
  <si>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</si>
  <si>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</si>
  <si>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</si>
  <si>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</si>
  <si>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</si>
  <si>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</si>
  <si>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</si>
  <si>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</si>
  <si>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</si>
  <si>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</si>
  <si>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</si>
  <si>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</si>
  <si>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</si>
  <si>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</si>
  <si>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</si>
  <si>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</si>
  <si>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</si>
  <si>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</si>
  <si>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</si>
  <si>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</si>
  <si>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</si>
  <si>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</si>
  <si>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</si>
  <si>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</si>
  <si>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</si>
  <si>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</si>
  <si>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</si>
  <si>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</si>
  <si>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</si>
  <si>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</si>
  <si>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</si>
  <si>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</si>
  <si>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</si>
  <si>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</si>
  <si>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</si>
  <si>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</si>
  <si>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</si>
  <si>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</si>
  <si>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</si>
  <si>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</si>
  <si>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</si>
  <si>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</si>
  <si>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</si>
  <si>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</si>
  <si>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</si>
  <si>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</si>
  <si>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</si>
  <si>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</si>
  <si>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</si>
  <si>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</si>
  <si>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</si>
  <si>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</si>
  <si>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</si>
  <si>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</si>
  <si>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</si>
  <si>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</si>
  <si>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</si>
  <si>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</si>
  <si>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</si>
  <si>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</si>
  <si>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</si>
  <si>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</si>
  <si>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</si>
  <si>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</si>
  <si>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</si>
  <si>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</si>
  <si>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</si>
  <si>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</si>
  <si>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</si>
  <si>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</si>
  <si>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</si>
  <si>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</si>
  <si>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</si>
  <si>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</si>
  <si>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</si>
  <si>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</si>
  <si>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</si>
  <si>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</si>
  <si>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</si>
  <si>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</si>
  <si>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</si>
  <si>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</si>
  <si>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</si>
  <si>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</si>
  <si>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</si>
  <si>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</si>
  <si>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</si>
  <si>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</si>
  <si>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</si>
  <si>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</si>
  <si>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</si>
  <si>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</si>
  <si>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</si>
  <si>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</si>
  <si>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</si>
  <si>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</si>
  <si>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</si>
  <si>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</si>
  <si>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</si>
  <si>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</si>
  <si>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</si>
  <si>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</si>
  <si>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</si>
  <si>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</si>
  <si>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</si>
  <si>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</si>
  <si>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</si>
  <si>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</si>
  <si>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</si>
  <si>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</si>
  <si>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</si>
  <si>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</si>
  <si>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</si>
  <si>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</si>
  <si>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</si>
  <si>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</si>
  <si>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</si>
  <si>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</si>
  <si>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</si>
  <si>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</si>
  <si>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</si>
  <si>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</si>
  <si>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</si>
  <si>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</si>
  <si>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</si>
  <si>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</si>
  <si>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</si>
  <si>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</si>
  <si>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</si>
  <si>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</si>
  <si>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</si>
  <si>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</si>
  <si>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</si>
  <si>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</si>
  <si>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</si>
  <si>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</si>
  <si>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</si>
  <si>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</si>
  <si>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</si>
  <si>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</si>
  <si>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</si>
  <si>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</si>
  <si>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</si>
  <si>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</si>
  <si>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</si>
  <si>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</si>
  <si>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</si>
  <si>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</si>
  <si>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</si>
  <si>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</si>
  <si>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</si>
  <si>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</si>
  <si>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</si>
  <si>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</si>
  <si>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</si>
  <si>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</si>
  <si>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</si>
  <si>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</si>
  <si>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</si>
  <si>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</si>
  <si>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</si>
  <si>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</si>
  <si>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</si>
  <si>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</si>
  <si>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</si>
  <si>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</si>
  <si>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</si>
  <si>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</si>
  <si>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</si>
  <si>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</si>
  <si>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</si>
  <si>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</si>
  <si>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</si>
  <si>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</si>
  <si>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</si>
  <si>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</si>
  <si>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</si>
  <si>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</si>
  <si>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</si>
  <si>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</si>
  <si>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</si>
  <si>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</si>
  <si>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</si>
  <si>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</si>
  <si>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</si>
  <si>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</si>
  <si>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</si>
  <si>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</si>
  <si>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</si>
  <si>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</si>
  <si>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</si>
  <si>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</si>
  <si>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</si>
  <si>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</si>
  <si>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</si>
  <si>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</si>
  <si>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</si>
  <si>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</si>
  <si>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</si>
  <si>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</si>
  <si>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</si>
  <si>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</si>
  <si>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</si>
  <si>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</si>
  <si>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</si>
  <si>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</si>
  <si>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</si>
  <si>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</si>
  <si>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</si>
  <si>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</si>
  <si>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</si>
  <si>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</si>
  <si>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</si>
  <si>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</si>
  <si>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</si>
  <si>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</si>
  <si>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</si>
  <si>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</si>
  <si>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</si>
  <si>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</si>
  <si>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</si>
  <si>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</si>
  <si>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</si>
  <si>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</si>
  <si>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</si>
  <si>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</si>
  <si>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</si>
  <si>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</si>
  <si>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</si>
  <si>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</si>
  <si>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</si>
  <si>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</si>
  <si>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</si>
  <si>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</si>
  <si>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</si>
  <si>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</si>
  <si>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</si>
  <si>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</si>
  <si>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</si>
  <si>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</si>
  <si>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</si>
  <si>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</si>
  <si>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</si>
  <si>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</si>
  <si>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</si>
  <si>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</si>
  <si>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</si>
  <si>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</si>
  <si>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</si>
  <si>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</si>
  <si>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</si>
  <si>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</si>
  <si>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</si>
  <si>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</si>
  <si>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</si>
  <si>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</si>
  <si>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</si>
  <si>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</si>
  <si>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</si>
  <si>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</si>
  <si>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</si>
  <si>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</si>
  <si>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</si>
  <si>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</si>
  <si>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</si>
  <si>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</si>
  <si>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</si>
  <si>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</si>
  <si>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</si>
  <si>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</si>
  <si>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</si>
  <si>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</si>
  <si>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</si>
  <si>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</si>
  <si>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</si>
  <si>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</si>
  <si>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</si>
  <si>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</si>
  <si>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</si>
  <si>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</si>
  <si>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</si>
  <si>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</si>
  <si>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</si>
  <si>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</si>
  <si>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</si>
  <si>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</si>
  <si>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</si>
  <si>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</si>
  <si>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</si>
  <si>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</si>
  <si>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</si>
  <si>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</si>
  <si>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</si>
  <si>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</si>
  <si>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</si>
  <si>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</si>
  <si>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</si>
  <si>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</si>
  <si>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</si>
  <si>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</si>
  <si>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</si>
  <si>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</si>
  <si>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</si>
  <si>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</si>
  <si>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</si>
  <si>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</si>
  <si>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</si>
  <si>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</si>
  <si>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</si>
  <si>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</si>
  <si>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</si>
  <si>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</si>
  <si>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</si>
  <si>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</si>
  <si>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</si>
  <si>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</si>
  <si>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</si>
  <si>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</si>
  <si>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</si>
  <si>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</si>
  <si>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</si>
  <si>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</si>
  <si>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</si>
  <si>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</si>
  <si>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</si>
  <si>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</si>
  <si>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</si>
  <si>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</si>
  <si>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</si>
  <si>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</si>
  <si>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</si>
  <si>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</si>
  <si>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</si>
  <si>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</si>
  <si>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</si>
  <si>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</si>
  <si>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</si>
  <si>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</si>
  <si>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</si>
  <si>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</si>
  <si>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</si>
  <si>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</si>
  <si>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</si>
  <si>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</si>
  <si>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</si>
  <si>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</si>
  <si>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</si>
  <si>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</si>
  <si>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</si>
  <si>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</si>
  <si>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</si>
  <si>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</si>
  <si>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</si>
  <si>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</si>
  <si>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</si>
  <si>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</si>
  <si>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</si>
  <si>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</si>
  <si>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</si>
  <si>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</si>
  <si>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</si>
  <si>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</si>
  <si>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</si>
  <si>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</si>
  <si>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</si>
  <si>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</si>
  <si>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</si>
  <si>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</si>
  <si>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</si>
  <si>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</si>
  <si>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</si>
  <si>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</si>
  <si>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</si>
  <si>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</si>
  <si>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</si>
  <si>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</si>
  <si>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</si>
  <si>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</si>
  <si>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</si>
  <si>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</si>
  <si>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</si>
  <si>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</si>
  <si>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</si>
  <si>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</si>
  <si>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</si>
  <si>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</si>
  <si>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</si>
  <si>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</si>
  <si>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</si>
  <si>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</si>
  <si>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</si>
  <si>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</si>
  <si>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</si>
  <si>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</si>
  <si>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</si>
  <si>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</si>
  <si>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</si>
  <si>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</si>
  <si>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</si>
  <si>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</si>
  <si>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</si>
  <si>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</si>
  <si>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</si>
  <si>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</si>
  <si>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</si>
  <si>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</si>
  <si>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</si>
  <si>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</si>
  <si>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</si>
  <si>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</si>
  <si>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</si>
  <si>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</si>
  <si>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</si>
  <si>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</si>
  <si>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</si>
  <si>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</si>
  <si>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</si>
  <si>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</si>
  <si>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</si>
  <si>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</si>
  <si>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</si>
  <si>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</si>
  <si>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</si>
  <si>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</si>
  <si>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</si>
  <si>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</si>
  <si>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</si>
  <si>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</si>
  <si>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</si>
  <si>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</si>
  <si>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</si>
  <si>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</si>
  <si>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</si>
  <si>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</si>
  <si>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</si>
  <si>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</si>
  <si>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</si>
  <si>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</si>
  <si>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</si>
  <si>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</si>
  <si>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</si>
  <si>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</si>
  <si>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</si>
  <si>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</si>
  <si>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</si>
  <si>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</si>
  <si>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</si>
  <si>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</si>
  <si>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</si>
  <si>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</si>
  <si>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</si>
  <si>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</si>
  <si>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</si>
  <si>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</si>
  <si>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</si>
  <si>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</si>
  <si>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</si>
  <si>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</si>
  <si>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</si>
  <si>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</si>
  <si>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</si>
  <si>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</si>
  <si>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</si>
  <si>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</si>
  <si>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</si>
  <si>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</si>
  <si>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</si>
  <si>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</si>
  <si>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</si>
  <si>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</si>
  <si>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</si>
  <si>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</si>
  <si>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</si>
  <si>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</si>
  <si>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</si>
  <si>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</si>
  <si>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</si>
  <si>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</si>
  <si>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</si>
  <si>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</si>
  <si>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</si>
  <si>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</si>
  <si>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</si>
  <si>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</si>
  <si>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</si>
  <si>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</si>
  <si>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</si>
  <si>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</si>
  <si>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</si>
  <si>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</si>
  <si>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</si>
  <si>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</si>
  <si>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</si>
  <si>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</si>
  <si>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</si>
  <si>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</si>
  <si>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</si>
  <si>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</si>
  <si>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</si>
  <si>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</si>
  <si>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</si>
  <si>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</si>
  <si>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</si>
  <si>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</si>
  <si>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</si>
  <si>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</si>
  <si>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</si>
  <si>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</si>
  <si>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</si>
  <si>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</si>
  <si>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</si>
  <si>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</si>
  <si>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</si>
  <si>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</si>
  <si>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</si>
  <si>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</si>
  <si>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</si>
  <si>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</si>
  <si>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</si>
  <si>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</si>
  <si>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</si>
  <si>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</si>
  <si>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</si>
  <si>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</si>
  <si>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</si>
  <si>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</si>
  <si>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</si>
  <si>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</si>
  <si>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</si>
  <si>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</si>
  <si>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</si>
  <si>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</si>
  <si>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</si>
  <si>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</si>
  <si>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</si>
  <si>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</si>
  <si>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</si>
  <si>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</si>
  <si>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</si>
  <si>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</si>
  <si>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</si>
  <si>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</si>
  <si>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</si>
  <si>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</si>
  <si>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</si>
  <si>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</si>
  <si>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</si>
  <si>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</si>
  <si>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</si>
  <si>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</si>
  <si>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</si>
  <si>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</si>
  <si>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</si>
  <si>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</si>
  <si>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</si>
  <si>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</si>
  <si>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</si>
  <si>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</si>
  <si>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</si>
  <si>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</si>
  <si>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</si>
  <si>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</si>
  <si>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</si>
  <si>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</si>
  <si>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</si>
  <si>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</si>
  <si>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</si>
  <si>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</si>
  <si>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</si>
  <si>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</si>
  <si>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</si>
  <si>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</si>
  <si>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</si>
  <si>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</si>
  <si>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</si>
  <si>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</si>
  <si>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</si>
  <si>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</si>
  <si>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</si>
  <si>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</si>
  <si>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</si>
  <si>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</si>
  <si>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</si>
  <si>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</si>
  <si>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</si>
  <si>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</si>
  <si>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</si>
  <si>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</si>
  <si>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</si>
  <si>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</si>
  <si>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</si>
  <si>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</si>
  <si>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</si>
  <si>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</si>
  <si>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</si>
  <si>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</si>
  <si>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</si>
  <si>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</si>
  <si>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</si>
  <si>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</si>
  <si>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</si>
  <si>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</si>
  <si>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</si>
  <si>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</si>
  <si>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</si>
  <si>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</si>
  <si>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</si>
  <si>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</si>
  <si>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</si>
  <si>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</si>
  <si>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</si>
  <si>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</si>
  <si>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</si>
  <si>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</si>
  <si>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</si>
  <si>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</si>
  <si>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</si>
  <si>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</si>
  <si>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</si>
  <si>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</si>
  <si>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</si>
  <si>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</si>
  <si>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</si>
  <si>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</si>
  <si>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</si>
  <si>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</si>
  <si>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</si>
  <si>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</si>
  <si>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</si>
  <si>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</si>
  <si>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</si>
  <si>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</si>
  <si>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</si>
  <si>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</si>
  <si>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</si>
  <si>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</si>
  <si>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</si>
  <si>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</si>
  <si>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</si>
  <si>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</si>
  <si>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</si>
  <si>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</si>
  <si>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</si>
  <si>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</si>
  <si>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</si>
  <si>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</si>
  <si>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</si>
  <si>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</si>
  <si>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</si>
  <si>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</si>
  <si>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</si>
  <si>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</si>
  <si>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</si>
  <si>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</si>
  <si>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</si>
  <si>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</si>
  <si>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</si>
  <si>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</si>
  <si>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</si>
  <si>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</si>
  <si>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</si>
  <si>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</si>
  <si>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</si>
  <si>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</si>
  <si>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</si>
  <si>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</si>
  <si>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</si>
  <si>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</si>
  <si>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</si>
  <si>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</si>
  <si>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</si>
  <si>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</si>
  <si>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</si>
  <si>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</si>
  <si>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</si>
  <si>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</si>
  <si>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</si>
  <si>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</si>
  <si>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</si>
  <si>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</si>
  <si>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</si>
  <si>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</si>
  <si>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</si>
  <si>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</si>
  <si>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</si>
  <si>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</si>
  <si>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</si>
  <si>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</si>
  <si>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</si>
  <si>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</si>
  <si>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</si>
  <si>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</si>
  <si>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</si>
  <si>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</si>
  <si>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</si>
  <si>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</si>
  <si>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</si>
  <si>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</si>
  <si>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</si>
  <si>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</si>
  <si>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</si>
  <si>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</si>
  <si>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</si>
  <si>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</si>
  <si>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</si>
  <si>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</si>
  <si>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</si>
  <si>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</si>
  <si>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</si>
  <si>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</si>
  <si>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</si>
  <si>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</si>
  <si>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</si>
  <si>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</si>
  <si>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</si>
  <si>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</si>
  <si>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</si>
  <si>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</si>
  <si>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</si>
  <si>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</si>
  <si>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</si>
  <si>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</si>
  <si>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</si>
  <si>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</si>
  <si>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</si>
  <si>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</si>
  <si>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</si>
  <si>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</si>
  <si>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</si>
  <si>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</si>
  <si>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</si>
  <si>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</si>
  <si>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</si>
  <si>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</si>
  <si>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</si>
  <si>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</si>
  <si>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</si>
  <si>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</si>
  <si>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</si>
  <si>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</si>
  <si>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</si>
  <si>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</si>
  <si>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</si>
  <si>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</si>
  <si>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</si>
  <si>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</si>
  <si>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</si>
  <si>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</si>
  <si>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</si>
  <si>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</si>
  <si>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</si>
  <si>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</si>
  <si>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</si>
  <si>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</si>
  <si>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</si>
  <si>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</si>
  <si>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</si>
  <si>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</si>
  <si>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</si>
  <si>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</si>
  <si>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</si>
  <si>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</si>
  <si>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</si>
  <si>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</si>
  <si>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</si>
  <si>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</si>
  <si>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</si>
  <si>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</si>
  <si>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</si>
  <si>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</si>
  <si>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</si>
  <si>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</si>
  <si>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</si>
  <si>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</si>
  <si>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</si>
  <si>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</si>
  <si>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</si>
  <si>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</si>
  <si>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</si>
  <si>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</si>
  <si>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</si>
  <si>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</si>
  <si>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</si>
  <si>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</si>
  <si>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</si>
  <si>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</si>
  <si>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</si>
  <si>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</si>
  <si>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</si>
  <si>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</si>
  <si>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</si>
  <si>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</si>
  <si>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</si>
  <si>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</si>
  <si>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</si>
  <si>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</si>
  <si>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</si>
  <si>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</si>
  <si>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</si>
  <si>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</si>
  <si>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</si>
  <si>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</si>
  <si>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</si>
  <si>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</si>
  <si>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</si>
  <si>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</si>
  <si>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</si>
  <si>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</si>
  <si>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</si>
  <si>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</si>
  <si>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</si>
  <si>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</si>
  <si>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</si>
  <si>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</si>
  <si>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</si>
  <si>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</si>
  <si>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</si>
  <si>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</si>
  <si>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</si>
  <si>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</si>
  <si>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</si>
  <si>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</si>
  <si>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</si>
  <si>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</si>
  <si>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</si>
  <si>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</si>
  <si>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</si>
  <si>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</si>
  <si>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</si>
  <si>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</si>
  <si>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</si>
  <si>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</si>
  <si>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</si>
  <si>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</si>
  <si>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</si>
  <si>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</si>
  <si>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</si>
  <si>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</si>
  <si>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</si>
  <si>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</si>
  <si>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</si>
  <si>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</si>
  <si>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</si>
  <si>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</si>
  <si>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</si>
  <si>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</si>
  <si>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</si>
  <si>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</si>
  <si>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</si>
  <si>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</si>
  <si>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</si>
  <si>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</si>
  <si>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</si>
  <si>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</si>
  <si>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</si>
  <si>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</si>
  <si>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</si>
  <si>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</si>
  <si>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</si>
  <si>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</si>
  <si>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</si>
  <si>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</si>
  <si>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</si>
  <si>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</si>
  <si>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</si>
  <si>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</si>
  <si>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</si>
  <si>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</si>
  <si>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</si>
  <si>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</si>
  <si>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</si>
  <si>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</si>
  <si>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</si>
  <si>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</si>
  <si>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</si>
  <si>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</si>
  <si>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</si>
  <si>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</si>
  <si>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</si>
  <si>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</si>
  <si>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</si>
  <si>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</si>
  <si>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</si>
  <si>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</si>
  <si>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</si>
  <si>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</si>
  <si>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</si>
  <si>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</si>
  <si>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</si>
  <si>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</si>
  <si>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</si>
  <si>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</si>
  <si>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</si>
  <si>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</si>
  <si>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</si>
  <si>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</si>
  <si>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</si>
  <si>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</si>
  <si>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</si>
  <si>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</si>
  <si>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</si>
  <si>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</si>
  <si>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</si>
  <si>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</si>
  <si>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</si>
  <si>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</si>
  <si>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</si>
  <si>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</si>
  <si>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</si>
  <si>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</si>
  <si>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</si>
  <si>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</si>
  <si>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</si>
  <si>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</si>
  <si>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</si>
  <si>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</si>
  <si>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</si>
  <si>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</si>
  <si>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</si>
  <si>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</si>
  <si>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</si>
  <si>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</si>
  <si>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</si>
  <si>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</si>
  <si>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</si>
  <si>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</si>
  <si>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</si>
  <si>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</si>
  <si>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</si>
  <si>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</si>
  <si>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</si>
  <si>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</si>
  <si>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</si>
  <si>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</si>
  <si>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</si>
  <si>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</si>
  <si>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</si>
  <si>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</si>
  <si>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</si>
  <si>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</si>
  <si>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</si>
  <si>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</si>
  <si>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</si>
  <si>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</si>
  <si>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</si>
  <si>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</si>
  <si>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</si>
  <si>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</si>
  <si>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</si>
  <si>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</si>
  <si>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</si>
  <si>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</si>
  <si>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</si>
  <si>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</si>
  <si>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</si>
  <si>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</si>
  <si>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</si>
  <si>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</si>
  <si>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</si>
  <si>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</si>
  <si>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</si>
  <si>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</si>
  <si>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</si>
  <si>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</si>
  <si>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</si>
  <si>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</si>
  <si>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</si>
  <si>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</si>
  <si>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</si>
  <si>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</si>
  <si>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</si>
  <si>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</si>
  <si>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</si>
  <si>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</si>
  <si>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</si>
  <si>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</si>
  <si>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</si>
  <si>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</si>
  <si>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</si>
  <si>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</si>
  <si>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</si>
  <si>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</si>
  <si>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</si>
  <si>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</si>
  <si>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</si>
  <si>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</si>
  <si>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</si>
  <si>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</si>
  <si>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</si>
  <si>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</si>
  <si>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</si>
  <si>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</si>
  <si>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</si>
  <si>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</si>
  <si>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</si>
  <si>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</si>
  <si>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</si>
  <si>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</si>
  <si>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</si>
  <si>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</si>
  <si>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</si>
  <si>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</si>
  <si>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</si>
  <si>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</si>
  <si>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</si>
  <si>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</si>
  <si>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</si>
  <si>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</si>
  <si>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</si>
  <si>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</si>
  <si>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</si>
  <si>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</si>
  <si>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</si>
  <si>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</si>
  <si>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</si>
  <si>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</si>
  <si>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</si>
  <si>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</si>
  <si>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</si>
  <si>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</si>
  <si>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</si>
  <si>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</si>
  <si>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</si>
  <si>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</si>
  <si>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</si>
  <si>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</si>
  <si>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</si>
  <si>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</si>
  <si>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</si>
  <si>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</si>
  <si>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</si>
  <si>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</si>
  <si>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</si>
  <si>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</si>
  <si>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</si>
  <si>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</si>
  <si>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</si>
  <si>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</si>
  <si>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</si>
  <si>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</si>
  <si>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</si>
  <si>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</si>
  <si>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</si>
  <si>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</si>
  <si>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</si>
  <si>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</si>
  <si>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</si>
  <si>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</si>
  <si>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</si>
  <si>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</si>
  <si>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</si>
  <si>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</si>
  <si>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</si>
  <si>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</si>
  <si>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</si>
  <si>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</si>
  <si>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</si>
  <si>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</si>
  <si>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</si>
  <si>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</si>
  <si>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</si>
  <si>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</si>
  <si>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</si>
  <si>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</si>
  <si>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</si>
  <si>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</si>
  <si>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</si>
  <si>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</si>
  <si>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</si>
  <si>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</si>
  <si>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</si>
  <si>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</si>
  <si>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</si>
  <si>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</si>
  <si>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</si>
  <si>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</si>
  <si>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</si>
  <si>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</si>
  <si>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</si>
  <si>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</si>
  <si>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</si>
  <si>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</si>
  <si>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</si>
  <si>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</si>
  <si>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</si>
  <si>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</si>
  <si>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</si>
  <si>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</si>
  <si>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</si>
  <si>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</si>
  <si>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</si>
  <si>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</si>
  <si>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</si>
  <si>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</si>
  <si>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</si>
  <si>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</si>
  <si>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</si>
  <si>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</si>
  <si>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</si>
  <si>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</si>
  <si>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</si>
  <si>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</si>
  <si>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</si>
  <si>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</si>
  <si>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</si>
  <si>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</si>
  <si>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</si>
  <si>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</si>
  <si>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</si>
  <si>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</si>
  <si>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</si>
  <si>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</si>
  <si>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</si>
  <si>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</si>
  <si>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</si>
  <si>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</si>
  <si>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</si>
  <si>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</si>
  <si>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</si>
  <si>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</si>
  <si>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</si>
  <si>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</si>
  <si>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</si>
  <si>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</si>
  <si>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</si>
  <si>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</si>
  <si>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</si>
  <si>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</si>
  <si>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</si>
  <si>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</si>
  <si>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</si>
  <si>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</si>
  <si>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</si>
  <si>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</si>
  <si>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</si>
  <si>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</si>
  <si>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</si>
  <si>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</si>
  <si>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</si>
  <si>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</si>
  <si>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</si>
  <si>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</si>
  <si>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</si>
  <si>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</si>
  <si>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</si>
  <si>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</si>
  <si>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</si>
  <si>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</si>
  <si>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</si>
  <si>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</si>
  <si>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</si>
  <si>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</si>
  <si>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</si>
  <si>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</si>
  <si>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</si>
  <si>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</si>
  <si>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</si>
  <si>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</si>
  <si>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</si>
  <si>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</si>
  <si>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</si>
  <si>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</si>
  <si>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</si>
  <si>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</si>
  <si>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</si>
  <si>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</si>
  <si>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</si>
  <si>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</si>
  <si>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</si>
  <si>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</si>
  <si>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</si>
  <si>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</si>
  <si>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</si>
  <si>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</si>
  <si>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</si>
  <si>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</si>
  <si>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</si>
  <si>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</si>
  <si>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</si>
  <si>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</si>
  <si>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</si>
  <si>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</si>
  <si>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</si>
  <si>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</si>
  <si>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</si>
  <si>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</si>
  <si>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</si>
  <si>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</si>
  <si>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</si>
  <si>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</si>
  <si>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</si>
  <si>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</si>
  <si>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</si>
  <si>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</si>
  <si>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</si>
  <si>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</si>
  <si>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</si>
  <si>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</si>
  <si>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</si>
  <si>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</si>
  <si>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</si>
  <si>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</si>
  <si>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</si>
  <si>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</si>
  <si>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</si>
  <si>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</si>
  <si>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</si>
  <si>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</si>
  <si>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</si>
  <si>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</si>
  <si>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</si>
  <si>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</si>
  <si>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</si>
  <si>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</si>
  <si>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</si>
  <si>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</si>
  <si>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</si>
  <si>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</si>
  <si>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</si>
  <si>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</si>
  <si>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</si>
  <si>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</si>
  <si>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</si>
  <si>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</si>
  <si>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</si>
  <si>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</si>
  <si>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</si>
  <si>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</si>
  <si>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</si>
  <si>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</si>
  <si>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</si>
  <si>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</si>
  <si>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</si>
  <si>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</si>
  <si>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</si>
  <si>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</si>
  <si>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</si>
  <si>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</si>
  <si>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</si>
  <si>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</si>
  <si>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</si>
  <si>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</si>
  <si>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</si>
  <si>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</si>
  <si>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</si>
  <si>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</si>
  <si>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</si>
  <si>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</si>
  <si>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</si>
  <si>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</si>
  <si>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</si>
  <si>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</si>
  <si>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</si>
  <si>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</si>
  <si>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</si>
  <si>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</si>
  <si>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</si>
  <si>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</si>
  <si>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</si>
  <si>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</si>
  <si>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</si>
  <si>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</si>
  <si>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</si>
  <si>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</si>
  <si>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</si>
  <si>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</si>
  <si>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</si>
  <si>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</si>
  <si>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</si>
  <si>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</si>
  <si>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</si>
  <si>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</si>
  <si>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</si>
  <si>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</si>
  <si>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</si>
  <si>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</si>
  <si>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</si>
  <si>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</si>
  <si>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</si>
  <si>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</si>
  <si>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</si>
  <si>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</si>
  <si>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</si>
  <si>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</si>
  <si>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</si>
  <si>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</si>
  <si>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</si>
  <si>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</si>
  <si>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</si>
  <si>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</si>
  <si>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</si>
  <si>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</si>
  <si>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</si>
  <si>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</si>
  <si>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</si>
  <si>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</si>
  <si>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</si>
  <si>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</si>
  <si>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</si>
  <si>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</si>
  <si>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</si>
  <si>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</si>
  <si>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</si>
  <si>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</si>
  <si>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</si>
  <si>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</si>
  <si>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</si>
  <si>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</si>
  <si>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</si>
  <si>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</si>
  <si>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</si>
  <si>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</si>
  <si>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</si>
  <si>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</si>
  <si>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</si>
  <si>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</si>
  <si>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</si>
  <si>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</si>
  <si>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</si>
  <si>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</si>
  <si>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</si>
  <si>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</si>
  <si>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</si>
  <si>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</si>
  <si>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</si>
  <si>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</si>
  <si>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</si>
  <si>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</si>
  <si>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</si>
  <si>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</si>
  <si>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</si>
  <si>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</si>
  <si>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</si>
  <si>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</si>
  <si>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</si>
  <si>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</si>
  <si>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</si>
  <si>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</si>
  <si>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</si>
  <si>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</si>
  <si>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</si>
  <si>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</si>
  <si>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</si>
  <si>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</si>
  <si>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</si>
  <si>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</si>
  <si>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</si>
  <si>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</si>
  <si>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</si>
  <si>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</si>
  <si>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</si>
  <si>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</si>
  <si>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</si>
  <si>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</si>
  <si>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</si>
  <si>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</si>
  <si>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</si>
  <si>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</si>
  <si>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</si>
  <si>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</si>
  <si>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</si>
  <si>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</si>
  <si>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</si>
  <si>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</si>
  <si>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</si>
  <si>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</si>
  <si>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</si>
  <si>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</si>
  <si>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</si>
  <si>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</si>
  <si>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</si>
  <si>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</si>
  <si>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</si>
  <si>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</si>
  <si>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</si>
  <si>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</si>
  <si>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</si>
  <si>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</si>
  <si>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</si>
  <si>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</si>
  <si>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</si>
  <si>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</si>
  <si>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</si>
  <si>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</si>
  <si>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</si>
  <si>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</si>
  <si>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</si>
  <si>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</si>
  <si>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</si>
  <si>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</si>
  <si>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</si>
  <si>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</si>
  <si>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</si>
  <si>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</si>
  <si>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</si>
  <si>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</si>
  <si>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</si>
  <si>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</si>
  <si>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</si>
  <si>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</si>
  <si>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</si>
  <si>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</si>
  <si>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</si>
  <si>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</si>
  <si>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</si>
  <si>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</si>
  <si>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</si>
  <si>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</si>
  <si>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</si>
  <si>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</si>
  <si>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</si>
  <si>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</si>
  <si>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</si>
  <si>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</si>
  <si>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</si>
  <si>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</si>
  <si>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</si>
  <si>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</si>
  <si>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</si>
  <si>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</si>
  <si>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</si>
  <si>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</si>
  <si>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</si>
  <si>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</si>
  <si>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</si>
  <si>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</si>
  <si>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</si>
  <si>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</si>
  <si>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</si>
  <si>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</si>
  <si>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</si>
  <si>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</si>
  <si>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</si>
  <si>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</si>
  <si>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</si>
  <si>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</si>
  <si>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</si>
  <si>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</si>
  <si>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</si>
  <si>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</si>
  <si>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</si>
  <si>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</si>
  <si>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</si>
  <si>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</si>
  <si>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</si>
  <si>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</si>
  <si>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</si>
  <si>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</si>
  <si>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</si>
  <si>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</si>
  <si>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</si>
  <si>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</si>
  <si>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</si>
  <si>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</si>
  <si>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</si>
  <si>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</si>
  <si>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</si>
  <si>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</si>
  <si>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</si>
  <si>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</si>
  <si>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</si>
  <si>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</si>
  <si>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</si>
  <si>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</si>
  <si>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</si>
  <si>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</si>
  <si>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</si>
  <si>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</si>
  <si>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</si>
  <si>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</si>
  <si>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</si>
  <si>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</si>
  <si>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</si>
  <si>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</si>
  <si>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</si>
  <si>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</si>
  <si>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</si>
  <si>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</si>
  <si>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</si>
  <si>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</si>
  <si>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</si>
  <si>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</si>
  <si>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</si>
  <si>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</si>
  <si>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</si>
  <si>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</si>
  <si>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</si>
  <si>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</si>
  <si>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</si>
  <si>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</si>
  <si>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</si>
  <si>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</si>
  <si>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</si>
  <si>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</si>
  <si>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</si>
  <si>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</si>
  <si>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</si>
  <si>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</si>
  <si>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</si>
  <si>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</si>
  <si>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</si>
  <si>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</si>
  <si>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</si>
  <si>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</si>
  <si>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</si>
  <si>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</si>
  <si>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</si>
  <si>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</si>
  <si>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</si>
  <si>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</si>
  <si>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</si>
  <si>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</si>
  <si>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</si>
  <si>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</si>
  <si>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</si>
  <si>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</si>
  <si>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</si>
  <si>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</si>
  <si>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</si>
  <si>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</si>
  <si>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</si>
  <si>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</si>
  <si>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</si>
  <si>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</si>
  <si>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</si>
  <si>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</si>
  <si>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</si>
  <si>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</si>
  <si>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</si>
  <si>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</si>
  <si>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</si>
  <si>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</si>
  <si>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</si>
  <si>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</si>
  <si>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</si>
  <si>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</si>
  <si>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</si>
  <si>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</si>
  <si>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</si>
  <si>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</si>
  <si>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</si>
  <si>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</si>
  <si>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</si>
  <si>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</si>
  <si>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</si>
  <si>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</si>
  <si>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</si>
  <si>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</si>
  <si>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</si>
  <si>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</si>
  <si>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</si>
  <si>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</si>
  <si>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</si>
  <si>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</si>
  <si>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</si>
  <si>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</si>
  <si>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</si>
  <si>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</si>
  <si>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</si>
  <si>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</si>
  <si>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</si>
  <si>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</si>
  <si>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</si>
  <si>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</si>
  <si>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</si>
  <si>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</si>
  <si>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</si>
  <si>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</si>
  <si>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</si>
  <si>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</si>
  <si>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</si>
  <si>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</si>
  <si>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</si>
  <si>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</si>
  <si>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</si>
  <si>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</si>
  <si>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</si>
  <si>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</si>
  <si>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</si>
  <si>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</si>
  <si>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</si>
  <si>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</si>
  <si>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</si>
  <si>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</si>
  <si>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</si>
  <si>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</si>
  <si>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</si>
  <si>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</si>
  <si>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</si>
  <si>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</si>
  <si>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</si>
  <si>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</si>
  <si>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</si>
  <si>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</si>
  <si>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</si>
  <si>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</si>
  <si>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</si>
  <si>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</si>
  <si>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</si>
  <si>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</si>
  <si>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</si>
  <si>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</si>
  <si>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</si>
  <si>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</si>
  <si>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</si>
  <si>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</si>
  <si>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</si>
  <si>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</si>
  <si>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</si>
  <si>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</si>
  <si>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</si>
  <si>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</si>
  <si>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</si>
  <si>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</si>
  <si>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</si>
  <si>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</si>
  <si>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</si>
  <si>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</si>
  <si>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</si>
  <si>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</si>
  <si>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</si>
  <si>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</si>
  <si>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</si>
  <si>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</si>
  <si>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</si>
  <si>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</si>
  <si>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</si>
  <si>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</si>
  <si>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</si>
  <si>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</si>
  <si>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</si>
  <si>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</si>
  <si>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</si>
  <si>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</si>
  <si>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</si>
  <si>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</si>
  <si>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</si>
  <si>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</si>
  <si>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</si>
  <si>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</si>
  <si>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</si>
  <si>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</si>
  <si>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</si>
  <si>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</si>
  <si>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</si>
  <si>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</si>
  <si>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</si>
  <si>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</si>
  <si>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</si>
  <si>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</si>
  <si>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</si>
  <si>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</si>
  <si>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</si>
  <si>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</si>
  <si>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</si>
  <si>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</si>
  <si>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</si>
  <si>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</si>
  <si>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</si>
  <si>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</si>
  <si>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</si>
  <si>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</si>
  <si>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</si>
  <si>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</si>
  <si>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</si>
  <si>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</si>
  <si>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</si>
  <si>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</si>
  <si>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</si>
  <si>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</si>
  <si>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</si>
  <si>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</si>
  <si>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</si>
  <si>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</si>
  <si>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</si>
  <si>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</si>
  <si>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</si>
  <si>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</si>
  <si>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</si>
  <si>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</si>
  <si>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</si>
  <si>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</si>
  <si>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</si>
  <si>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</si>
  <si>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</si>
  <si>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</si>
  <si>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</si>
  <si>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</si>
  <si>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</si>
  <si>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</si>
  <si>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</si>
  <si>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</si>
  <si>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</si>
  <si>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</si>
  <si>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</si>
  <si>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</si>
  <si>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</si>
  <si>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</si>
  <si>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</si>
  <si>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</si>
  <si>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</si>
  <si>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</si>
  <si>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</si>
  <si>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</si>
  <si>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</si>
  <si>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</si>
  <si>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</si>
  <si>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</si>
  <si>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</si>
  <si>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</si>
  <si>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</si>
  <si>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</si>
  <si>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</si>
  <si>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</si>
  <si>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</si>
  <si>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</si>
  <si>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</si>
  <si>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</si>
  <si>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</si>
  <si>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</si>
  <si>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</si>
  <si>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</si>
  <si>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</si>
  <si>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</si>
  <si>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</si>
  <si>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</si>
  <si>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</si>
  <si>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</si>
  <si>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</si>
  <si>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</si>
  <si>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</si>
  <si>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</si>
  <si>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</si>
  <si>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</si>
  <si>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</si>
  <si>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</si>
  <si>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</si>
  <si>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</si>
  <si>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</si>
  <si>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</si>
  <si>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</si>
  <si>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</si>
  <si>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</si>
  <si>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</si>
  <si>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</si>
  <si>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</si>
  <si>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</si>
  <si>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</si>
  <si>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</si>
  <si>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</si>
  <si>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</si>
  <si>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</si>
  <si>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</si>
  <si>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</si>
  <si>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</si>
  <si>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</si>
  <si>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</si>
  <si>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</si>
  <si>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</si>
  <si>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</si>
  <si>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</si>
  <si>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</si>
  <si>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</si>
  <si>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</si>
  <si>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</si>
  <si>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</si>
  <si>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</si>
  <si>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</si>
  <si>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</si>
  <si>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</si>
  <si>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</si>
  <si>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</si>
  <si>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</si>
  <si>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</si>
  <si>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</si>
  <si>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</si>
  <si>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</si>
  <si>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</si>
  <si>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</si>
  <si>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</si>
  <si>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</si>
  <si>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</si>
  <si>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</si>
  <si>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</si>
  <si>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</si>
  <si>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</si>
  <si>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</si>
  <si>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</si>
  <si>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</si>
  <si>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</si>
  <si>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</si>
  <si>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</si>
  <si>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</si>
  <si>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</si>
  <si>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</si>
  <si>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</si>
  <si>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</si>
  <si>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</si>
  <si>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</si>
  <si>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</si>
  <si>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</si>
  <si>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</si>
  <si>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</si>
  <si>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</si>
  <si>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</si>
  <si>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</si>
  <si>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</si>
  <si>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</si>
  <si>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</si>
  <si>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</si>
  <si>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</si>
  <si>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</si>
  <si>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</si>
  <si>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</si>
  <si>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</si>
  <si>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</si>
  <si>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</si>
  <si>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</si>
  <si>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</si>
  <si>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</si>
  <si>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</si>
  <si>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</si>
  <si>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</si>
  <si>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</si>
  <si>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</si>
  <si>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</si>
  <si>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</si>
  <si>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</si>
  <si>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</si>
  <si>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</si>
  <si>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</si>
  <si>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</si>
  <si>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</si>
  <si>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</si>
  <si>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</si>
  <si>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</si>
  <si>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</si>
  <si>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</si>
  <si>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</si>
  <si>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</si>
  <si>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</si>
  <si>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</si>
  <si>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</si>
  <si>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</si>
  <si>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</si>
  <si>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</si>
  <si>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</si>
  <si>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</si>
  <si>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</si>
  <si>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</si>
  <si>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</si>
  <si>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</si>
  <si>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</si>
  <si>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</si>
  <si>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</si>
  <si>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</si>
  <si>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</si>
  <si>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</si>
  <si>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</si>
  <si>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</si>
  <si>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</si>
  <si>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</si>
  <si>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</si>
  <si>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</si>
  <si>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</si>
  <si>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</si>
  <si>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</si>
  <si>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</si>
  <si>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</si>
  <si>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</si>
  <si>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</si>
  <si>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</si>
  <si>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</si>
  <si>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</si>
  <si>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</si>
  <si>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</si>
  <si>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</si>
  <si>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</si>
  <si>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</si>
  <si>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</si>
  <si>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</si>
  <si>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</si>
  <si>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</si>
  <si>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</si>
  <si>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</si>
  <si>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</si>
  <si>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</si>
  <si>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</si>
  <si>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</si>
  <si>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</si>
  <si>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</si>
  <si>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</si>
  <si>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</si>
  <si>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</si>
  <si>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</si>
  <si>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</si>
  <si>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</si>
  <si>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</si>
  <si>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</si>
  <si>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</si>
  <si>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</si>
  <si>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</si>
  <si>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</si>
  <si>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</si>
  <si>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</si>
  <si>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</si>
  <si>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</si>
  <si>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</si>
  <si>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</si>
  <si>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</si>
  <si>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</si>
  <si>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</si>
  <si>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</si>
  <si>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</si>
  <si>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</si>
  <si>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</si>
  <si>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</si>
  <si>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</si>
  <si>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</si>
  <si>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</si>
  <si>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</si>
  <si>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</si>
  <si>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</si>
  <si>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</si>
  <si>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</si>
  <si>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</si>
  <si>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</si>
  <si>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</si>
  <si>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</si>
  <si>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</si>
  <si>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</si>
  <si>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</si>
  <si>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</si>
  <si>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</si>
  <si>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</si>
  <si>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</si>
  <si>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</si>
  <si>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</si>
  <si>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</si>
  <si>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</si>
  <si>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</si>
  <si>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</si>
  <si>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</si>
  <si>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</si>
  <si>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</si>
  <si>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</si>
  <si>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</si>
  <si>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</si>
  <si>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</si>
  <si>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</si>
  <si>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</si>
  <si>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</si>
  <si>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</si>
  <si>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</si>
  <si>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</si>
  <si>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</si>
  <si>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</si>
  <si>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</si>
  <si>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</si>
  <si>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</si>
  <si>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</si>
  <si>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</si>
  <si>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</si>
  <si>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</si>
  <si>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</si>
  <si>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</si>
  <si>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</si>
  <si>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</si>
  <si>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</si>
  <si>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</si>
  <si>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</si>
  <si>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</si>
  <si>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</si>
  <si>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</si>
  <si>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</si>
  <si>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</si>
  <si>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</si>
  <si>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</si>
  <si>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</si>
  <si>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</si>
  <si>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</si>
  <si>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</si>
  <si>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</si>
  <si>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</si>
  <si>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</si>
  <si>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</si>
  <si>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</si>
  <si>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</si>
  <si>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</si>
  <si>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</si>
  <si>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</si>
  <si>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</si>
  <si>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</si>
  <si>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</si>
  <si>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</si>
  <si>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</si>
  <si>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</si>
  <si>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</si>
  <si>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</si>
  <si>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</si>
  <si>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</si>
  <si>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</si>
  <si>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</si>
  <si>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</si>
  <si>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</si>
  <si>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</si>
  <si>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</si>
  <si>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</si>
  <si>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</si>
  <si>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</si>
  <si>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</si>
  <si>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</si>
  <si>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</si>
  <si>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</si>
  <si>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</si>
  <si>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</si>
  <si>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</si>
  <si>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</si>
  <si>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</si>
  <si>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</si>
  <si>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</si>
  <si>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</si>
  <si>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</si>
  <si>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</si>
  <si>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</si>
  <si>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</si>
  <si>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</si>
  <si>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</si>
  <si>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</si>
  <si>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</si>
  <si>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</si>
  <si>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</si>
  <si>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</si>
  <si>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</si>
  <si>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</si>
  <si>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</si>
  <si>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</si>
  <si>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</si>
  <si>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</si>
  <si>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</si>
  <si>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</si>
  <si>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</si>
  <si>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</si>
  <si>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</si>
  <si>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</si>
  <si>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</si>
  <si>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</si>
  <si>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</si>
  <si>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</si>
  <si>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</si>
  <si>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</si>
  <si>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</si>
  <si>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</si>
  <si>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</si>
  <si>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</si>
  <si>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</si>
  <si>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</si>
  <si>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</si>
  <si>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</si>
  <si>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</si>
  <si>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</si>
  <si>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</si>
  <si>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</si>
  <si>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</si>
  <si>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</si>
  <si>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</si>
  <si>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</si>
  <si>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</si>
  <si>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</si>
  <si>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</si>
  <si>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</si>
  <si>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</si>
  <si>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</si>
  <si>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</si>
  <si>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</si>
  <si>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</si>
  <si>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</si>
  <si>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</si>
  <si>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</si>
  <si>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</si>
  <si>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</si>
  <si>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</si>
  <si>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</si>
  <si>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</si>
  <si>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</si>
  <si>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</si>
  <si>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</si>
  <si>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</si>
  <si>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</si>
  <si>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</si>
  <si>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</si>
  <si>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</si>
  <si>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</si>
  <si>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</si>
  <si>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</si>
  <si>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</si>
  <si>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</si>
  <si>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</si>
  <si>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</si>
  <si>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</si>
  <si>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</si>
  <si>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</si>
  <si>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</si>
  <si>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</si>
  <si>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</si>
  <si>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</si>
  <si>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</si>
  <si>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</si>
  <si>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</si>
  <si>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</si>
  <si>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</si>
  <si>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</si>
  <si>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</si>
  <si>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</si>
  <si>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</si>
  <si>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</si>
  <si>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</si>
  <si>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</si>
  <si>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</si>
  <si>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</si>
  <si>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</si>
  <si>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</si>
  <si>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</si>
  <si>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</si>
  <si>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</si>
  <si>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</si>
  <si>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</si>
  <si>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</si>
  <si>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</si>
  <si>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</si>
  <si>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</si>
  <si>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</si>
  <si>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</si>
  <si>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</si>
  <si>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</si>
  <si>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</si>
  <si>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</si>
  <si>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</si>
  <si>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</si>
  <si>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</si>
  <si>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</si>
  <si>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</si>
  <si>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</si>
  <si>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</si>
  <si>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</si>
  <si>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</si>
  <si>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</si>
  <si>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</si>
  <si>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</si>
  <si>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</si>
  <si>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</si>
  <si>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</si>
  <si>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</si>
  <si>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</si>
  <si>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</si>
  <si>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</si>
  <si>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</si>
  <si>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</si>
  <si>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</si>
  <si>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</si>
  <si>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</si>
  <si>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</si>
  <si>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</si>
  <si>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</si>
  <si>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</si>
  <si>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</si>
  <si>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</si>
  <si>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</si>
  <si>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</si>
  <si>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</si>
  <si>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</si>
  <si>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</si>
  <si>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</si>
  <si>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</si>
  <si>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</si>
  <si>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</si>
  <si>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</si>
  <si>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</si>
  <si>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</si>
  <si>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</si>
  <si>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</si>
  <si>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</si>
  <si>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</si>
  <si>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</si>
  <si>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</si>
  <si>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</si>
  <si>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</si>
  <si>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</si>
  <si>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</si>
  <si>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</si>
  <si>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</si>
  <si>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</si>
  <si>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</si>
  <si>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</si>
  <si>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</si>
  <si>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</si>
  <si>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</si>
  <si>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</si>
  <si>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</si>
  <si>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</si>
  <si>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</si>
  <si>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</si>
  <si>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</si>
  <si>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</si>
  <si>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</si>
  <si>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</si>
  <si>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</si>
  <si>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</si>
  <si>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</si>
  <si>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</si>
  <si>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</si>
  <si>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</si>
  <si>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</si>
  <si>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</si>
  <si>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</si>
  <si>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</si>
  <si>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</si>
  <si>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</si>
  <si>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</si>
  <si>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</si>
  <si>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</si>
  <si>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</si>
  <si>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</si>
  <si>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</si>
  <si>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</si>
  <si>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</si>
  <si>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</si>
  <si>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</si>
  <si>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</si>
  <si>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</si>
  <si>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</si>
  <si>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</si>
  <si>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</si>
  <si>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</si>
  <si>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</si>
  <si>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</si>
  <si>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</si>
  <si>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</si>
  <si>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</si>
  <si>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</si>
  <si>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</si>
  <si>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</si>
  <si>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</si>
  <si>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</si>
  <si>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</si>
  <si>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</si>
  <si>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</si>
  <si>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</si>
  <si>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</si>
  <si>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</si>
  <si>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</si>
  <si>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</si>
  <si>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</si>
  <si>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</si>
  <si>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</si>
  <si>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</si>
  <si>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</si>
  <si>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</si>
  <si>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</si>
  <si>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</si>
  <si>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</si>
  <si>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</si>
  <si>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</si>
  <si>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</si>
  <si>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</si>
  <si>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</si>
  <si>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</si>
  <si>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</si>
  <si>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</si>
  <si>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</si>
  <si>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</si>
  <si>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</si>
  <si>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</si>
  <si>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</si>
  <si>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</si>
  <si>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</si>
  <si>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</si>
  <si>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</si>
  <si>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</si>
  <si>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</si>
  <si>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</si>
  <si>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</si>
  <si>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</si>
  <si>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</si>
  <si>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</si>
  <si>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</si>
  <si>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</si>
  <si>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</si>
  <si>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</si>
  <si>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</si>
  <si>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</si>
  <si>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</si>
  <si>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</si>
  <si>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</si>
  <si>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</si>
  <si>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</si>
  <si>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</si>
  <si>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</si>
  <si>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</si>
  <si>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</si>
  <si>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</si>
  <si>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</si>
  <si>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</si>
  <si>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</si>
  <si>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</si>
  <si>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</si>
  <si>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</si>
  <si>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</si>
  <si>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</si>
  <si>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</si>
  <si>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</si>
  <si>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</si>
  <si>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</si>
  <si>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</si>
  <si>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</si>
  <si>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</si>
  <si>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</si>
  <si>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</si>
  <si>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</si>
  <si>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</si>
  <si>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</si>
  <si>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</si>
  <si>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</si>
  <si>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</si>
  <si>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</si>
  <si>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</si>
  <si>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</si>
  <si>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</si>
  <si>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</si>
  <si>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</si>
  <si>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</si>
  <si>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</si>
  <si>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</si>
  <si>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</si>
  <si>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</si>
  <si>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</si>
  <si>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</si>
  <si>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</si>
  <si>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</si>
  <si>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</si>
  <si>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</si>
  <si>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</si>
  <si>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</si>
  <si>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</si>
  <si>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</si>
  <si>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</si>
  <si>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</si>
  <si>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</si>
  <si>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</si>
  <si>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</si>
  <si>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</si>
  <si>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</si>
  <si>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</si>
  <si>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</si>
  <si>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</si>
  <si>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</si>
  <si>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</si>
  <si>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</si>
  <si>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</si>
  <si>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</si>
  <si>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</si>
  <si>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</si>
  <si>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</si>
  <si>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</si>
  <si>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</si>
  <si>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</si>
  <si>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</si>
  <si>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</si>
  <si>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</si>
  <si>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</si>
  <si>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</si>
  <si>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</si>
  <si>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</si>
  <si>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</si>
  <si>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</si>
  <si>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</si>
  <si>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</si>
  <si>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</si>
  <si>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</si>
  <si>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</si>
  <si>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</si>
  <si>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</si>
  <si>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</si>
  <si>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</si>
  <si>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</si>
  <si>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</si>
  <si>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</si>
  <si>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</si>
  <si>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</si>
  <si>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</si>
  <si>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</si>
  <si>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</si>
  <si>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</si>
  <si>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</si>
  <si>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</si>
  <si>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</si>
  <si>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</si>
  <si>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</si>
  <si>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</si>
  <si>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</si>
  <si>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</si>
  <si>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</si>
  <si>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</si>
  <si>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</si>
  <si>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</si>
  <si>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</si>
  <si>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</si>
  <si>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</si>
  <si>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</si>
  <si>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</si>
  <si>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</si>
  <si>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</si>
  <si>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</si>
  <si>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</si>
  <si>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</si>
  <si>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</si>
  <si>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</si>
  <si>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</si>
  <si>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</si>
  <si>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</si>
  <si>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</si>
  <si>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</si>
  <si>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</si>
  <si>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</si>
  <si>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</si>
  <si>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</si>
  <si>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</si>
  <si>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</si>
  <si>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</si>
  <si>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</si>
  <si>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</si>
  <si>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</si>
  <si>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</si>
  <si>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</si>
  <si>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</si>
  <si>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</si>
  <si>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</si>
  <si>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</si>
  <si>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</si>
  <si>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</si>
  <si>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</si>
  <si>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</si>
  <si>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</si>
  <si>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</si>
  <si>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</si>
  <si>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</si>
  <si>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</si>
  <si>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</si>
  <si>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</si>
  <si>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</si>
  <si>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</si>
  <si>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</si>
  <si>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</si>
  <si>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</si>
  <si>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</si>
  <si>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</si>
  <si>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</si>
  <si>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</si>
  <si>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</si>
  <si>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</si>
  <si>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</si>
  <si>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</si>
  <si>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</si>
  <si>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</si>
  <si>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</si>
  <si>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</si>
  <si>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</si>
  <si>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</si>
  <si>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</si>
  <si>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</si>
  <si>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</si>
  <si>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</si>
  <si>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</si>
  <si>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</si>
  <si>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</si>
  <si>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</si>
  <si>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</si>
  <si>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</si>
  <si>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</si>
  <si>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</si>
  <si>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</si>
  <si>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</si>
  <si>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</si>
  <si>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</si>
  <si>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</si>
  <si>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</si>
  <si>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</si>
  <si>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</si>
  <si>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</si>
  <si>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</si>
  <si>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</si>
  <si>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</si>
  <si>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</si>
  <si>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</si>
  <si>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</si>
  <si>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</si>
  <si>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</si>
  <si>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</si>
  <si>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</si>
  <si>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</si>
  <si>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</si>
  <si>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</si>
  <si>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</si>
  <si>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</si>
  <si>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</si>
  <si>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</si>
  <si>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</si>
  <si>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</si>
  <si>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</si>
  <si>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</si>
  <si>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</si>
  <si>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</si>
  <si>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</si>
  <si>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</si>
  <si>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</si>
  <si>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</si>
  <si>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</si>
  <si>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</si>
  <si>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</si>
  <si>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</si>
  <si>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</si>
  <si>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</si>
  <si>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</si>
  <si>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</si>
  <si>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</si>
  <si>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</si>
  <si>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</si>
  <si>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</si>
  <si>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</si>
  <si>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</si>
  <si>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</si>
  <si>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</si>
  <si>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</si>
  <si>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</si>
  <si>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</si>
  <si>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</si>
  <si>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</si>
  <si>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</si>
  <si>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</si>
  <si>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</si>
  <si>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</si>
  <si>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</si>
  <si>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</si>
  <si>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</si>
  <si>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</si>
  <si>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</si>
  <si>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</si>
  <si>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</si>
  <si>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</si>
  <si>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</si>
  <si>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</si>
  <si>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</si>
  <si>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</si>
  <si>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</si>
  <si>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</si>
  <si>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</si>
  <si>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</si>
  <si>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</si>
  <si>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</si>
  <si>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</si>
  <si>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</si>
  <si>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</si>
  <si>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</si>
  <si>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</si>
  <si>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</si>
  <si>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</si>
  <si>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</si>
  <si>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</si>
  <si>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</si>
  <si>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</si>
  <si>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</si>
  <si>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</si>
  <si>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</si>
  <si>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</si>
  <si>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</si>
  <si>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</si>
  <si>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</si>
  <si>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</si>
  <si>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</si>
  <si>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</si>
  <si>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</si>
  <si>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</si>
  <si>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</si>
  <si>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</si>
  <si>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</si>
  <si>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</si>
  <si>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</si>
  <si>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</si>
  <si>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</si>
  <si>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</si>
  <si>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</si>
  <si>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</si>
  <si>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</si>
  <si>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</si>
  <si>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</si>
  <si>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</si>
  <si>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</si>
  <si>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</si>
  <si>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</si>
  <si>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</si>
  <si>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</si>
  <si>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</si>
  <si>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</si>
  <si>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</si>
  <si>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</si>
  <si>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</si>
  <si>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</si>
  <si>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</si>
  <si>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</si>
  <si>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</si>
  <si>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</si>
  <si>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</si>
  <si>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</si>
  <si>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</si>
  <si>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</si>
  <si>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</si>
  <si>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</si>
  <si>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</si>
  <si>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</si>
  <si>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</si>
  <si>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</si>
  <si>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</si>
  <si>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</si>
  <si>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</si>
  <si>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</si>
  <si>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</si>
  <si>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</si>
  <si>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</si>
  <si>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</si>
  <si>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</si>
  <si>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</si>
  <si>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</si>
  <si>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</si>
  <si>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</si>
  <si>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</si>
  <si>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</si>
  <si>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</si>
  <si>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</si>
  <si>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</si>
  <si>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</si>
  <si>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</si>
  <si>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</si>
  <si>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</si>
  <si>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</si>
  <si>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</si>
  <si>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</si>
  <si>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</si>
  <si>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</si>
  <si>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</si>
  <si>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</si>
  <si>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</si>
  <si>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</si>
  <si>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</si>
  <si>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</si>
  <si>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</si>
  <si>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</si>
  <si>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</si>
  <si>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</si>
  <si>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</si>
  <si>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</si>
  <si>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</si>
  <si>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</si>
  <si>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</si>
  <si>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</si>
  <si>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</si>
  <si>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</si>
  <si>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</si>
  <si>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</si>
  <si>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</si>
  <si>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</si>
  <si>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</si>
  <si>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</si>
  <si>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</si>
  <si>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</si>
  <si>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</si>
  <si>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</si>
  <si>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</si>
  <si>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</si>
  <si>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</si>
  <si>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</si>
  <si>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</si>
  <si>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</si>
  <si>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</si>
  <si>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</si>
  <si>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</si>
  <si>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</si>
  <si>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</si>
  <si>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</si>
  <si>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</si>
  <si>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</si>
  <si>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</si>
  <si>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</si>
  <si>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</si>
  <si>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</si>
  <si>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</si>
  <si>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</si>
  <si>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</si>
  <si>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</si>
  <si>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</si>
  <si>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</si>
  <si>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</si>
  <si>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</si>
  <si>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</si>
  <si>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</si>
  <si>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</si>
  <si>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</si>
  <si>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</si>
  <si>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</si>
  <si>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</si>
  <si>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</si>
  <si>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</si>
  <si>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</si>
  <si>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</si>
  <si>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</si>
  <si>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</si>
  <si>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</si>
  <si>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</si>
  <si>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</si>
  <si>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</si>
  <si>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</si>
  <si>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</si>
  <si>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</si>
  <si>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</si>
  <si>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</si>
  <si>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</si>
  <si>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</si>
  <si>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</si>
  <si>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</si>
  <si>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</si>
  <si>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</si>
  <si>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</si>
  <si>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</si>
  <si>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</si>
  <si>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</si>
  <si>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</si>
  <si>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</si>
  <si>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</si>
  <si>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</si>
  <si>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</si>
  <si>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</si>
  <si>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</si>
  <si>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</si>
  <si>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</si>
  <si>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</si>
  <si>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</si>
  <si>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</si>
  <si>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</si>
  <si>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</si>
  <si>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</si>
  <si>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</si>
  <si>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</si>
  <si>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</si>
  <si>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</si>
  <si>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</si>
  <si>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</si>
  <si>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</si>
  <si>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</si>
  <si>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</si>
  <si>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</si>
  <si>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</si>
  <si>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</si>
  <si>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</si>
  <si>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</si>
  <si>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</si>
  <si>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</si>
  <si>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</si>
  <si>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</si>
  <si>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</si>
  <si>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</si>
  <si>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</si>
  <si>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</si>
  <si>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</si>
  <si>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</si>
  <si>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</si>
  <si>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</si>
  <si>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</si>
  <si>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</si>
  <si>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</si>
  <si>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</si>
  <si>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</si>
  <si>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</si>
  <si>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</si>
  <si>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</si>
  <si>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</si>
  <si>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</si>
  <si>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</si>
  <si>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</si>
  <si>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</si>
  <si>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</si>
  <si>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</si>
  <si>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</si>
  <si>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</si>
  <si>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</si>
  <si>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</si>
  <si>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</si>
  <si>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</si>
  <si>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</si>
  <si>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</si>
  <si>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</si>
  <si>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</si>
  <si>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</si>
  <si>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</si>
  <si>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</si>
  <si>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</si>
  <si>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</si>
  <si>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</si>
  <si>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</si>
  <si>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</si>
  <si>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</si>
  <si>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</si>
  <si>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</si>
  <si>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</si>
  <si>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</si>
  <si>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</si>
  <si>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</si>
  <si>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</si>
  <si>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</si>
  <si>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</si>
  <si>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</si>
  <si>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</si>
  <si>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</si>
  <si>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</si>
  <si>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</si>
  <si>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</si>
  <si>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</si>
  <si>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</si>
  <si>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</si>
  <si>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</si>
  <si>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</si>
  <si>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</si>
  <si>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</si>
  <si>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</si>
  <si>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</si>
  <si>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</si>
  <si>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</si>
  <si>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</si>
  <si>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</si>
  <si>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</si>
  <si>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</si>
  <si>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</si>
  <si>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</si>
  <si>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</si>
  <si>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</si>
  <si>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</si>
  <si>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</si>
  <si>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</si>
  <si>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</si>
  <si>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</si>
  <si>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</si>
  <si>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</si>
  <si>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</si>
  <si>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</si>
  <si>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</si>
  <si>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</si>
  <si>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</si>
  <si>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</si>
  <si>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</si>
  <si>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</si>
  <si>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</si>
  <si>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</si>
  <si>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</si>
  <si>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</si>
  <si>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</si>
  <si>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</si>
  <si>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</si>
  <si>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</si>
  <si>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</si>
  <si>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</si>
  <si>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</si>
  <si>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</si>
  <si>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</si>
  <si>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</si>
  <si>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</si>
  <si>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</si>
  <si>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</si>
  <si>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</si>
  <si>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</si>
  <si>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</si>
  <si>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</si>
  <si>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</si>
  <si>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</si>
  <si>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</si>
  <si>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</si>
  <si>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</si>
  <si>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</si>
  <si>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</si>
  <si>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</si>
  <si>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</si>
  <si>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</si>
  <si>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</si>
  <si>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</si>
  <si>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</si>
  <si>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</si>
  <si>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</si>
  <si>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</si>
  <si>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</si>
  <si>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</si>
  <si>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</si>
  <si>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</si>
  <si>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</si>
  <si>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</si>
  <si>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</si>
  <si>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</si>
  <si>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</si>
  <si>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</si>
  <si>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</si>
  <si>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</si>
  <si>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</si>
  <si>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</si>
  <si>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</si>
  <si>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</si>
  <si>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</si>
  <si>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</si>
  <si>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</si>
  <si>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</si>
  <si>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</si>
  <si>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</si>
  <si>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</si>
  <si>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</si>
  <si>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</si>
  <si>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</si>
  <si>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</si>
  <si>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</si>
  <si>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</si>
  <si>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</si>
  <si>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</si>
  <si>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</si>
  <si>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</si>
  <si>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</si>
  <si>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</si>
  <si>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</si>
  <si>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</si>
  <si>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</si>
  <si>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</si>
  <si>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</si>
  <si>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</si>
  <si>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</si>
  <si>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</si>
  <si>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</si>
  <si>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</si>
  <si>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</si>
  <si>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</si>
  <si>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</si>
  <si>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</si>
  <si>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</si>
  <si>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</si>
  <si>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</si>
  <si>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</si>
  <si>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</si>
  <si>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</si>
  <si>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</si>
  <si>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</si>
  <si>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</si>
  <si>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</si>
  <si>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</si>
  <si>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</si>
  <si>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</si>
  <si>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</si>
  <si>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</si>
  <si>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</si>
  <si>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</si>
  <si>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</si>
  <si>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</si>
  <si>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</si>
  <si>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</si>
  <si>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</si>
  <si>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</si>
  <si>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</si>
  <si>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</si>
  <si>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</si>
  <si>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</si>
  <si>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</si>
  <si>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</si>
  <si>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</si>
  <si>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</si>
  <si>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</si>
  <si>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</si>
  <si>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</si>
  <si>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r>
      <t>2-3</t>
    </r>
    <r>
      <rPr>
        <sz val="10"/>
        <color indexed="8"/>
        <rFont val="宋体"/>
        <family val="3"/>
        <charset val="134"/>
      </rPr>
      <t>层</t>
    </r>
    <phoneticPr fontId="4" type="noConversion"/>
  </si>
  <si>
    <t>2-3层商业</t>
  </si>
  <si>
    <t>2-3层商业</t>
    <phoneticPr fontId="8" type="noConversion"/>
  </si>
  <si>
    <t>容积率修正</t>
  </si>
  <si>
    <t>企业</t>
  </si>
  <si>
    <t>成本法 (元)</t>
  </si>
  <si>
    <t>丰台区青塔西路58号院22号楼3层301-306/203-205</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</si>
</sst>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北京市丰台区青塔西路58号院22号楼3层301-306/203-205房地产抵押价值预评估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受贵公司委托，我公司对北京市丰台区青塔西路58号院22号楼3层301-306/203-205房地产抵押价值进行了预评估。</v>
      </c>
    </row>
    <row r="7" spans="1:2" s="1203" customFormat="1">
      <c r="A7" s="1201" t="s">
        <v>566</v>
      </c>
      <c r="B7" s="1202" t="str">
        <f>'预评函-1'!A7</f>
        <v>估价对象为北京市丰台区青塔西路58号院22号楼3层301-306/203-205房地产，为所有。根据《国有土地使用证》[]，估价对象（分摊）出让国有建设用地使用权面积为0平方米，建筑面积为1288.08平方米。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青塔西路58号院22号楼3层301-306/203-205房地产,属开发建设的，该项目尚在开发建设中。根据《国有土地使用证》[]，估价对象（分摊）出让国有建设用地使用权面积为0平方米，规划建筑面积为1288.08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青塔西路58号院22号楼3层301-306/203-205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2023年12月19日（评估专业人员实地查勘之日）</v>
      </c>
    </row>
    <row r="13" spans="1:2" s="1203" customFormat="1">
      <c r="A13" s="1201" t="s">
        <v>529</v>
      </c>
      <c r="B13" s="1202" t="str">
        <f>'预评函-1'!A18</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2092</v>
      </c>
    </row>
    <row r="21" spans="1:2" s="1203" customFormat="1">
      <c r="A21" s="1201" t="s">
        <v>537</v>
      </c>
      <c r="B21" s="1202">
        <f ca="1">'预评函-2'!D7</f>
        <v>16238</v>
      </c>
    </row>
    <row r="22" spans="1:2" s="1203" customFormat="1">
      <c r="A22" s="1201" t="s">
        <v>538</v>
      </c>
      <c r="B22" s="1202" t="str">
        <f ca="1">'预评函-2'!D6</f>
        <v>贰仟零玖拾贰万元整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2092</v>
      </c>
    </row>
    <row r="31" spans="1:2" s="1203" customFormat="1">
      <c r="A31" s="1201" t="s">
        <v>576</v>
      </c>
      <c r="B31" s="1202">
        <f ca="1">'预评函-2'!D15</f>
        <v>16238</v>
      </c>
    </row>
    <row r="32" spans="1:2" s="1203" customFormat="1">
      <c r="A32" s="1201" t="s">
        <v>543</v>
      </c>
      <c r="B32" s="1202" t="str">
        <f ca="1">'预评函-2'!D14</f>
        <v>贰仟零玖拾贰万元整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北京市丰台区青塔西路58号院22号楼3层301-306/203-205房地产</v>
      </c>
    </row>
    <row r="42" spans="1:2" s="1203" customFormat="1">
      <c r="A42" s="1201" t="s">
        <v>590</v>
      </c>
      <c r="B42" s="1202" t="str">
        <f>'预评函-3'!B2</f>
        <v>建筑面积</v>
      </c>
    </row>
    <row r="43" spans="1:2" s="1203" customFormat="1">
      <c r="A43" s="1201" t="s">
        <v>591</v>
      </c>
      <c r="B43" s="1202">
        <f>'预评函-3'!B4</f>
        <v>1288.08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1393</v>
      </c>
    </row>
    <row r="48" spans="1:2" s="1203" customFormat="1">
      <c r="A48" s="1201" t="s">
        <v>549</v>
      </c>
      <c r="B48" s="1202">
        <f ca="1">'预评函-3'!E4</f>
        <v>10815</v>
      </c>
    </row>
    <row r="49" spans="1:2" s="1203" customFormat="1">
      <c r="A49" s="1201" t="s">
        <v>550</v>
      </c>
      <c r="B49" s="1202" t="str">
        <f ca="1">'预评函-3'!D5</f>
        <v>壹仟叁佰玖拾叁万元整</v>
      </c>
    </row>
    <row r="50" spans="1:2" s="1203" customFormat="1">
      <c r="A50" s="1201" t="s">
        <v>574</v>
      </c>
      <c r="B50" s="1202" t="str">
        <f>'预评函-3'!F2</f>
        <v>在建建筑物价值</v>
      </c>
    </row>
    <row r="51" spans="1:2" s="1203" customFormat="1">
      <c r="A51" s="1201" t="s">
        <v>551</v>
      </c>
      <c r="B51" s="1202">
        <f ca="1">'预评函-3'!F4</f>
        <v>699</v>
      </c>
    </row>
    <row r="52" spans="1:2" s="1203" customFormat="1">
      <c r="A52" s="1201" t="s">
        <v>552</v>
      </c>
      <c r="B52" s="1202">
        <f ca="1">'预评函-3'!G4</f>
        <v>5423</v>
      </c>
    </row>
    <row r="53" spans="1:2" s="1203" customFormat="1">
      <c r="A53" s="1201" t="s">
        <v>580</v>
      </c>
      <c r="B53" s="1202" t="str">
        <f ca="1">'预评函-3'!F5</f>
        <v>陆佰玖拾玖万元整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青塔西路58号院22号楼3层301-306/203-205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4" t="s">
        <v>2583</v>
      </c>
      <c r="J2" s="3514"/>
      <c r="K2" s="3514"/>
      <c r="L2" s="3514"/>
      <c r="M2" s="3514"/>
      <c r="N2" s="3514"/>
      <c r="O2" s="3514"/>
      <c r="P2" s="3514"/>
      <c r="Q2" s="3514"/>
      <c r="R2" s="3514"/>
    </row>
    <row r="3" spans="1:18">
      <c r="A3" s="3019" t="s">
        <v>2504</v>
      </c>
      <c r="B3" s="3020">
        <f>项目基本情况!D3</f>
        <v>45279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v>
      </c>
      <c r="D5" s="3024">
        <f>IF(ISERROR(ROUND(POWER(1+E5,A5-C5)*(POWER(1+E5,C5)-1)/(POWER(1+E5,A5)-1),3)),0,ROUND(POWER(1+E5,A5-C5)*(POWER(1+E5,C5)-1)/(POWER(1+E5,A5)-1),4))</f>
        <v>0.14019999999999999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13.01</v>
      </c>
      <c r="D6" s="3024">
        <f>IF(ISERROR(ROUND(POWER(1+E6,A6-C6)*(POWER(1+E6,C6)-1)/(POWER(1+E6,A6)-1),3)),0,ROUND(POWER(1+E6,A6-C6)*(POWER(1+E6,C6)-1)/(POWER(1+E6,A6)-1),4))</f>
        <v>0.46510000000000001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33.020000000000003</v>
      </c>
      <c r="D7" s="3024">
        <f>IF(ISERROR(ROUND(POWER(1+E7,A7-C7)*(POWER(1+E7,C7)-1)/(POWER(1+E7,A7)-1),3)),0,ROUND(POWER(1+E7,A7-C7)*(POWER(1+E7,C7)-1)/(POWER(1+E7,A7)-1),4))</f>
        <v>0.77600000000000002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sqref="D3"/>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2167</v>
      </c>
      <c r="B1" s="3523" t="str">
        <f>IF(B10="北京市","北京市",C10)&amp;F10&amp;IF(结果表!G1="在建","出让国有建设用地使用权及在建建筑物",IF(结果表!G1="土地","出让国有建设用地使用权",))&amp;B9&amp;"预评估"</f>
        <v>北京市丰台区青塔西路58号院22号楼3层301-306/203-205房地产抵押价值预评估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北京市丰台区青塔西路58号院22号楼3层301-306/203-205房地产抵押价值</v>
      </c>
      <c r="T1" s="1745"/>
      <c r="U1" s="1745"/>
      <c r="V1" s="1745"/>
      <c r="W1" s="1745"/>
      <c r="X1" s="1745"/>
      <c r="Y1" s="1745"/>
      <c r="Z1" s="1745"/>
      <c r="AA1" s="1745"/>
      <c r="AB1" s="1745"/>
    </row>
    <row r="2" spans="1:30">
      <c r="A2" s="2367" t="s">
        <v>2168</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北京市丰台区青塔西路58号院22号楼3层301-306/203-205房地产</v>
      </c>
      <c r="T2" s="1745"/>
      <c r="U2" s="1745"/>
      <c r="V2" s="1745"/>
      <c r="W2" s="1745"/>
      <c r="X2" s="1745"/>
      <c r="Y2" s="1745"/>
      <c r="Z2" s="1745"/>
      <c r="AA2" s="1745"/>
      <c r="AB2" s="1745"/>
    </row>
    <row r="3" spans="1:30">
      <c r="A3" s="302" t="s">
        <v>2169</v>
      </c>
      <c r="B3" s="2373">
        <v>45279</v>
      </c>
      <c r="C3" s="2374" t="s">
        <v>2170</v>
      </c>
      <c r="D3" s="2373">
        <f>B3</f>
        <v>45279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26"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27"/>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3471" t="s">
        <v>3472</v>
      </c>
      <c r="G10" s="2666"/>
      <c r="H10" s="2667"/>
      <c r="I10" s="2668"/>
      <c r="J10" s="2439"/>
      <c r="K10" s="2616"/>
      <c r="L10" s="2613"/>
      <c r="M10" s="2613"/>
      <c r="N10" s="2439"/>
      <c r="O10" s="2450"/>
      <c r="P10" s="2439"/>
      <c r="Q10" s="2439"/>
      <c r="R10" s="2439"/>
    </row>
    <row r="11" spans="1:30">
      <c r="A11" s="2401" t="s">
        <v>2180</v>
      </c>
      <c r="B11" s="2402" t="s">
        <v>3470</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2579</v>
      </c>
      <c r="J12" s="3061"/>
      <c r="K12" s="2613"/>
      <c r="L12" s="2613"/>
      <c r="M12" s="2439"/>
      <c r="N12" s="2450"/>
      <c r="O12" s="2439"/>
      <c r="P12" s="2439"/>
      <c r="Q12" s="2439"/>
      <c r="AD12" s="1745"/>
    </row>
    <row r="13" spans="1:30" ht="14.25">
      <c r="A13" s="3422" t="s">
        <v>3334</v>
      </c>
      <c r="B13" s="2407" t="s">
        <v>2189</v>
      </c>
      <c r="C13" s="856"/>
      <c r="D13" s="3472">
        <v>52727</v>
      </c>
      <c r="E13" s="856"/>
      <c r="F13" s="856"/>
      <c r="G13" s="856"/>
      <c r="H13" s="856"/>
      <c r="I13" s="856"/>
      <c r="J13" s="3061"/>
      <c r="K13" s="2613" t="s">
        <v>3446</v>
      </c>
      <c r="L13" s="2613"/>
      <c r="M13" s="2439"/>
      <c r="N13" s="2450"/>
      <c r="O13" s="2439"/>
      <c r="P13" s="2439"/>
      <c r="Q13" s="2439"/>
      <c r="AD13" s="1745"/>
    </row>
    <row r="14" spans="1:30">
      <c r="A14" s="1081"/>
      <c r="B14" s="2407" t="s">
        <v>2190</v>
      </c>
      <c r="C14" s="2408"/>
      <c r="D14" s="2408">
        <v>40</v>
      </c>
      <c r="E14" s="2408"/>
      <c r="F14" s="2408"/>
      <c r="G14" s="2408"/>
      <c r="H14" s="2408"/>
      <c r="I14" s="2408"/>
      <c r="J14" s="3062"/>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20.399999999999999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2192</v>
      </c>
      <c r="B16" s="3533"/>
      <c r="C16" s="3534"/>
      <c r="D16" s="3535"/>
      <c r="E16" s="2413" t="s">
        <v>2193</v>
      </c>
      <c r="F16" s="3536"/>
      <c r="G16" s="3537"/>
      <c r="H16" s="3537"/>
      <c r="I16" s="3538"/>
      <c r="J16" s="2439"/>
      <c r="K16" s="2617"/>
      <c r="L16" s="2451"/>
      <c r="M16" s="2451"/>
      <c r="N16" s="2509"/>
      <c r="O16" s="2451"/>
      <c r="P16" s="2509"/>
      <c r="Q16" s="2439"/>
      <c r="R16" s="2439"/>
    </row>
    <row r="17" spans="1:28">
      <c r="A17" s="313" t="s">
        <v>2194</v>
      </c>
      <c r="B17" s="302" t="s">
        <v>2195</v>
      </c>
      <c r="C17" s="8">
        <f>'数据-汇总表'!E3</f>
        <v>1288.08</v>
      </c>
      <c r="D17" s="2322" t="s">
        <v>2196</v>
      </c>
      <c r="E17" s="3539" t="s">
        <v>2197</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2" t="s">
        <v>2201</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9" t="s">
        <v>2205</v>
      </c>
      <c r="C20" s="3530"/>
      <c r="D20" s="3531" t="s">
        <v>2206</v>
      </c>
      <c r="E20" s="3532"/>
      <c r="F20" s="2647" t="s">
        <v>1056</v>
      </c>
      <c r="G20" s="2664"/>
      <c r="H20" s="2664"/>
      <c r="I20" s="2664"/>
      <c r="J20" s="2439"/>
      <c r="K20" s="352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2217</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5" t="s">
        <v>2227</v>
      </c>
      <c r="T34" s="2428" t="str">
        <f>NUMBERSTRING(7-K34,1)&amp;"通"</f>
        <v>七通</v>
      </c>
      <c r="U34" s="2439"/>
      <c r="V34" s="2439"/>
    </row>
    <row r="35" spans="1:30">
      <c r="A35" s="2429"/>
      <c r="B35" s="3522" t="s">
        <v>2228</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233</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5" sqref="A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1288.08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1288.08</v>
      </c>
      <c r="H5" s="13">
        <f t="shared" ref="H5:AT5" si="0">SUM(H13:H656)</f>
        <v>1288.08</v>
      </c>
      <c r="I5" s="13">
        <f t="shared" si="0"/>
        <v>1288.08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1288.08</v>
      </c>
      <c r="BA5" s="15">
        <f t="shared" si="1"/>
        <v>1288.08</v>
      </c>
      <c r="BB5" s="15">
        <f t="shared" si="1"/>
        <v>1288.08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1629942</v>
      </c>
      <c r="B13" s="1051"/>
      <c r="C13" s="3453" t="s">
        <v>3466</v>
      </c>
      <c r="D13" s="1625" t="s">
        <v>3385</v>
      </c>
      <c r="E13" s="13">
        <f>IF($C$3="是",ROUND($A$3*G13/$B$3,2),ROUND($A$3*(G13-AT13)/$B$3,2))</f>
        <v>0</v>
      </c>
      <c r="F13" s="29"/>
      <c r="G13" s="30">
        <f>H13+AC13+AT13</f>
        <v>1288.08</v>
      </c>
      <c r="H13" s="17">
        <f>SUMIF(I$12:AB$12,"总值",I13:AB13)</f>
        <v>1288.08</v>
      </c>
      <c r="I13" s="1626">
        <v>1288.08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1629942</v>
      </c>
      <c r="AW13" s="8">
        <f t="shared" si="6"/>
        <v>0</v>
      </c>
      <c r="AX13" s="8" t="str">
        <f t="shared" si="6"/>
        <v>2-3层</v>
      </c>
      <c r="AY13" s="1349">
        <f>ROUND($AY$6*AZ13/$AZ$5,2)</f>
        <v>0</v>
      </c>
      <c r="AZ13" s="13">
        <f>BA13+BL13</f>
        <v>1288.08</v>
      </c>
      <c r="BA13" s="13">
        <f>SUM(BB13:BK13)</f>
        <v>1288.08</v>
      </c>
      <c r="BB13" s="13">
        <f>IF($D13="是",I13-J13,0)</f>
        <v>1288.08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A13/I13/365</f>
        <v>3.4668611581174655</v>
      </c>
      <c r="B14" s="1051"/>
      <c r="C14" s="3453"/>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3.4668611581174655</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3"/>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3"/>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3"/>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1288.08</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1288.08</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1288.08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1288.08</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3468</v>
      </c>
      <c r="D19" s="45">
        <f>ROUND($D$3*E19/$E$3,2)</f>
        <v>0</v>
      </c>
      <c r="E19" s="53">
        <f t="shared" ref="E19:E26" si="1">SUM(F19:G19)</f>
        <v>1288.08</v>
      </c>
      <c r="F19" s="2794">
        <f>'数据-基础表'!I13</f>
        <v>1288.08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1288.08</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1288.08</v>
      </c>
      <c r="F27" s="1140">
        <f>IF(SUM(F19:F26)=E8,SUM(F19:F26),"地上面积有误")</f>
        <v>1288.08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1288.08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1288.08</v>
      </c>
      <c r="F31" s="677">
        <f>F27+F30</f>
        <v>1288.08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2-3层商业</v>
      </c>
      <c r="B6" s="1713" t="str">
        <f>IF(A6=0,"","经营性")</f>
        <v>经营性</v>
      </c>
      <c r="C6" s="1714" t="s">
        <v>673</v>
      </c>
      <c r="D6" s="858">
        <f>SUMIF(项目基本情况!C$12:I$12,C6,项目基本情况!C$14:I$14)</f>
        <v>40</v>
      </c>
      <c r="E6" s="857">
        <f>IF(B6="","",SUMIF(项目基本情况!C$12:I$12,C6,项目基本情况!C$13:I$13))</f>
        <v>52727</v>
      </c>
      <c r="F6" s="64">
        <f>SUMIF(项目基本情况!C$12:I$12,C6,项目基本情况!C$15:I$15)</f>
        <v>20.399999999999999</v>
      </c>
      <c r="G6" s="65">
        <f>IF(ISERROR(ROUND(POWER(1+H6,D6-F6)*(POWER(1+H6,F6)-1)/(POWER(1+H6,D6)-1),3)),0,ROUND(POWER(1+H6,D6-F6)*(POWER(1+H6,F6)-1)/(POWER(1+H6,D6)-1),3))</f>
        <v>0.73499999999999999</v>
      </c>
      <c r="H6" s="732">
        <v>0.05</v>
      </c>
      <c r="I6" s="732">
        <v>5.5E-2</v>
      </c>
      <c r="J6" s="66">
        <v>7.0000000000000007E-2</v>
      </c>
      <c r="K6" s="1030">
        <f>SUMIF('数据-汇总表'!C$19:C$33,A6,'数据-汇总表'!E$19:E$33)</f>
        <v>1288.08</v>
      </c>
      <c r="L6" s="3469">
        <v>4000</v>
      </c>
      <c r="M6" s="67">
        <f t="shared" ref="M6:M14" si="0">ROUND(K6*L6/10000,0)</f>
        <v>515</v>
      </c>
      <c r="N6" s="731">
        <f>N19</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3.46</v>
      </c>
      <c r="V6" s="70">
        <v>2.5000000000000001E-2</v>
      </c>
      <c r="W6" s="70">
        <v>0.1</v>
      </c>
      <c r="X6" s="1040"/>
      <c r="Y6" s="71">
        <f>N6</f>
        <v>0.73</v>
      </c>
      <c r="Z6" s="72"/>
      <c r="AA6" s="66"/>
      <c r="AB6" s="66"/>
      <c r="AC6" s="1040"/>
      <c r="AD6" s="73"/>
      <c r="AE6" s="1041">
        <f ca="1">IF(AN6="",0,SUMIF(INDIRECT("'"&amp;AN6&amp;"'"&amp;"!E:E"),$AE$5,INDIRECT("'"&amp;AN6&amp;"'"&amp;"!F:F")))</f>
        <v>20.399999999999999</v>
      </c>
      <c r="AF6" s="1348"/>
      <c r="AG6" s="138">
        <f>IF(AF6="",0,AE6-AF6)</f>
        <v>0</v>
      </c>
      <c r="AH6" s="74"/>
      <c r="AI6" s="76">
        <v>365</v>
      </c>
      <c r="AJ6" s="77"/>
      <c r="AK6" s="78">
        <v>0.01</v>
      </c>
      <c r="AL6" s="79">
        <v>1E-3</v>
      </c>
      <c r="AM6" s="80">
        <v>0.01</v>
      </c>
      <c r="AN6" s="1715" t="s">
        <v>3388</v>
      </c>
      <c r="AO6" s="52">
        <f ca="1">SUMIF(INDIRECT("'"&amp;AN6&amp;"'"&amp;"!A:A"),"总价",INDIRECT("'"&amp;AN6&amp;"'"&amp;"!B:B"))</f>
        <v>1740.1647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0.73499999999999999</v>
      </c>
      <c r="H16" s="90">
        <f>ROUND(SUMPRODUCT(H6:H13,K6:K13)/SUMPRODUCT((H6:H13&gt;0)*(K6:K13)),3)</f>
        <v>0.05</v>
      </c>
      <c r="I16" s="91"/>
      <c r="J16" s="91"/>
      <c r="K16" s="92">
        <f>SUM(K6:K15)</f>
        <v>1288.08</v>
      </c>
      <c r="L16" s="93">
        <f>ROUND(M16*10000/SUM(K6:K14),0)</f>
        <v>3998</v>
      </c>
      <c r="M16" s="93">
        <f>SUM(M6:M14)</f>
        <v>515</v>
      </c>
      <c r="N16" s="94">
        <f>ROUND(SUMPRODUCT(M6:M14,N6:N14)/M16,3)</f>
        <v>0.73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2670"/>
      <c r="N19" s="2670">
        <f>ROUND(1-(2023-N18)/60,2)</f>
        <v>0.73</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2670"/>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(N19+N20)/2</f>
        <v>0.76500000000000001</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2306</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2293</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2285</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1288.08</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45279</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2092</v>
      </c>
      <c r="C5" s="2512">
        <f ca="1">IF(B5=D14,结果表!H102,ROUND(B5*10000/$B$1,0))</f>
        <v>16238</v>
      </c>
      <c r="D5" s="2512" t="e">
        <f ca="1">ROUND(B5*10000/$B$2,0)</f>
        <v>#DIV/0!</v>
      </c>
      <c r="E5" s="2685"/>
      <c r="F5" s="2686"/>
      <c r="G5" s="2686"/>
      <c r="H5" s="2687"/>
      <c r="I5" s="2687"/>
      <c r="J5" s="2687"/>
      <c r="K5" s="2687"/>
    </row>
    <row r="6" spans="1:11" ht="16.5">
      <c r="A6" s="2512" t="s">
        <v>656</v>
      </c>
      <c r="B6" s="2512">
        <f ca="1">SUM(G14:G23)</f>
        <v>2092</v>
      </c>
      <c r="C6" s="2512">
        <f ca="1">IF(B6=G14,结果表!H108,ROUND(B6*10000/$B$1,0))</f>
        <v>16238</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3357</v>
      </c>
      <c r="D10" s="2512" t="s">
        <v>3358</v>
      </c>
      <c r="E10" s="3440"/>
      <c r="F10" s="3444" t="s">
        <v>3359</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典型户型修正!B22</f>
        <v>1288.08</v>
      </c>
      <c r="C14" s="2518"/>
      <c r="D14" s="2518">
        <f ca="1">ROUND(B14*E14/10000,0)</f>
        <v>2092</v>
      </c>
      <c r="E14" s="2518">
        <f ca="1">结果表!G20</f>
        <v>16238</v>
      </c>
      <c r="F14" s="2518" t="e">
        <f ca="1">ROUND(D14*10000/C14,0)</f>
        <v>#DIV/0!</v>
      </c>
      <c r="G14" s="2518">
        <f ca="1">D14</f>
        <v>2092</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7" sqref="H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3467</v>
      </c>
      <c r="D1" s="1747"/>
      <c r="E1" s="1747"/>
      <c r="F1" s="1749" t="s">
        <v>1263</v>
      </c>
      <c r="G1" s="1561"/>
      <c r="H1" s="1750" t="str">
        <f>IF(G1="现房","——","估价对象范围")</f>
        <v>估价对象范围</v>
      </c>
      <c r="I1" s="1751"/>
    </row>
    <row r="2" spans="1:12" ht="21.75" customHeight="1" thickBot="1">
      <c r="A2" s="3596" t="str">
        <f>项目基本情况!S2</f>
        <v>北京市丰台区青塔西路58号院22号楼3层301-306/203-205房地产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4" t="s">
        <v>1265</v>
      </c>
      <c r="B4" s="1755" t="s">
        <v>1266</v>
      </c>
      <c r="C4" s="1756" t="s">
        <v>3471</v>
      </c>
      <c r="D4" s="1756" t="s">
        <v>3388</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563">
        <v>25</v>
      </c>
      <c r="C5" s="3579"/>
      <c r="D5" s="3599"/>
      <c r="E5" s="131" t="s">
        <v>1269</v>
      </c>
      <c r="F5" s="1757"/>
      <c r="G5" s="1757"/>
      <c r="H5" s="1757"/>
      <c r="I5" s="1373"/>
    </row>
    <row r="6" spans="1:12" ht="12.75">
      <c r="A6" s="3576"/>
      <c r="B6" s="3563"/>
      <c r="C6" s="3580"/>
      <c r="D6" s="3599"/>
      <c r="E6" s="131" t="s">
        <v>1270</v>
      </c>
      <c r="F6" s="1757"/>
      <c r="G6" s="1757"/>
      <c r="H6" s="1757"/>
      <c r="I6" s="1373"/>
    </row>
    <row r="7" spans="1:12" ht="12.75">
      <c r="A7" s="3576"/>
      <c r="B7" s="3563"/>
      <c r="C7" s="3581"/>
      <c r="D7" s="3599"/>
      <c r="E7" s="131" t="s">
        <v>1271</v>
      </c>
      <c r="F7" s="1757"/>
      <c r="G7" s="1757"/>
      <c r="H7" s="1757"/>
      <c r="I7" s="1373"/>
    </row>
    <row r="8" spans="1:12" ht="12.75">
      <c r="A8" s="3576" t="s">
        <v>1272</v>
      </c>
      <c r="B8" s="3563">
        <v>15</v>
      </c>
      <c r="C8" s="3579"/>
      <c r="D8" s="3599"/>
      <c r="E8" s="131" t="s">
        <v>1273</v>
      </c>
      <c r="F8" s="1757"/>
      <c r="G8" s="1757"/>
      <c r="H8" s="1757"/>
      <c r="I8" s="1373"/>
    </row>
    <row r="9" spans="1:12" ht="12.75">
      <c r="A9" s="3576"/>
      <c r="B9" s="3563"/>
      <c r="C9" s="3581"/>
      <c r="D9" s="3599"/>
      <c r="E9" s="131" t="s">
        <v>1274</v>
      </c>
      <c r="F9" s="1757"/>
      <c r="G9" s="1757"/>
      <c r="H9" s="1757"/>
      <c r="I9" s="1373"/>
    </row>
    <row r="10" spans="1:12" ht="12.75">
      <c r="A10" s="3576" t="s">
        <v>1275</v>
      </c>
      <c r="B10" s="3563">
        <v>15</v>
      </c>
      <c r="C10" s="3579"/>
      <c r="D10" s="3599"/>
      <c r="E10" s="131" t="s">
        <v>1276</v>
      </c>
      <c r="F10" s="1757"/>
      <c r="G10" s="1757"/>
      <c r="H10" s="1757"/>
      <c r="I10" s="1373"/>
    </row>
    <row r="11" spans="1:12" ht="12.75">
      <c r="A11" s="3576"/>
      <c r="B11" s="3563"/>
      <c r="C11" s="3581"/>
      <c r="D11" s="3599"/>
      <c r="E11" s="131" t="s">
        <v>1277</v>
      </c>
      <c r="F11" s="1757"/>
      <c r="G11" s="1757"/>
      <c r="H11" s="1757"/>
      <c r="I11" s="1373"/>
    </row>
    <row r="12" spans="1:12" ht="12.75">
      <c r="A12" s="3576" t="s">
        <v>1278</v>
      </c>
      <c r="B12" s="3563">
        <v>15</v>
      </c>
      <c r="C12" s="3579"/>
      <c r="D12" s="3599"/>
      <c r="E12" s="131" t="s">
        <v>1279</v>
      </c>
      <c r="F12" s="1757"/>
      <c r="G12" s="1757"/>
      <c r="H12" s="1757"/>
      <c r="I12" s="1373"/>
    </row>
    <row r="13" spans="1:12" ht="12.75">
      <c r="A13" s="3576"/>
      <c r="B13" s="3563"/>
      <c r="C13" s="3581"/>
      <c r="D13" s="3599"/>
      <c r="E13" s="131" t="s">
        <v>1280</v>
      </c>
      <c r="F13" s="1757"/>
      <c r="G13" s="1757"/>
      <c r="H13" s="1757"/>
      <c r="I13" s="1373"/>
    </row>
    <row r="14" spans="1:12" ht="12.75">
      <c r="A14" s="3576" t="s">
        <v>1281</v>
      </c>
      <c r="B14" s="3563">
        <v>30</v>
      </c>
      <c r="C14" s="3579">
        <v>4</v>
      </c>
      <c r="D14" s="3599">
        <v>6</v>
      </c>
      <c r="E14" s="131" t="s">
        <v>1282</v>
      </c>
      <c r="F14" s="1757"/>
      <c r="G14" s="1757"/>
      <c r="H14" s="1757"/>
      <c r="I14" s="1373"/>
    </row>
    <row r="15" spans="1:12" ht="12.75">
      <c r="A15" s="3576"/>
      <c r="B15" s="3563"/>
      <c r="C15" s="3580"/>
      <c r="D15" s="3599"/>
      <c r="E15" s="131" t="s">
        <v>1283</v>
      </c>
      <c r="F15" s="1757"/>
      <c r="G15" s="1757"/>
      <c r="H15" s="1757"/>
      <c r="I15" s="1373"/>
    </row>
    <row r="16" spans="1:12" ht="12.75">
      <c r="A16" s="3576"/>
      <c r="B16" s="3563"/>
      <c r="C16" s="3581"/>
      <c r="D16" s="359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6" t="s">
        <v>2130</v>
      </c>
      <c r="F18" s="3587"/>
      <c r="G18" s="3587"/>
      <c r="H18" s="3587"/>
      <c r="I18" s="3587"/>
      <c r="K18" s="302" t="s">
        <v>1289</v>
      </c>
      <c r="L18" s="302">
        <f>IF(C1="",'数据-汇总表'!E3,SUMIF(项目类型,C1,'数据-汇总表'!E17:E26)+SUMIF(项目类型,C1,'数据-汇总表'!I17:I26))</f>
        <v>1288.08</v>
      </c>
      <c r="M18" s="302">
        <f>IF(C1="",'数据-汇总表'!E3,SUMIF(项目类型,C1,'数据-汇总表'!E17:E26))</f>
        <v>1288.08</v>
      </c>
    </row>
    <row r="19" spans="1:36" ht="15">
      <c r="A19" s="1761" t="s">
        <v>1290</v>
      </c>
      <c r="B19" s="1762" t="s">
        <v>1291</v>
      </c>
      <c r="C19" s="134">
        <f ca="1">SUMIF(INDIRECT("'"&amp;C4&amp;"'"&amp;"!A:A"),结果表!B19,INDIRECT("'"&amp;C4&amp;"'"&amp;"!B:B"))</f>
        <v>2618.6316999999999</v>
      </c>
      <c r="D19" s="135">
        <f ca="1">SUMIF(INDIRECT("'"&amp;D4&amp;"'"&amp;"!A:A"),结果表!B19,INDIRECT("'"&amp;D4&amp;"'"&amp;"!B:B"))</f>
        <v>1740.1647</v>
      </c>
      <c r="E19" s="1761" t="s">
        <v>1292</v>
      </c>
      <c r="F19" s="1762" t="s">
        <v>1291</v>
      </c>
      <c r="G19" s="136">
        <f ca="1">ROUND(C19*$C$18+D19*$D$18,0)</f>
        <v>2092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20330</v>
      </c>
      <c r="D20" s="138">
        <f ca="1">SUMIF(INDIRECT("'"&amp;D4&amp;"'"&amp;"!A:A"),结果表!B20,INDIRECT("'"&amp;D4&amp;"'"&amp;"!B:B"))</f>
        <v>13510</v>
      </c>
      <c r="E20" s="1764"/>
      <c r="F20" s="1026" t="s">
        <v>1295</v>
      </c>
      <c r="G20" s="139">
        <f ca="1">ROUND(C20*$C$18+D20*$D$18,0)</f>
        <v>16238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0.50481830829001417</v>
      </c>
      <c r="E22" s="129"/>
      <c r="F22" s="129"/>
      <c r="G22" s="129"/>
      <c r="H22" s="129"/>
      <c r="I22" s="129"/>
    </row>
    <row r="23" spans="1:36" ht="13.5" thickBot="1">
      <c r="A23" s="1747"/>
      <c r="B23" s="1747"/>
      <c r="C23" s="1747"/>
      <c r="D23" s="1747"/>
      <c r="E23" s="129"/>
      <c r="F23" s="129"/>
      <c r="G23" s="129"/>
      <c r="H23" s="129"/>
      <c r="I23" s="129"/>
    </row>
    <row r="24" spans="1:36" ht="14.25">
      <c r="A24" s="3570" t="s">
        <v>1299</v>
      </c>
      <c r="B24" s="1762" t="s">
        <v>1291</v>
      </c>
      <c r="C24" s="136">
        <f>IF(B30=0,0,D30)</f>
        <v>0</v>
      </c>
      <c r="D24" s="1769"/>
      <c r="E24" s="129"/>
      <c r="F24" s="129"/>
      <c r="G24" s="129"/>
      <c r="H24" s="129"/>
      <c r="I24" s="129"/>
    </row>
    <row r="25" spans="1:36" ht="14.25">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16238</v>
      </c>
      <c r="D32" s="1775" t="s">
        <v>3441</v>
      </c>
      <c r="E32" s="129"/>
      <c r="F32" s="129"/>
      <c r="G32" s="129"/>
      <c r="H32" s="129"/>
      <c r="I32" s="129"/>
    </row>
    <row r="33" spans="1:15" ht="15">
      <c r="A33" s="786" t="s">
        <v>1306</v>
      </c>
      <c r="B33" s="1776"/>
      <c r="C33" s="1777" t="s">
        <v>3442</v>
      </c>
      <c r="D33" s="1778" t="s">
        <v>3388</v>
      </c>
      <c r="E33" s="1779" t="s">
        <v>1307</v>
      </c>
      <c r="F33" s="1780" t="str">
        <f>IF(D32="楼面单价","取值（单价）","取值（总价）")</f>
        <v>取值（单价）</v>
      </c>
      <c r="G33" s="129"/>
      <c r="H33" s="129"/>
      <c r="I33" s="129"/>
    </row>
    <row r="34" spans="1:15" ht="15">
      <c r="A34" s="1781"/>
      <c r="B34" s="1782" t="s">
        <v>1308</v>
      </c>
      <c r="C34" s="148">
        <f ca="1">IF(C33="自定义",F34,C32-C35)</f>
        <v>10815</v>
      </c>
      <c r="D34" s="861">
        <f ca="1">IF(C33="自定义",ROUND(C34/C32,3),IF(C33="收益比率",SUMIF(INDIRECT("'"&amp;D33&amp;"'"&amp;"!b:b"),"土地收益比率",INDIRECT("'"&amp;D33&amp;"'"&amp;"!c:c")),SUMIF(INDIRECT("'"&amp;D33&amp;"'"&amp;"!b:b"),"土地成本比率",INDIRECT("'"&amp;D33&amp;"'"&amp;"!c:c"))))</f>
        <v>0.66599999999999993</v>
      </c>
      <c r="E34" s="1783" t="s">
        <v>1309</v>
      </c>
      <c r="F34" s="1330"/>
      <c r="G34" s="129"/>
      <c r="H34" s="129"/>
      <c r="I34" s="129"/>
    </row>
    <row r="35" spans="1:15" ht="15.75" thickBot="1">
      <c r="A35" s="1784"/>
      <c r="B35" s="1785" t="s">
        <v>1310</v>
      </c>
      <c r="C35" s="1170">
        <f ca="1">IF(C33="自定义",F35,ROUND(C32*D35,0))</f>
        <v>5423</v>
      </c>
      <c r="D35" s="1171">
        <f ca="1">IF(C33="自定义",ROUND(C35/C32,3),IF(C33="收益比率",SUMIF(INDIRECT("'"&amp;D33&amp;"'"&amp;"!b:b"),"建筑物收益比率",INDIRECT("'"&amp;D33&amp;"'"&amp;"!c:c")),SUMIF(INDIRECT("'"&amp;D33&amp;"'"&amp;"!b:b"),"建筑物成本比率",INDIRECT("'"&amp;D33&amp;"'"&amp;"!c:c"))))</f>
        <v>0.33400000000000002</v>
      </c>
      <c r="E35" s="1786" t="s">
        <v>1311</v>
      </c>
      <c r="F35" s="154"/>
      <c r="G35" s="129"/>
      <c r="H35" s="129"/>
      <c r="I35" s="129"/>
    </row>
    <row r="36" spans="1:15" ht="15.75" thickBot="1">
      <c r="A36" s="3590" t="s">
        <v>1312</v>
      </c>
      <c r="B36" s="1787" t="s">
        <v>1313</v>
      </c>
      <c r="C36" s="145"/>
      <c r="D36" s="1788"/>
      <c r="E36" s="1789"/>
      <c r="F36" s="1790"/>
      <c r="G36" s="129"/>
      <c r="H36" s="129"/>
      <c r="I36" s="129"/>
    </row>
    <row r="37" spans="1:15" ht="15.75" thickBot="1">
      <c r="A37" s="3591"/>
      <c r="B37" s="1674" t="s">
        <v>1314</v>
      </c>
      <c r="C37" s="147"/>
      <c r="D37" s="1139"/>
      <c r="E37" s="1139"/>
      <c r="F37" s="1790"/>
      <c r="G37" s="129"/>
      <c r="H37" s="129"/>
      <c r="I37" s="129"/>
    </row>
    <row r="38" spans="1:15" ht="15.75" thickBot="1">
      <c r="A38" s="359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f ca="1">ROUND(H101*F45,0)</f>
        <v>2092</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45279</v>
      </c>
      <c r="N47" s="3647"/>
      <c r="O47" s="3647"/>
    </row>
    <row r="48" spans="1:15" ht="25.5">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6" t="s">
        <v>1340</v>
      </c>
      <c r="L48" s="3626"/>
      <c r="M48" s="3648">
        <f ca="1">H101</f>
        <v>2092</v>
      </c>
      <c r="N48" s="3648"/>
      <c r="O48" s="3648"/>
    </row>
    <row r="49" spans="1:35" ht="25.5" customHeight="1">
      <c r="A49" s="2333" t="s">
        <v>1341</v>
      </c>
      <c r="B49" s="3562" t="s">
        <v>1342</v>
      </c>
      <c r="C49" s="3562"/>
      <c r="D49" s="1590">
        <v>0</v>
      </c>
      <c r="E49" s="324" t="s">
        <v>1343</v>
      </c>
      <c r="F49" s="2424" t="s">
        <v>28</v>
      </c>
      <c r="G49" s="3632"/>
      <c r="H49" s="2310" t="s">
        <v>2133</v>
      </c>
      <c r="I49" s="2311"/>
      <c r="J49" s="2523">
        <v>4</v>
      </c>
      <c r="K49" s="3626" t="str">
        <f>IF(项目基本情况!E8="房地产抵押价值","房地产抵押价值","抵押担保权已注销时的房地产抵押价值")</f>
        <v>房地产抵押价值</v>
      </c>
      <c r="L49" s="3626"/>
      <c r="M49" s="3648">
        <f ca="1">IF(项目基本情况!E8="房地产抵押价值",H107,H109)</f>
        <v>2092</v>
      </c>
      <c r="N49" s="3648"/>
      <c r="O49" s="3648"/>
    </row>
    <row r="50" spans="1:35" ht="25.5" customHeight="1">
      <c r="A50" s="2551"/>
      <c r="B50" s="3562" t="s">
        <v>1344</v>
      </c>
      <c r="C50" s="3562"/>
      <c r="D50" s="2552"/>
      <c r="E50" s="332"/>
      <c r="F50" s="2424"/>
      <c r="G50" s="3633"/>
      <c r="H50" s="2312" t="s">
        <v>2134</v>
      </c>
      <c r="I50" s="2311"/>
      <c r="J50" s="3645" t="s">
        <v>1345</v>
      </c>
      <c r="K50" s="3645"/>
      <c r="L50" s="3645"/>
      <c r="M50" s="3645"/>
      <c r="N50" s="3645"/>
      <c r="O50" s="3645"/>
    </row>
    <row r="51" spans="1:35" ht="20.45" customHeight="1">
      <c r="A51" s="2553"/>
      <c r="B51" s="3562" t="s">
        <v>1346</v>
      </c>
      <c r="C51" s="3562"/>
      <c r="D51" s="1087"/>
      <c r="E51" s="327"/>
      <c r="F51" s="2424"/>
      <c r="G51" s="3634"/>
      <c r="H51" s="2312" t="s">
        <v>2135</v>
      </c>
      <c r="I51" s="2311"/>
      <c r="J51" s="2524" t="s">
        <v>1347</v>
      </c>
      <c r="K51" s="3626" t="s">
        <v>1348</v>
      </c>
      <c r="L51" s="3626"/>
      <c r="M51" s="2524" t="s">
        <v>1349</v>
      </c>
      <c r="N51" s="2524" t="s">
        <v>1350</v>
      </c>
      <c r="O51" s="2524" t="s">
        <v>1351</v>
      </c>
    </row>
    <row r="52" spans="1:35" ht="24" customHeight="1">
      <c r="A52" s="2335" t="s">
        <v>1352</v>
      </c>
      <c r="B52" s="3562" t="s">
        <v>1353</v>
      </c>
      <c r="C52" s="3562"/>
      <c r="D52" s="1087">
        <f ca="1">ROUND(D45*'数据-取费表'!B41/(1+'数据-取费表'!C42),0)</f>
        <v>110</v>
      </c>
      <c r="E52" s="2334" t="s">
        <v>1354</v>
      </c>
      <c r="F52" s="2554">
        <f>'数据-取费表'!B41</f>
        <v>5.5000000000000007E-2</v>
      </c>
      <c r="G52" s="2555"/>
      <c r="H52" s="2544"/>
      <c r="I52" s="1807"/>
      <c r="J52" s="2523">
        <v>1</v>
      </c>
      <c r="K52" s="3627" t="s">
        <v>1355</v>
      </c>
      <c r="L52" s="3627"/>
      <c r="M52" s="2525" t="b">
        <f>D48</f>
        <v>0</v>
      </c>
      <c r="N52" s="2523" t="str">
        <f>E48</f>
        <v>销售额×税（费）率</v>
      </c>
      <c r="O52" s="2526">
        <f>F48</f>
        <v>5.5000000000000007E-2</v>
      </c>
    </row>
    <row r="53" spans="1:35" ht="12" customHeight="1">
      <c r="A53" s="2335" t="s">
        <v>1356</v>
      </c>
      <c r="B53" s="3588" t="s">
        <v>2290</v>
      </c>
      <c r="C53" s="3589"/>
      <c r="D53" s="1087">
        <f ca="1">ROUND(D45*'数据-取费表'!B41/(1+'数据-取费表'!C42),0)</f>
        <v>110</v>
      </c>
      <c r="E53" s="2334" t="s">
        <v>1354</v>
      </c>
      <c r="F53" s="2554">
        <f>'数据-取费表'!B41</f>
        <v>5.5000000000000007E-2</v>
      </c>
      <c r="G53" s="2555"/>
      <c r="H53" s="2544"/>
      <c r="I53" s="1807"/>
      <c r="J53" s="2523">
        <v>2</v>
      </c>
      <c r="K53" s="3627" t="s">
        <v>1357</v>
      </c>
      <c r="L53" s="3627"/>
      <c r="M53" s="2525">
        <f t="shared" ref="M53:O54" ca="1" si="0">D55</f>
        <v>1</v>
      </c>
      <c r="N53" s="2523" t="str">
        <f t="shared" si="0"/>
        <v>销售额×税（费）率</v>
      </c>
      <c r="O53" s="2526" t="str">
        <f t="shared" si="0"/>
        <v>免征</v>
      </c>
    </row>
    <row r="54" spans="1:35" ht="12" customHeight="1">
      <c r="A54" s="2335" t="s">
        <v>1358</v>
      </c>
      <c r="B54" s="3588" t="s">
        <v>2291</v>
      </c>
      <c r="C54" s="3589"/>
      <c r="D54" s="1087">
        <f ca="1">C68</f>
        <v>110</v>
      </c>
      <c r="E54" s="327" t="s">
        <v>1359</v>
      </c>
      <c r="F54" s="2554">
        <f>'数据-取费表'!B41</f>
        <v>5.5000000000000007E-2</v>
      </c>
      <c r="G54" s="2555"/>
      <c r="H54" s="2556"/>
      <c r="I54" s="1807"/>
      <c r="J54" s="2523">
        <v>3</v>
      </c>
      <c r="K54" s="3627" t="s">
        <v>1360</v>
      </c>
      <c r="L54" s="3627"/>
      <c r="M54" s="2525">
        <f t="shared" ca="1" si="0"/>
        <v>1186</v>
      </c>
      <c r="N54" s="2523" t="str">
        <f t="shared" si="0"/>
        <v>增值额×税（费）率</v>
      </c>
      <c r="O54" s="2527" t="str">
        <f t="shared" si="0"/>
        <v>免征</v>
      </c>
    </row>
    <row r="55" spans="1:35" ht="24" customHeight="1">
      <c r="A55" s="3577" t="s">
        <v>1361</v>
      </c>
      <c r="B55" s="3578"/>
      <c r="C55" s="3578"/>
      <c r="D55" s="2324">
        <f ca="1">IF(H55="个人住宅",0,ROUND(D45*I55,0))</f>
        <v>1</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f ca="1">D59</f>
        <v>20</v>
      </c>
      <c r="N55" s="2040" t="str">
        <f>E59</f>
        <v>差额计税</v>
      </c>
      <c r="O55" s="2529">
        <f>F59</f>
        <v>0.01</v>
      </c>
    </row>
    <row r="56" spans="1:35" ht="24.75">
      <c r="A56" s="3577" t="s">
        <v>1363</v>
      </c>
      <c r="B56" s="3578"/>
      <c r="C56" s="3578"/>
      <c r="D56" s="2324">
        <f ca="1">IF(H56="个人住宅",D57,D58)</f>
        <v>1186</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1207</v>
      </c>
      <c r="O57" s="2533"/>
      <c r="P57" s="2689">
        <f ca="1">N57/M49</f>
        <v>0.57695984703632885</v>
      </c>
    </row>
    <row r="58" spans="1:35" ht="24.75">
      <c r="A58" s="2335" t="s">
        <v>1352</v>
      </c>
      <c r="B58" s="3588" t="s">
        <v>1369</v>
      </c>
      <c r="C58" s="3562"/>
      <c r="D58" s="2324">
        <f ca="1">IF(H58="转让取得",C81,C97)</f>
        <v>1186</v>
      </c>
      <c r="E58" s="2334" t="s">
        <v>1364</v>
      </c>
      <c r="F58" s="302" t="s">
        <v>28</v>
      </c>
      <c r="G58" s="2555"/>
      <c r="H58" s="2558"/>
      <c r="I58" s="1808"/>
      <c r="J58" s="3627"/>
      <c r="K58" s="3627"/>
      <c r="L58" s="2530" t="s">
        <v>1370</v>
      </c>
      <c r="M58" s="2534"/>
      <c r="N58" s="2535" t="str">
        <f ca="1">NUMBERSTRING(INT(N57*10000),2)&amp;"元整"</f>
        <v>壹仟贰佰零柒万元整</v>
      </c>
      <c r="O58" s="2536"/>
    </row>
    <row r="59" spans="1:35" ht="24.75" thickBot="1">
      <c r="A59" s="3630" t="s">
        <v>1371</v>
      </c>
      <c r="B59" s="3631"/>
      <c r="C59" s="3631"/>
      <c r="D59" s="2560">
        <f ca="1">IF(H59="非个人房产","——",IF(H59="个人住宅（满五唯一有凭证）",0,IF(H59="个人其他（无凭证）",ROUND(D45*F59,0),ROUND(C67*F59,0))))</f>
        <v>20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8">
        <f>J57+1</f>
        <v>6</v>
      </c>
      <c r="K59" s="3627" t="s">
        <v>1372</v>
      </c>
      <c r="L59" s="2523" t="s">
        <v>1368</v>
      </c>
      <c r="M59" s="2537"/>
      <c r="N59" s="2538">
        <f ca="1">M49-N57</f>
        <v>885</v>
      </c>
      <c r="O59" s="2539"/>
    </row>
    <row r="60" spans="1:35" ht="12" customHeight="1">
      <c r="A60" s="1809"/>
      <c r="B60" s="1747"/>
      <c r="C60" s="1747"/>
      <c r="D60" s="1747"/>
      <c r="E60" s="1578"/>
      <c r="F60" s="1808"/>
      <c r="G60" s="1808"/>
      <c r="H60" s="1810"/>
      <c r="I60" s="129"/>
      <c r="J60" s="3629"/>
      <c r="K60" s="3627"/>
      <c r="L60" s="2530" t="s">
        <v>1370</v>
      </c>
      <c r="M60" s="2534"/>
      <c r="N60" s="2535" t="str">
        <f ca="1">NUMBERSTRING(INT(N59*10000),2)&amp;"元整"</f>
        <v>捌佰捌拾伍万元整</v>
      </c>
      <c r="O60" s="2536"/>
    </row>
    <row r="61" spans="1:35" ht="13.5" thickBot="1">
      <c r="A61" s="3575" t="s">
        <v>1373</v>
      </c>
      <c r="B61" s="3575"/>
      <c r="C61" s="3575"/>
      <c r="D61" s="3575"/>
      <c r="E61" s="3575"/>
      <c r="F61" s="1808"/>
      <c r="G61" s="1808"/>
      <c r="H61" s="1810"/>
      <c r="I61" s="129"/>
      <c r="J61" s="2523">
        <f>J59+1</f>
        <v>7</v>
      </c>
      <c r="K61" s="3627" t="s">
        <v>1374</v>
      </c>
      <c r="L61" s="3627"/>
      <c r="M61" s="2540"/>
      <c r="N61" s="2541">
        <f ca="1">ROUND(N59*10000/'数据-汇总表'!E3,0)</f>
        <v>6871</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1992</v>
      </c>
      <c r="D63" s="167"/>
      <c r="E63" s="168"/>
      <c r="F63" s="1808"/>
      <c r="G63" s="1808"/>
      <c r="H63" s="1810"/>
      <c r="I63" s="129"/>
      <c r="J63" s="3652" t="s">
        <v>1379</v>
      </c>
      <c r="K63" s="1332" t="s">
        <v>1380</v>
      </c>
      <c r="L63" s="1332">
        <f ca="1">IF(M49&gt;10000,M49*0.5%,IF(AND(M49&gt;1000,M49&lt;=10000),M49*1%,IF(AND(M49&gt;100,M49&lt;=1000),M49*3%,IF(AND(M49&gt;10,M49&lt;=100),M49*5%,M49*8%))))</f>
        <v>20.92</v>
      </c>
      <c r="M63" s="302">
        <f ca="1">ROUND(L63,1)</f>
        <v>20.9</v>
      </c>
      <c r="N63" s="2543"/>
      <c r="Z63" s="1752"/>
      <c r="AI63" s="1753"/>
    </row>
    <row r="64" spans="1:35" ht="14.25" customHeight="1">
      <c r="A64" s="169" t="s">
        <v>325</v>
      </c>
      <c r="B64" s="170" t="s">
        <v>1381</v>
      </c>
      <c r="C64" s="2565">
        <f ca="1">D45</f>
        <v>2092</v>
      </c>
      <c r="D64" s="170" t="s">
        <v>26</v>
      </c>
      <c r="E64" s="172"/>
      <c r="F64" s="1808"/>
      <c r="G64" s="1808"/>
      <c r="H64" s="1810"/>
      <c r="I64" s="129"/>
      <c r="J64" s="3652"/>
      <c r="K64" s="1332" t="s">
        <v>1382</v>
      </c>
      <c r="L64" s="1332">
        <f ca="1">IF(M49&gt;2000,M49*0.5%,IF(AND(M49&gt;1000,M49&lt;=2000),M49*0.6%,IF(AND(M49&gt;500,M49&lt;=1000),M49*0.7%,IF(AND(M49&gt;200,M49&lt;=500),M49*0.8%,IF(AND(M49&gt;100,M49&lt;=200),M49*0.9%,IF(AND(M49&gt;50,M49&lt;=100),M49*1%,IF(AND(M49&gt;20,M49&lt;=50),M49*1.5%,IF(AND(M49&gt;10,M49&lt;=20),M49*2%,IF(AND(M49&gt;1,M49&lt;=10),M49*2.5%)))))))))</f>
        <v>10.46</v>
      </c>
      <c r="M64" s="302">
        <f t="shared" ref="M64:M65" ca="1" si="1">ROUND(L64,1)</f>
        <v>10.5</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f ca="1">IF(M49&gt;1000,M49*0.1%,IF(AND(M49&gt;500,M49&lt;=1000),M49*0.5%,IF(AND(M49&gt;50,M49&lt;=500),M49*1%,IF(AND(M49&gt;1,M49&lt;=50),M49*1.5%))))</f>
        <v>2.0920000000000001</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f ca="1">M49*0.5%</f>
        <v>10.46</v>
      </c>
      <c r="M66" s="302">
        <f ca="1">IF(L66&gt;0.5,0.5,ROUND(L66,0))</f>
        <v>0.5</v>
      </c>
      <c r="N66" s="2544" t="s">
        <v>1388</v>
      </c>
      <c r="Z66" s="1752"/>
      <c r="AI66" s="1753"/>
    </row>
    <row r="67" spans="1:35" ht="14.25" customHeight="1">
      <c r="A67" s="173" t="s">
        <v>328</v>
      </c>
      <c r="B67" s="174" t="s">
        <v>1389</v>
      </c>
      <c r="C67" s="2568">
        <f ca="1">C63-C66</f>
        <v>1992</v>
      </c>
      <c r="D67" s="170" t="s">
        <v>26</v>
      </c>
      <c r="E67" s="172"/>
      <c r="F67" s="1808"/>
      <c r="G67" s="1808"/>
      <c r="H67" s="1810"/>
      <c r="I67" s="129"/>
      <c r="J67" s="365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110</v>
      </c>
      <c r="D68" s="2570">
        <f>'数据-取费表'!B41</f>
        <v>5.5000000000000007E-2</v>
      </c>
      <c r="E68" s="178"/>
      <c r="F68" s="1808"/>
      <c r="G68" s="1808"/>
      <c r="H68" s="1810"/>
      <c r="I68" s="129"/>
      <c r="J68" s="3652"/>
      <c r="K68" s="1332" t="s">
        <v>1392</v>
      </c>
      <c r="L68" s="1332">
        <f ca="1">IF(M49&gt;10000,M49*0.5%,IF(AND(M49&gt;5000,M49&lt;=10000),M49*1%,IF(AND(M49&gt;1000,M49&lt;=5000),M49*2%,IF(AND(M49&gt;200,M49&lt;=1000),M49*3%,M49*5%))))</f>
        <v>41.84</v>
      </c>
      <c r="M68" s="302">
        <f ca="1">ROUND(L68,1)</f>
        <v>41.8</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f ca="1">ROUND(SUM(M63:M68),0)</f>
        <v>78</v>
      </c>
      <c r="N69" s="2545">
        <f ca="1">M69/M49</f>
        <v>3.7284894837476101E-2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1992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5.000000000000001E-3</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1186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1992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4" t="s">
        <v>2128</v>
      </c>
      <c r="H90" s="365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5.000000000000001E-3</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1186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成本法 (元)</v>
      </c>
      <c r="D101" s="2586" t="str">
        <f>D4</f>
        <v>收益法 (元)</v>
      </c>
      <c r="E101" s="3649" t="s">
        <v>1431</v>
      </c>
      <c r="F101" s="3606"/>
      <c r="G101" s="1827" t="s">
        <v>1432</v>
      </c>
      <c r="H101" s="2595">
        <f ca="1">H118</f>
        <v>2092</v>
      </c>
      <c r="I101" s="129"/>
    </row>
    <row r="102" spans="1:35" ht="18.75" customHeight="1">
      <c r="A102" s="3608" t="s">
        <v>1433</v>
      </c>
      <c r="B102" s="2584" t="s">
        <v>1432</v>
      </c>
      <c r="C102" s="2585">
        <f ca="1">IF(D32="楼面单价",ROUND(C19,0),C19)</f>
        <v>2619</v>
      </c>
      <c r="D102" s="2586">
        <f ca="1">IF(D32="楼面单价",ROUND(D19,0),D19)</f>
        <v>1740</v>
      </c>
      <c r="E102" s="3649"/>
      <c r="F102" s="3606"/>
      <c r="G102" s="1827" t="s">
        <v>1434</v>
      </c>
      <c r="H102" s="2555">
        <f ca="1">I118</f>
        <v>16238</v>
      </c>
      <c r="I102" s="129"/>
    </row>
    <row r="103" spans="1:35" ht="42.75" customHeight="1">
      <c r="A103" s="3608"/>
      <c r="B103" s="2584" t="s">
        <v>1434</v>
      </c>
      <c r="C103" s="2587">
        <f ca="1">C20</f>
        <v>20330</v>
      </c>
      <c r="D103" s="2588">
        <f ca="1">D20</f>
        <v>13510</v>
      </c>
      <c r="E103" s="3643" t="s">
        <v>1435</v>
      </c>
      <c r="F103" s="3644"/>
      <c r="G103" s="1828" t="s">
        <v>1436</v>
      </c>
      <c r="H103" s="2595">
        <f>IF(D36="正常操作",H104+H105+H106,H105+H106)</f>
        <v>0</v>
      </c>
      <c r="I103" s="129"/>
    </row>
    <row r="104" spans="1:35" ht="18.75" customHeight="1">
      <c r="A104" s="3608" t="s">
        <v>1437</v>
      </c>
      <c r="B104" s="2589" t="s">
        <v>1432</v>
      </c>
      <c r="C104" s="2590">
        <f ca="1">H118</f>
        <v>2092</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16238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f ca="1">IF(E107="——","——",H101-H103)</f>
        <v>2092</v>
      </c>
      <c r="I107" s="129"/>
    </row>
    <row r="108" spans="1:35" ht="18.75" customHeight="1">
      <c r="A108" s="129"/>
      <c r="B108" s="129"/>
      <c r="C108" s="129"/>
      <c r="D108" s="129"/>
      <c r="E108" s="3605"/>
      <c r="F108" s="3606"/>
      <c r="G108" s="1827" t="s">
        <v>1434</v>
      </c>
      <c r="H108" s="2555">
        <f ca="1">IF(H107=H101,H102,ROUND(H107*10000/'数据-汇总表'!E3,0))</f>
        <v>16238</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38"/>
      <c r="F112" s="3639"/>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北京市丰台区青塔西路58号院22号楼3层301-306/203-205房地产</v>
      </c>
      <c r="B118" s="2329">
        <f>M18</f>
        <v>1288.08</v>
      </c>
      <c r="C118" s="2329">
        <f>M19</f>
        <v>0</v>
      </c>
      <c r="D118" s="2329">
        <f ca="1">ROUND(IF(D32="总价",C34,E118*B118/10000),0)</f>
        <v>1393</v>
      </c>
      <c r="E118" s="2329">
        <f ca="1">ROUND(IF(C33="自定义",IF(D32="楼面单价",C34,D118*10000/B118),I118-G118),0)</f>
        <v>10815</v>
      </c>
      <c r="F118" s="2329">
        <f ca="1">ROUND(IF(D32="总价",C35,G118*B118/10000),0)</f>
        <v>699</v>
      </c>
      <c r="G118" s="2329">
        <f ca="1">ROUND(IF(D32="楼面单价",C35,F118*10000/B118),0)</f>
        <v>5423</v>
      </c>
      <c r="H118" s="2329">
        <f ca="1">ROUND(IF(D32="总价",C32,I118*B118/10000),0)</f>
        <v>2092</v>
      </c>
      <c r="I118" s="2329">
        <f ca="1">ROUND(IF(D32="楼面单价",C32,H118*10000/B118),0)</f>
        <v>16238</v>
      </c>
    </row>
    <row r="119" spans="1:27" ht="18.75" customHeight="1">
      <c r="A119" s="3576" t="s">
        <v>1452</v>
      </c>
      <c r="B119" s="3576"/>
      <c r="C119" s="3576"/>
      <c r="D119" s="3616" t="str">
        <f ca="1">NUMBERSTRING(INT(D118*10000),2)&amp;"元整"</f>
        <v>壹仟叁佰玖拾叁万元整</v>
      </c>
      <c r="E119" s="3618"/>
      <c r="F119" s="3616" t="str">
        <f ca="1">NUMBERSTRING(INT(F118*10000),2)&amp;"元整"</f>
        <v>陆佰玖拾玖万元整</v>
      </c>
      <c r="G119" s="3618"/>
      <c r="H119" s="3616" t="str">
        <f ca="1">NUMBERSTRING(INT(H118*10000),2)&amp;"元整"</f>
        <v>贰仟零玖拾贰万元整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2092</v>
      </c>
      <c r="E122" s="3641"/>
      <c r="F122" s="3641"/>
      <c r="G122" s="3641"/>
      <c r="H122" s="3641"/>
      <c r="I122" s="3642"/>
      <c r="AA122" s="725"/>
    </row>
    <row r="123" spans="1:27" ht="18.75" customHeight="1">
      <c r="A123" s="3576" t="s">
        <v>1452</v>
      </c>
      <c r="B123" s="3576"/>
      <c r="C123" s="3576"/>
      <c r="D123" s="3616" t="str">
        <f ca="1">NUMBERSTRING(INT(D122*10000),2)&amp;"元整"</f>
        <v>贰仟零玖拾贰万元整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24</v>
      </c>
      <c r="D10" s="845">
        <f ca="1">IF(B1="",'数据-汇总表'!E6,IF(INDIRECT("'数据-取费表'!c"&amp;$G$1)="住宅",INDIRECT("'数据-取费表'!s"&amp;$G$1),INDIRECT("'数据-取费表'!k"&amp;$G$1)+INDIRECT("'数据-取费表'!s"&amp;$G$1)))</f>
        <v>1288.08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26</v>
      </c>
      <c r="D19" s="849">
        <f ca="1">D9+D10</f>
        <v>1288.08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515</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v>
      </c>
      <c r="D37" s="217">
        <f ca="1">D19</f>
        <v>1288.08</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86</v>
      </c>
      <c r="D45" s="235">
        <f ca="1">C47</f>
        <v>3.0000000000000001E-3</v>
      </c>
      <c r="E45" s="236" t="s">
        <v>1539</v>
      </c>
      <c r="F45" s="246">
        <f ca="1">F27</f>
        <v>0.15</v>
      </c>
      <c r="G45" s="247" t="s">
        <v>1548</v>
      </c>
    </row>
    <row r="46" spans="1:7" s="214" customFormat="1" ht="13.5" customHeight="1">
      <c r="A46" s="780" t="s">
        <v>346</v>
      </c>
      <c r="B46" s="248" t="s">
        <v>1549</v>
      </c>
      <c r="C46" s="249">
        <f ca="1">ROUND((C33+C39)*F27,0)</f>
        <v>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736</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537</v>
      </c>
      <c r="D51" s="232"/>
      <c r="E51" s="232"/>
      <c r="F51" s="264"/>
      <c r="G51" s="234" t="s">
        <v>1560</v>
      </c>
    </row>
    <row r="52" spans="1:7" s="208" customFormat="1" ht="16.5" thickBot="1">
      <c r="A52" s="265" t="s">
        <v>1561</v>
      </c>
      <c r="B52" s="266"/>
      <c r="C52" s="267">
        <f ca="1">C31+C51</f>
        <v>573</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北京市丰台区青塔西路58号院22号楼3层301-306/203-205房地产抵押价值预评估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C21" sqref="C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1288.08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1475</v>
      </c>
      <c r="C2" s="1999" t="s">
        <v>1935</v>
      </c>
      <c r="D2" s="2000" t="s">
        <v>1936</v>
      </c>
      <c r="E2" s="3421"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17204</v>
      </c>
      <c r="U2" s="1213">
        <f>'数据-基础表'!I13/2</f>
        <v>644.04</v>
      </c>
      <c r="V2" s="3360">
        <f>ROUND(T2*U2/10000,0)</f>
        <v>1108</v>
      </c>
      <c r="W2" s="1216"/>
      <c r="X2" s="1216"/>
      <c r="Y2" s="1216"/>
      <c r="Z2" s="1216"/>
      <c r="AA2" s="1216"/>
      <c r="AB2" s="1216"/>
      <c r="AC2" s="1217"/>
      <c r="AD2" s="1218"/>
      <c r="AE2" s="1218"/>
      <c r="AF2" s="1218"/>
      <c r="AG2" s="1218"/>
      <c r="AH2" s="1218"/>
      <c r="AI2" s="1218"/>
      <c r="AJ2" s="1219"/>
    </row>
    <row r="3" spans="1:36" ht="15.75">
      <c r="A3" s="203" t="s">
        <v>1940</v>
      </c>
      <c r="B3" s="204">
        <f>ROUND(B2*10000/D1,0)</f>
        <v>11451</v>
      </c>
      <c r="C3" s="1999" t="s">
        <v>1941</v>
      </c>
      <c r="D3" s="2000" t="s">
        <v>1942</v>
      </c>
      <c r="E3" s="3419" t="s">
        <v>2442</v>
      </c>
      <c r="F3" s="2004" t="s">
        <v>3389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13560</v>
      </c>
      <c r="U3" s="1213">
        <f>U2</f>
        <v>644.04</v>
      </c>
      <c r="V3" s="3360">
        <f t="shared" ref="V3:V16" si="1">ROUND(T3*U3/10000,0)</f>
        <v>873</v>
      </c>
      <c r="W3" s="1216"/>
      <c r="X3" s="1216"/>
      <c r="Y3" s="1216"/>
      <c r="Z3" s="1216"/>
      <c r="AA3" s="1216"/>
      <c r="AB3" s="1216"/>
      <c r="AC3" s="1217"/>
      <c r="AD3" s="1218"/>
      <c r="AE3" s="1218"/>
      <c r="AF3" s="1218"/>
      <c r="AG3" s="1218"/>
      <c r="AH3" s="1218"/>
      <c r="AI3" s="1218"/>
      <c r="AJ3" s="1219"/>
    </row>
    <row r="4" spans="1:36" ht="15.75">
      <c r="A4" s="3666"/>
      <c r="B4" s="3667"/>
      <c r="C4" s="3667"/>
      <c r="D4" s="3668"/>
      <c r="E4" s="3668"/>
      <c r="F4" s="3668"/>
      <c r="G4" s="3668"/>
      <c r="H4" s="3668"/>
      <c r="I4" s="3668"/>
      <c r="J4" s="36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11460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14582</v>
      </c>
      <c r="D5" s="1339">
        <f>ROUND(C6*C17+C20,0)</f>
        <v>14582</v>
      </c>
      <c r="E5" s="1339"/>
      <c r="F5" s="2007"/>
      <c r="G5" s="2008"/>
      <c r="H5" s="2008"/>
      <c r="I5" s="2008"/>
      <c r="J5" s="2009"/>
      <c r="K5" s="2010"/>
      <c r="L5" s="2003" t="s">
        <v>1948</v>
      </c>
      <c r="M5" s="864">
        <f>SUMPRODUCT((区片价!B87:B126=I2)*(区片价!C3:G3=E2)*(区片价!C87:G126))</f>
        <v>14620</v>
      </c>
      <c r="N5" s="866">
        <f>SUMPRODUCT((因素修正幅度!B87:B126=I2)*(因素修正幅度!C3:G3=E2)*(因素修正幅度!C87:G126))</f>
        <v>0.1</v>
      </c>
      <c r="O5" s="1119"/>
      <c r="P5" s="1119"/>
      <c r="Q5" s="1119"/>
      <c r="R5" s="1212">
        <v>4</v>
      </c>
      <c r="S5" s="3360">
        <f>ROUND(SUMPRODUCT((B106:B110=R5)*(C105:N105=G2)*(C106:N110)),4)</f>
        <v>0.88239999999999996</v>
      </c>
      <c r="T5" s="3360">
        <f t="shared" si="0"/>
        <v>10108</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9713</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8"/>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665"/>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6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3245</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3246</v>
      </c>
      <c r="G14" s="3311" t="s">
        <v>3246</v>
      </c>
      <c r="H14" s="3311" t="s">
        <v>3246</v>
      </c>
      <c r="I14" s="3311" t="s">
        <v>3246</v>
      </c>
      <c r="J14" s="3311" t="s">
        <v>3246</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3251</v>
      </c>
      <c r="E18" s="3328"/>
      <c r="F18" s="3323" t="s">
        <v>3254</v>
      </c>
      <c r="G18" s="3327">
        <f>ROUND(1-(1/(POWER(1+G24,E18))),4)</f>
        <v>0</v>
      </c>
      <c r="H18" s="3323" t="s">
        <v>3256</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70" t="s">
        <v>3257</v>
      </c>
      <c r="B20" s="167" t="s">
        <v>1994</v>
      </c>
      <c r="C20" s="3324">
        <f>ROUND(IF(F21="与级别开发程度一致",0,(G21-E21)/C21),0)</f>
        <v>-38</v>
      </c>
      <c r="D20" s="3340" t="s">
        <v>1998</v>
      </c>
      <c r="E20" s="3341"/>
      <c r="F20" s="3676" t="s">
        <v>1995</v>
      </c>
      <c r="G20" s="3677"/>
      <c r="H20" s="3325" t="s">
        <v>3391</v>
      </c>
      <c r="I20" s="3325" t="s">
        <v>3392</v>
      </c>
      <c r="J20" s="3326" t="s">
        <v>3392</v>
      </c>
      <c r="K20" s="2047" t="s">
        <v>3393</v>
      </c>
      <c r="L20" s="2047" t="s">
        <v>3394</v>
      </c>
      <c r="M20" s="2047"/>
      <c r="N20" s="2047" t="s">
        <v>3395</v>
      </c>
      <c r="O20" s="2048" t="s">
        <v>3396</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45279</v>
      </c>
      <c r="H23" s="3342" t="s">
        <v>3258</v>
      </c>
      <c r="I23" s="3343" t="str">
        <f>IF(H23="季度增幅（自定义）",SUMIF(N25:N28,E2,O25:O28),"")</f>
        <v/>
      </c>
      <c r="J23" s="3445" t="s">
        <v>3397</v>
      </c>
      <c r="K23" s="1125"/>
      <c r="L23" s="2055" t="s">
        <v>2004</v>
      </c>
      <c r="M23" s="1328">
        <f>ROUND(SUMIF(地价!B2:G2,E2,地价!B16:G16),0)</f>
        <v>350</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0.753</v>
      </c>
      <c r="D24" s="2060" t="s">
        <v>2007</v>
      </c>
      <c r="E24" s="1335">
        <f>存贷款利率!E24/100</f>
        <v>4.3499999999999997E-2</v>
      </c>
      <c r="F24" s="2060" t="s">
        <v>1999</v>
      </c>
      <c r="G24" s="768">
        <f>SUMIF(M30:Q30,E2,M33:Q33)</f>
        <v>5.5E-2</v>
      </c>
      <c r="H24" s="2060" t="s">
        <v>2008</v>
      </c>
      <c r="I24" s="769">
        <f>SUMIF('数据-取费表'!C6:C15,E2,'数据-取费表'!F6:F15)/COUNTIF('数据-取费表'!C6:C15,E2)</f>
        <v>20.399999999999999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3469</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1475</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11455</v>
      </c>
      <c r="D33" s="2098">
        <f>'数据-汇总表'!F19</f>
        <v>1288.08</v>
      </c>
      <c r="E33" s="773">
        <f>ROUND(C33*D33/10000,0)</f>
        <v>1475</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2864</v>
      </c>
      <c r="D34" s="2103"/>
      <c r="E34" s="773">
        <f>ROUND(IF(B25="楼层修正",SUM(V2:V16)*M40,C34*D34/10000),0)</f>
        <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4"/>
      <c r="B37" s="2113" t="s">
        <v>2036</v>
      </c>
      <c r="C37" s="175">
        <f>ROUND(D5*C22*C23*C24*C28*F37,0)</f>
        <v>6873</v>
      </c>
      <c r="D37" s="2098"/>
      <c r="E37" s="171">
        <f>ROUND(C37*D37/10000,0)</f>
        <v>0</v>
      </c>
      <c r="F37" s="171">
        <f>SUMIF(修正!A57:A68,G2,修正!B57:B68)</f>
        <v>0.6</v>
      </c>
      <c r="G37" s="171">
        <f>ROUND(IF(E2="工业",C37*$M$42,C37*$M$41),0)</f>
        <v>1718</v>
      </c>
      <c r="H37" s="171">
        <f>D37</f>
        <v>0</v>
      </c>
      <c r="I37" s="171">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f>ROUND(D5*C22*C23*C24*C28*F38,0)</f>
        <v>3436</v>
      </c>
      <c r="D38" s="2098"/>
      <c r="E38" s="171">
        <f t="shared" ref="E38:E42" si="4">ROUND(C38*D38/10000,0)</f>
        <v>0</v>
      </c>
      <c r="F38" s="171">
        <f>SUMIF(修正!A57:A68,G2,修正!C57:C68)</f>
        <v>0.3</v>
      </c>
      <c r="G38" s="171">
        <f>ROUND(IF(E2="工业",C38*$M$42,C38*$M$41),0)</f>
        <v>859</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75"/>
      <c r="B39" s="2041" t="s">
        <v>3261</v>
      </c>
      <c r="C39" s="175">
        <f>ROUND(D5*C22*C23*C24*C28*F39,0)</f>
        <v>2864</v>
      </c>
      <c r="D39" s="2098"/>
      <c r="E39" s="171">
        <f t="shared" si="4"/>
        <v>0</v>
      </c>
      <c r="F39" s="171">
        <f>SUMIF(修正!A57:A68,G2,修正!D57:D68)</f>
        <v>0.25</v>
      </c>
      <c r="G39" s="171">
        <f>ROUND(IF(E2="工业",C39*$M$42,C39*$M$41),0)</f>
        <v>716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2864</v>
      </c>
      <c r="D40" s="2098"/>
      <c r="E40" s="171">
        <f t="shared" si="4"/>
        <v>0</v>
      </c>
      <c r="F40" s="175">
        <f>SUMIF(修正!A57:A68,G2,修正!E57:E68)</f>
        <v>0.25</v>
      </c>
      <c r="G40" s="171">
        <f>ROUND(IF(E2="工业",C40*$M$42,C40*$M$41),0)</f>
        <v>716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3399</v>
      </c>
      <c r="D50" s="1065">
        <f t="shared" ref="D50:D58" si="7">SUMIF($J$49:$N$49,C50,J50:N50)</f>
        <v>0</v>
      </c>
      <c r="E50" s="744">
        <f>ROUND(SUM(D50:D58),4)</f>
        <v>0</v>
      </c>
      <c r="F50" s="1814">
        <f>IF(E2="商业",SUMIF(L1:L12,G2,N1:N12),"——")</f>
        <v>0.1</v>
      </c>
      <c r="G50" s="1063">
        <f>H50</f>
        <v>1.4999999999999999E-2</v>
      </c>
      <c r="H50" s="1066">
        <f t="shared" ref="H50:H58" si="8">IFERROR(ROUNDDOWN($F$50*I50/2,4),"——")</f>
        <v>1.4999999999999999E-2</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3399</v>
      </c>
      <c r="D51" s="1065">
        <f t="shared" si="7"/>
        <v>0</v>
      </c>
      <c r="E51" s="745"/>
      <c r="F51" s="1814"/>
      <c r="G51" s="1063">
        <f t="shared" ref="G51:G58" si="12">H51</f>
        <v>1.0999999999999999E-2</v>
      </c>
      <c r="H51" s="1066">
        <f t="shared" si="8"/>
        <v>1.0999999999999999E-2</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8" t="s">
        <v>3271</v>
      </c>
      <c r="B52" s="2134">
        <f>估价对象房地状况!C19</f>
        <v>0</v>
      </c>
      <c r="C52" s="2044" t="s">
        <v>3399</v>
      </c>
      <c r="D52" s="1065">
        <f t="shared" si="7"/>
        <v>0</v>
      </c>
      <c r="E52" s="745"/>
      <c r="F52" s="1814"/>
      <c r="G52" s="1063">
        <f t="shared" si="12"/>
        <v>6.0000000000000001E-3</v>
      </c>
      <c r="H52" s="1066">
        <f t="shared" si="8"/>
        <v>6.0000000000000001E-3</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0</v>
      </c>
      <c r="E53" s="745"/>
      <c r="F53" s="1814"/>
      <c r="G53" s="1063">
        <f t="shared" si="12"/>
        <v>2.5000000000000001E-3</v>
      </c>
      <c r="H53" s="1066">
        <f t="shared" si="8"/>
        <v>2.5000000000000001E-3</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0</v>
      </c>
      <c r="E54" s="745"/>
      <c r="F54" s="1814"/>
      <c r="G54" s="1063">
        <f t="shared" si="12"/>
        <v>4.0000000000000001E-3</v>
      </c>
      <c r="H54" s="1066">
        <f t="shared" si="8"/>
        <v>4.0000000000000001E-3</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0</v>
      </c>
      <c r="E55" s="745"/>
      <c r="F55" s="1814"/>
      <c r="G55" s="1063">
        <f t="shared" si="12"/>
        <v>2.5000000000000001E-3</v>
      </c>
      <c r="H55" s="1066">
        <f t="shared" si="8"/>
        <v>2.5000000000000001E-3</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0</v>
      </c>
      <c r="E56" s="745"/>
      <c r="F56" s="1814"/>
      <c r="G56" s="1063">
        <f t="shared" si="12"/>
        <v>2.5000000000000001E-3</v>
      </c>
      <c r="H56" s="1066">
        <f t="shared" si="8"/>
        <v>2.5000000000000001E-3</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0</v>
      </c>
      <c r="E57" s="745"/>
      <c r="F57" s="1814"/>
      <c r="G57" s="1063">
        <f t="shared" si="12"/>
        <v>4.0000000000000001E-3</v>
      </c>
      <c r="H57" s="1066">
        <f t="shared" si="8"/>
        <v>4.0000000000000001E-3</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3399</v>
      </c>
      <c r="D58" s="1065">
        <f t="shared" si="7"/>
        <v>0</v>
      </c>
      <c r="E58" s="746"/>
      <c r="F58" s="1814"/>
      <c r="G58" s="1063">
        <f t="shared" si="12"/>
        <v>2.5000000000000001E-3</v>
      </c>
      <c r="H58" s="1066">
        <f t="shared" si="8"/>
        <v>2.5000000000000001E-3</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3271</v>
      </c>
      <c r="B63" s="2134">
        <f>估价对象房地状况!C19</f>
        <v>0</v>
      </c>
      <c r="C63" s="2044"/>
      <c r="D63" s="1065">
        <f t="shared" si="13"/>
        <v>0</v>
      </c>
      <c r="E63" s="745"/>
      <c r="F63" s="1814"/>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3271</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3272</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72" t="s">
        <v>3296</v>
      </c>
      <c r="B103" s="3672"/>
      <c r="C103" s="3672"/>
      <c r="D103" s="3672"/>
      <c r="E103" s="3672"/>
      <c r="F103" s="3672"/>
      <c r="G103" s="3672"/>
      <c r="H103" s="3672"/>
      <c r="I103" s="3672"/>
      <c r="J103" s="3672"/>
      <c r="K103" s="3389"/>
      <c r="L103" s="3389"/>
      <c r="M103" s="3389"/>
      <c r="N103" s="3389"/>
    </row>
    <row r="104" spans="1:14">
      <c r="A104" s="3673" t="s">
        <v>3297</v>
      </c>
      <c r="B104" s="3673" t="s">
        <v>3298</v>
      </c>
      <c r="C104" s="3390" t="s">
        <v>3299</v>
      </c>
      <c r="D104" s="3391"/>
      <c r="E104" s="3391"/>
      <c r="F104" s="3391"/>
      <c r="G104" s="3391"/>
      <c r="H104" s="3391"/>
      <c r="I104" s="3391"/>
      <c r="J104" s="3392"/>
      <c r="K104" s="3393"/>
      <c r="L104" s="3393"/>
      <c r="M104" s="3393"/>
      <c r="N104" s="3393"/>
    </row>
    <row r="105" spans="1:14">
      <c r="A105" s="3673"/>
      <c r="B105" s="3673"/>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659"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60"/>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6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62" t="s">
        <v>3313</v>
      </c>
      <c r="B113" s="3662"/>
      <c r="C113" s="3662"/>
      <c r="D113" s="3662"/>
      <c r="E113" s="3662"/>
      <c r="F113" s="3662"/>
      <c r="G113" s="3662"/>
      <c r="H113" s="3662"/>
      <c r="I113" s="3662"/>
      <c r="J113" s="36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2.5</v>
      </c>
      <c r="C116" s="3399" t="s">
        <v>3315</v>
      </c>
      <c r="D116" s="3400">
        <f>SUMPRODUCT((A118:A122=F116)*(B117:M117=H116)*B118:M122)</f>
        <v>0.91400000000000003</v>
      </c>
      <c r="E116" s="2000" t="s">
        <v>3316</v>
      </c>
      <c r="F116" s="3401" t="str">
        <f>E2</f>
        <v>商业</v>
      </c>
      <c r="G116" s="2000" t="s">
        <v>3317</v>
      </c>
      <c r="H116" s="3401" t="str">
        <f>G2</f>
        <v>五级</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3331</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3332</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3333</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3451</v>
      </c>
      <c r="E1" s="3425"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29405</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2" t="s">
        <v>1772</v>
      </c>
      <c r="AC4" s="3694" t="s">
        <v>1773</v>
      </c>
    </row>
    <row r="5" spans="1:29" ht="15">
      <c r="A5" s="358"/>
      <c r="B5" s="359"/>
      <c r="C5" s="3720" t="s">
        <v>1673</v>
      </c>
      <c r="D5" s="3716"/>
      <c r="E5" s="3723" t="s">
        <v>3464</v>
      </c>
      <c r="F5" s="3724"/>
      <c r="G5" s="3715" t="s">
        <v>3465</v>
      </c>
      <c r="H5" s="3716"/>
      <c r="I5" s="3715" t="s">
        <v>3444</v>
      </c>
      <c r="J5" s="3716"/>
      <c r="K5" s="559"/>
      <c r="L5" s="2714"/>
      <c r="M5" s="2715"/>
      <c r="N5" s="2715"/>
      <c r="O5" s="2715"/>
      <c r="P5" s="3703"/>
      <c r="Q5" s="3704"/>
      <c r="R5" s="3709"/>
      <c r="S5" s="3710"/>
      <c r="T5" s="3709"/>
      <c r="U5" s="3710"/>
      <c r="V5" s="3692"/>
      <c r="W5" s="3692"/>
      <c r="X5" s="1355"/>
      <c r="Y5" s="3709"/>
      <c r="Z5" s="3710"/>
      <c r="AA5" s="3695"/>
      <c r="AB5" s="3692"/>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2"/>
      <c r="AC6" s="3696"/>
    </row>
    <row r="7" spans="1:29" s="108" customFormat="1" ht="15.75" thickBot="1">
      <c r="A7" s="362" t="s">
        <v>1679</v>
      </c>
      <c r="B7" s="363"/>
      <c r="C7" s="364">
        <f>'数据-取费表'!B2</f>
        <v>45279</v>
      </c>
      <c r="D7" s="365">
        <v>100</v>
      </c>
      <c r="E7" s="366">
        <f>C7</f>
        <v>45279</v>
      </c>
      <c r="F7" s="367">
        <f>SUMIF(58:58,YEAR(E7)&amp;"-"&amp;MONTH(E7),59:59)</f>
        <v>100</v>
      </c>
      <c r="G7" s="366">
        <f>C7</f>
        <v>45279</v>
      </c>
      <c r="H7" s="365">
        <f>SUMIF(58:58,YEAR(G7)&amp;"-"&amp;MONTH(G7),59:59)</f>
        <v>100</v>
      </c>
      <c r="I7" s="366">
        <f>C7</f>
        <v>45279</v>
      </c>
      <c r="J7" s="365">
        <f>SUMIF(58:58,YEAR(I7)&amp;"-"&amp;MONTH(I7),59:59)</f>
        <v>100</v>
      </c>
      <c r="K7" s="560"/>
      <c r="L7" s="2716"/>
      <c r="M7" s="2717"/>
      <c r="N7" s="2717"/>
      <c r="O7" s="2717"/>
      <c r="P7" s="3717" t="s">
        <v>1680</v>
      </c>
      <c r="Q7" s="3719"/>
      <c r="R7" s="701" t="s">
        <v>14</v>
      </c>
      <c r="S7" s="702">
        <f t="shared" ref="S7:S15" si="0">F7</f>
        <v>100</v>
      </c>
      <c r="T7" s="701" t="s">
        <v>14</v>
      </c>
      <c r="U7" s="702">
        <f t="shared" ref="U7:U15" si="1">H7</f>
        <v>100</v>
      </c>
      <c r="V7" s="701" t="s">
        <v>14</v>
      </c>
      <c r="W7" s="702">
        <f t="shared" ref="W7:W15" si="2">J7</f>
        <v>100</v>
      </c>
      <c r="X7" s="703"/>
      <c r="Y7" s="3717" t="s">
        <v>1680</v>
      </c>
      <c r="Z7" s="3718"/>
      <c r="AA7" s="704">
        <f>D7/F7</f>
        <v>1</v>
      </c>
      <c r="AB7" s="704">
        <f>D7/H7</f>
        <v>1</v>
      </c>
      <c r="AC7" s="704">
        <f>D7/J7</f>
        <v>1</v>
      </c>
    </row>
    <row r="8" spans="1:29" s="108" customFormat="1" ht="15.75" thickBot="1">
      <c r="A8" s="362" t="s">
        <v>1681</v>
      </c>
      <c r="B8" s="363"/>
      <c r="C8" s="368" t="s">
        <v>3408</v>
      </c>
      <c r="D8" s="365">
        <v>100</v>
      </c>
      <c r="E8" s="368" t="s">
        <v>3409</v>
      </c>
      <c r="F8" s="367">
        <f>SUMIF(61:61,E8,62:62)-SUMIF(61:61,C8,62:62)+100</f>
        <v>102</v>
      </c>
      <c r="G8" s="368" t="s">
        <v>3409</v>
      </c>
      <c r="H8" s="365">
        <f>SUMIF(61:61,G8,62:62)-SUMIF(61:61,C8,62:62)+100</f>
        <v>102</v>
      </c>
      <c r="I8" s="368" t="s">
        <v>3409</v>
      </c>
      <c r="J8" s="365">
        <f>SUMIF(61:61,I8,62:62)-SUMIF(61:61,C8,62:62)+100</f>
        <v>102</v>
      </c>
      <c r="K8" s="560"/>
      <c r="L8" s="2716"/>
      <c r="M8" s="2717"/>
      <c r="N8" s="2717"/>
      <c r="O8" s="2717"/>
      <c r="P8" s="3717" t="s">
        <v>1683</v>
      </c>
      <c r="Q8" s="3718"/>
      <c r="R8" s="701" t="s">
        <v>14</v>
      </c>
      <c r="S8" s="702">
        <f t="shared" si="0"/>
        <v>102</v>
      </c>
      <c r="T8" s="701" t="s">
        <v>14</v>
      </c>
      <c r="U8" s="702">
        <f t="shared" si="1"/>
        <v>102</v>
      </c>
      <c r="V8" s="701" t="s">
        <v>14</v>
      </c>
      <c r="W8" s="702">
        <f t="shared" si="2"/>
        <v>102</v>
      </c>
      <c r="X8" s="703"/>
      <c r="Y8" s="3717" t="s">
        <v>1683</v>
      </c>
      <c r="Z8" s="371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3411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3" t="s">
        <v>3415</v>
      </c>
      <c r="D10" s="127">
        <v>100</v>
      </c>
      <c r="E10" s="3433" t="s">
        <v>3415</v>
      </c>
      <c r="F10" s="376">
        <f>SUMIF(65:65,E10,66:66)-SUMIF(65:65,C10,66:66)+100</f>
        <v>100</v>
      </c>
      <c r="G10" s="3433" t="s">
        <v>3415</v>
      </c>
      <c r="H10" s="127">
        <f>SUMIF(65:65,G10,66:66)-SUMIF(65:65,C10,66:66)+100</f>
        <v>100</v>
      </c>
      <c r="I10" s="3433" t="s">
        <v>3415</v>
      </c>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1"/>
      <c r="M15" s="2715"/>
      <c r="N15" s="2715"/>
      <c r="O15" s="2715"/>
      <c r="P15" s="3683" t="s">
        <v>1691</v>
      </c>
      <c r="Q15" s="1352" t="str">
        <f t="shared" si="6"/>
        <v>商业繁华度</v>
      </c>
      <c r="R15" s="705" t="s">
        <v>14</v>
      </c>
      <c r="S15" s="706">
        <f t="shared" si="0"/>
        <v>100</v>
      </c>
      <c r="T15" s="705" t="s">
        <v>14</v>
      </c>
      <c r="U15" s="706">
        <f t="shared" si="1"/>
        <v>100</v>
      </c>
      <c r="V15" s="705" t="s">
        <v>14</v>
      </c>
      <c r="W15" s="706">
        <f t="shared" si="2"/>
        <v>97</v>
      </c>
      <c r="X15" s="1355"/>
      <c r="Y15" s="3685" t="s">
        <v>1691</v>
      </c>
      <c r="Z15" s="1356" t="str">
        <f t="shared" si="7"/>
        <v>商业繁华度</v>
      </c>
      <c r="AA15" s="1353">
        <f t="shared" si="3"/>
        <v>1</v>
      </c>
      <c r="AB15" s="1353">
        <f t="shared" si="4"/>
        <v>1</v>
      </c>
      <c r="AC15" s="1353">
        <f t="shared" si="5"/>
        <v>1.0309278350515463</v>
      </c>
    </row>
    <row r="16" spans="1:29" ht="15">
      <c r="A16" s="379"/>
      <c r="B16" s="397"/>
      <c r="C16" s="398" t="s">
        <v>3398</v>
      </c>
      <c r="D16" s="399"/>
      <c r="E16" s="398" t="s">
        <v>3398</v>
      </c>
      <c r="F16" s="400"/>
      <c r="G16" s="398" t="s">
        <v>3398</v>
      </c>
      <c r="H16" s="401"/>
      <c r="I16" s="398" t="s">
        <v>3399</v>
      </c>
      <c r="J16" s="399"/>
      <c r="K16" s="564"/>
      <c r="L16" s="2721"/>
      <c r="M16" s="2715"/>
      <c r="N16" s="2715"/>
      <c r="O16" s="2715"/>
      <c r="P16" s="3684"/>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t="s">
        <v>3398</v>
      </c>
      <c r="D18" s="401"/>
      <c r="E18" s="1901" t="s">
        <v>3398</v>
      </c>
      <c r="F18" s="404"/>
      <c r="G18" s="1902" t="s">
        <v>3398</v>
      </c>
      <c r="H18" s="399"/>
      <c r="I18" s="1902" t="s">
        <v>3398</v>
      </c>
      <c r="J18" s="399"/>
      <c r="K18" s="564"/>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t="s">
        <v>3398</v>
      </c>
      <c r="D20" s="399"/>
      <c r="E20" s="398" t="s">
        <v>3398</v>
      </c>
      <c r="F20" s="400"/>
      <c r="G20" s="1897" t="s">
        <v>3398</v>
      </c>
      <c r="H20" s="399"/>
      <c r="I20" s="1897" t="s">
        <v>3398</v>
      </c>
      <c r="J20" s="399"/>
      <c r="K20" s="564"/>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t="s">
        <v>3427</v>
      </c>
      <c r="D22" s="399"/>
      <c r="E22" s="1901" t="s">
        <v>3427</v>
      </c>
      <c r="F22" s="400"/>
      <c r="G22" s="1901" t="s">
        <v>3427</v>
      </c>
      <c r="H22" s="399"/>
      <c r="I22" s="1901" t="s">
        <v>3427</v>
      </c>
      <c r="J22" s="399"/>
      <c r="K22" s="1130"/>
      <c r="L22" s="2721"/>
      <c r="M22" s="2715"/>
      <c r="N22" s="2715"/>
      <c r="O22" s="2715"/>
      <c r="P22" s="3684"/>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4"/>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t="s">
        <v>3398</v>
      </c>
      <c r="D24" s="399"/>
      <c r="E24" s="398" t="s">
        <v>3398</v>
      </c>
      <c r="F24" s="400"/>
      <c r="G24" s="398" t="s">
        <v>3398</v>
      </c>
      <c r="H24" s="399"/>
      <c r="I24" s="398" t="s">
        <v>3398</v>
      </c>
      <c r="J24" s="399"/>
      <c r="K24" s="564"/>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1"/>
      <c r="M25" s="2715"/>
      <c r="N25" s="2715"/>
      <c r="O25" s="2715"/>
      <c r="P25" s="3684"/>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t="s">
        <v>3417</v>
      </c>
      <c r="D27" s="413">
        <v>100</v>
      </c>
      <c r="E27" s="1956" t="s">
        <v>3417</v>
      </c>
      <c r="F27" s="415">
        <f>SUMIF(90:90,E27,91:91)-SUMIF(90:90,C27,91:91)+100</f>
        <v>100</v>
      </c>
      <c r="G27" s="1956" t="s">
        <v>3417</v>
      </c>
      <c r="H27" s="413">
        <f>SUMIF(90:90,G27,91:91)-SUMIF(90:90,C27,91:91)+100</f>
        <v>100</v>
      </c>
      <c r="I27" s="398" t="s">
        <v>3399</v>
      </c>
      <c r="J27" s="413">
        <f>SUMIF(90:90,I27,91:91)-SUMIF(90:90,C27,91:91)+100</f>
        <v>97</v>
      </c>
      <c r="K27" s="561">
        <v>3</v>
      </c>
      <c r="L27" s="2716"/>
      <c r="M27" s="2717"/>
      <c r="N27" s="2717"/>
      <c r="O27" s="2717"/>
      <c r="P27" s="3684"/>
      <c r="Q27" s="1343" t="str">
        <f t="shared" si="11"/>
        <v>人流量</v>
      </c>
      <c r="R27" s="701" t="s">
        <v>14</v>
      </c>
      <c r="S27" s="702">
        <f>F27</f>
        <v>100</v>
      </c>
      <c r="T27" s="701" t="s">
        <v>14</v>
      </c>
      <c r="U27" s="702">
        <f>H27</f>
        <v>100</v>
      </c>
      <c r="V27" s="701" t="s">
        <v>14</v>
      </c>
      <c r="W27" s="702">
        <f>J27</f>
        <v>97</v>
      </c>
      <c r="X27" s="703"/>
      <c r="Y27" s="3686"/>
      <c r="Z27" s="52" t="str">
        <f>Q27</f>
        <v>人流量</v>
      </c>
      <c r="AA27" s="1353">
        <f>D27/F27</f>
        <v>1</v>
      </c>
      <c r="AB27" s="1353">
        <f>D27/H27</f>
        <v>1</v>
      </c>
      <c r="AC27" s="1353">
        <f>D27/J27</f>
        <v>1.0309278350515463</v>
      </c>
    </row>
    <row r="28" spans="1:29" ht="15">
      <c r="A28" s="379"/>
      <c r="B28" s="375" t="s">
        <v>1783</v>
      </c>
      <c r="C28" s="565" t="s">
        <v>3428</v>
      </c>
      <c r="D28" s="386">
        <v>100</v>
      </c>
      <c r="E28" s="565" t="s">
        <v>3428</v>
      </c>
      <c r="F28" s="412">
        <f>SUMIF(92:92,E28,93:93)-SUMIF(92:92,C28,93:93)+100</f>
        <v>100</v>
      </c>
      <c r="G28" s="565" t="s">
        <v>3428</v>
      </c>
      <c r="H28" s="386">
        <f>SUMIF(92:92,G28,93:93)-SUMIF(92:92,C28,93:93)+100</f>
        <v>100</v>
      </c>
      <c r="I28" s="565" t="s">
        <v>3428</v>
      </c>
      <c r="J28" s="386">
        <f>SUMIF(92:92,I28,93:93)-SUMIF(92:92,C28,93:93)+100</f>
        <v>100</v>
      </c>
      <c r="K28" s="562"/>
      <c r="L28" s="2721"/>
      <c r="M28" s="2715"/>
      <c r="N28" s="2715"/>
      <c r="O28" s="2715"/>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t="s">
        <v>3426</v>
      </c>
      <c r="D32" s="418">
        <v>100</v>
      </c>
      <c r="E32" s="1910" t="s">
        <v>3426</v>
      </c>
      <c r="F32" s="412">
        <f>SUMIF(100:100,E32,101:101)-SUMIF(100:100,C32,101:101)+100</f>
        <v>100</v>
      </c>
      <c r="G32" s="1910" t="s">
        <v>3426</v>
      </c>
      <c r="H32" s="386">
        <f>SUMIF(100:100,G32,101:101)-SUMIF(100:100,C32,101:101)+100</f>
        <v>100</v>
      </c>
      <c r="I32" s="1910" t="s">
        <v>3426</v>
      </c>
      <c r="J32" s="418">
        <f>SUMIF(100:100,I32,101:101)-SUMIF(100:100,C32,101:101)+100</f>
        <v>100</v>
      </c>
      <c r="K32" s="561">
        <v>1</v>
      </c>
      <c r="L32" s="2721"/>
      <c r="M32" s="2715"/>
      <c r="N32" s="2715"/>
      <c r="O32" s="2715"/>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1288.08</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20"/>
      <c r="M33" s="2722"/>
      <c r="N33" s="2722"/>
      <c r="O33" s="2722"/>
      <c r="P33" s="3688"/>
      <c r="Q33" s="707" t="str">
        <f t="shared" si="11"/>
        <v>项目建筑规模</v>
      </c>
      <c r="R33" s="708" t="s">
        <v>14</v>
      </c>
      <c r="S33" s="709">
        <f t="shared" si="12"/>
        <v>104</v>
      </c>
      <c r="T33" s="708" t="s">
        <v>14</v>
      </c>
      <c r="U33" s="709">
        <f t="shared" si="13"/>
        <v>104</v>
      </c>
      <c r="V33" s="708" t="s">
        <v>14</v>
      </c>
      <c r="W33" s="709">
        <f t="shared" si="14"/>
        <v>106</v>
      </c>
      <c r="X33" s="710"/>
      <c r="Y33" s="3690"/>
      <c r="Z33" s="711" t="str">
        <f t="shared" si="15"/>
        <v>项目建筑规模</v>
      </c>
      <c r="AA33" s="1353">
        <f t="shared" si="3"/>
        <v>0.96153846153846156</v>
      </c>
      <c r="AB33" s="1353">
        <f t="shared" si="4"/>
        <v>0.96153846153846156</v>
      </c>
      <c r="AC33" s="1353">
        <f t="shared" si="5"/>
        <v>0.94339622641509435</v>
      </c>
    </row>
    <row r="34" spans="1:29" ht="15">
      <c r="A34" s="423"/>
      <c r="B34" s="375" t="s">
        <v>1698</v>
      </c>
      <c r="C34" s="1912" t="s">
        <v>3403</v>
      </c>
      <c r="D34" s="386">
        <v>100</v>
      </c>
      <c r="E34" s="1912" t="s">
        <v>3403</v>
      </c>
      <c r="F34" s="412">
        <f>SUMIF(105:105,E34,106:106)-SUMIF(105:105,C34,106:106)+100</f>
        <v>100</v>
      </c>
      <c r="G34" s="1912" t="s">
        <v>3403</v>
      </c>
      <c r="H34" s="386">
        <f>SUMIF(105:105,G34,106:106)-SUMIF(105:105,C34,106:106)+100</f>
        <v>100</v>
      </c>
      <c r="I34" s="1912" t="s">
        <v>3403</v>
      </c>
      <c r="J34" s="386">
        <f>SUMIF(105:105,I34,106:106)-SUMIF(105:105,C34,106:106)+100</f>
        <v>100</v>
      </c>
      <c r="K34" s="561">
        <v>2</v>
      </c>
      <c r="L34" s="2721"/>
      <c r="M34" s="2715"/>
      <c r="N34" s="2715"/>
      <c r="O34" s="2715"/>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t="s">
        <v>3413</v>
      </c>
      <c r="D35" s="386">
        <v>100</v>
      </c>
      <c r="E35" s="1906" t="s">
        <v>3413</v>
      </c>
      <c r="F35" s="412">
        <f>SUMIF(107:107,E35,108:108)-SUMIF(107:107,C35,108:108)+100</f>
        <v>100</v>
      </c>
      <c r="G35" s="1906" t="s">
        <v>3413</v>
      </c>
      <c r="H35" s="386">
        <f>SUMIF(107:107,G35,108:108)-SUMIF(107:107,C35,108:108)+100</f>
        <v>100</v>
      </c>
      <c r="I35" s="1906" t="s">
        <v>3413</v>
      </c>
      <c r="J35" s="386">
        <f>SUMIF(107:107,I35,108:108)-SUMIF(107:107,C35,108:108)+100</f>
        <v>100</v>
      </c>
      <c r="K35" s="561">
        <v>2</v>
      </c>
      <c r="L35" s="2721"/>
      <c r="M35" s="2715"/>
      <c r="N35" s="2715"/>
      <c r="O35" s="2715"/>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88"/>
      <c r="Q36" s="1352" t="str">
        <f t="shared" si="11"/>
        <v>成新度</v>
      </c>
      <c r="R36" s="705" t="s">
        <v>14</v>
      </c>
      <c r="S36" s="706">
        <f t="shared" si="12"/>
        <v>100</v>
      </c>
      <c r="T36" s="705" t="s">
        <v>14</v>
      </c>
      <c r="U36" s="706">
        <f t="shared" si="13"/>
        <v>100</v>
      </c>
      <c r="V36" s="705" t="s">
        <v>14</v>
      </c>
      <c r="W36" s="706">
        <f t="shared" si="14"/>
        <v>100</v>
      </c>
      <c r="X36" s="1355"/>
      <c r="Y36" s="3690"/>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561">
        <v>10</v>
      </c>
      <c r="L38" s="2721"/>
      <c r="M38" s="2715"/>
      <c r="N38" s="2715"/>
      <c r="O38" s="2715"/>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t="s">
        <v>3433</v>
      </c>
      <c r="D39" s="386">
        <v>100</v>
      </c>
      <c r="E39" s="1906" t="s">
        <v>3445</v>
      </c>
      <c r="F39" s="412">
        <f>SUMIF(116:116,E39,117:117)-SUMIF(116:116,C39,117:117)+100</f>
        <v>110</v>
      </c>
      <c r="G39" s="1906" t="s">
        <v>3433</v>
      </c>
      <c r="H39" s="386">
        <f>SUMIF(116:116,G39,117:117)-SUMIF(116:116,C39,117:117)+100</f>
        <v>100</v>
      </c>
      <c r="I39" s="1906" t="s">
        <v>3433</v>
      </c>
      <c r="J39" s="386">
        <f>SUMIF(116:116,I39,117:117)-SUMIF(116:116,C39,117:117)+100</f>
        <v>100</v>
      </c>
      <c r="K39" s="561">
        <v>10</v>
      </c>
      <c r="L39" s="2721"/>
      <c r="M39" s="2715"/>
      <c r="N39" s="2715"/>
      <c r="O39" s="2715"/>
      <c r="P39" s="3688"/>
      <c r="Q39" s="1352" t="str">
        <f t="shared" si="11"/>
        <v>层高</v>
      </c>
      <c r="R39" s="705" t="s">
        <v>14</v>
      </c>
      <c r="S39" s="706">
        <f t="shared" si="12"/>
        <v>110</v>
      </c>
      <c r="T39" s="705" t="s">
        <v>14</v>
      </c>
      <c r="U39" s="706">
        <f t="shared" si="13"/>
        <v>100</v>
      </c>
      <c r="V39" s="705" t="s">
        <v>14</v>
      </c>
      <c r="W39" s="706">
        <f t="shared" si="14"/>
        <v>100</v>
      </c>
      <c r="X39" s="1355"/>
      <c r="Y39" s="3690"/>
      <c r="Z39" s="1356" t="str">
        <f t="shared" si="15"/>
        <v>层高</v>
      </c>
      <c r="AA39" s="1353">
        <f t="shared" si="3"/>
        <v>0.90909090909090906</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t="s">
        <v>3436</v>
      </c>
      <c r="D42" s="386">
        <v>100</v>
      </c>
      <c r="E42" s="1906" t="s">
        <v>3436</v>
      </c>
      <c r="F42" s="412">
        <f>SUMIF(122:122,E42,123:123)-SUMIF(122:122,C42,123:123)+100</f>
        <v>100</v>
      </c>
      <c r="G42" s="1906" t="s">
        <v>3438</v>
      </c>
      <c r="H42" s="386">
        <f>SUMIF(122:122,G42,123:123)-SUMIF(122:122,C42,123:123)+100</f>
        <v>98</v>
      </c>
      <c r="I42" s="1906" t="s">
        <v>3436</v>
      </c>
      <c r="J42" s="386">
        <f>SUMIF(122:122,I42,123:123)-SUMIF(122:122,C42,123:123)+100</f>
        <v>100</v>
      </c>
      <c r="K42" s="561">
        <v>2</v>
      </c>
      <c r="L42" s="2721"/>
      <c r="M42" s="2715"/>
      <c r="N42" s="2715"/>
      <c r="O42" s="2715"/>
      <c r="P42" s="3688"/>
      <c r="Q42" s="1352" t="str">
        <f t="shared" si="11"/>
        <v>内部装修</v>
      </c>
      <c r="R42" s="705" t="s">
        <v>14</v>
      </c>
      <c r="S42" s="706">
        <f t="shared" si="12"/>
        <v>100</v>
      </c>
      <c r="T42" s="705" t="s">
        <v>14</v>
      </c>
      <c r="U42" s="706">
        <f t="shared" si="13"/>
        <v>98</v>
      </c>
      <c r="V42" s="705" t="s">
        <v>14</v>
      </c>
      <c r="W42" s="706">
        <f t="shared" si="14"/>
        <v>100</v>
      </c>
      <c r="X42" s="1355"/>
      <c r="Y42" s="3690"/>
      <c r="Z42" s="1356" t="str">
        <f t="shared" si="15"/>
        <v>内部装修</v>
      </c>
      <c r="AA42" s="1353">
        <f t="shared" si="3"/>
        <v>1</v>
      </c>
      <c r="AB42" s="1353">
        <f t="shared" si="4"/>
        <v>1.0204081632653061</v>
      </c>
      <c r="AC42" s="1353">
        <f t="shared" si="5"/>
        <v>1</v>
      </c>
    </row>
    <row r="43" spans="1:29" ht="15">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2</v>
      </c>
      <c r="L43" s="2721"/>
      <c r="M43" s="2715"/>
      <c r="N43" s="2715"/>
      <c r="O43" s="2715"/>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v>34151</v>
      </c>
      <c r="F47" s="1157"/>
      <c r="G47" s="1158">
        <v>30705</v>
      </c>
      <c r="H47" s="1159"/>
      <c r="I47" s="1156">
        <v>29922</v>
      </c>
      <c r="J47" s="1159"/>
      <c r="K47" s="714"/>
      <c r="L47" s="2723"/>
      <c r="M47" s="2724"/>
      <c r="N47" s="2715"/>
      <c r="O47" s="2724"/>
      <c r="P47" s="3678" t="str">
        <f>A47</f>
        <v>成交单价（元/平方米）</v>
      </c>
      <c r="Q47" s="3678"/>
      <c r="R47" s="3692">
        <f>E47</f>
        <v>34151</v>
      </c>
      <c r="S47" s="3692"/>
      <c r="T47" s="3692">
        <f>G47</f>
        <v>30705</v>
      </c>
      <c r="U47" s="3692"/>
      <c r="V47" s="3692">
        <f>I47</f>
        <v>29922</v>
      </c>
      <c r="W47" s="3692"/>
      <c r="X47" s="690"/>
      <c r="Y47" s="712"/>
      <c r="Z47" s="690"/>
      <c r="AA47" s="690"/>
      <c r="AB47" s="690"/>
      <c r="AC47" s="690"/>
    </row>
    <row r="48" spans="1:29" ht="15.75" thickBot="1">
      <c r="A48" s="437" t="s">
        <v>1793</v>
      </c>
      <c r="B48" s="438"/>
      <c r="C48" s="1160">
        <f>R49</f>
        <v>29405</v>
      </c>
      <c r="D48" s="2317" t="s">
        <v>2137</v>
      </c>
      <c r="E48" s="1161">
        <f>R48</f>
        <v>29267</v>
      </c>
      <c r="F48" s="2318"/>
      <c r="G48" s="1160">
        <f>T48</f>
        <v>29536</v>
      </c>
      <c r="H48" s="2318"/>
      <c r="I48" s="1161">
        <f>V48</f>
        <v>29413</v>
      </c>
      <c r="J48" s="2318"/>
      <c r="K48" s="2320">
        <f>F48+H48+J48</f>
        <v>0</v>
      </c>
      <c r="L48" s="2723"/>
      <c r="M48" s="2724"/>
      <c r="N48" s="2715"/>
      <c r="O48" s="2724"/>
      <c r="P48" s="3678" t="str">
        <f>A48</f>
        <v>比较价值（元/平方米）</v>
      </c>
      <c r="Q48" s="3678"/>
      <c r="R48" s="3679">
        <f>IF(F1="售价",ROUND(PRODUCT(R47,AA7:AA46),0),ROUND(PRODUCT(R47,AA7:AA46),1))</f>
        <v>29267</v>
      </c>
      <c r="S48" s="3679"/>
      <c r="T48" s="3679">
        <f>IF(F1="售价",ROUND(PRODUCT(T47,AB7:AB46),0),ROUND(PRODUCT(T47,AB7:AB46),1))</f>
        <v>29536</v>
      </c>
      <c r="U48" s="3679"/>
      <c r="V48" s="3679">
        <f>IF(F1="售价",ROUND(PRODUCT(V47,AC7:AC46),0),ROUND(PRODUCT(V47,AC7:AC46),1))</f>
        <v>29413</v>
      </c>
      <c r="W48" s="3679"/>
      <c r="X48" s="690"/>
      <c r="Y48" s="690"/>
      <c r="Z48" s="690"/>
      <c r="AA48" s="690"/>
      <c r="AB48" s="690"/>
      <c r="AC48" s="690"/>
    </row>
    <row r="49" spans="1:29" ht="15.75" thickBot="1">
      <c r="A49" s="441" t="s">
        <v>1794</v>
      </c>
      <c r="B49" s="442"/>
      <c r="C49" s="1163">
        <f>R49</f>
        <v>29405</v>
      </c>
      <c r="D49" s="1163"/>
      <c r="E49" s="1163"/>
      <c r="F49" s="1163"/>
      <c r="G49" s="1163"/>
      <c r="H49" s="1163"/>
      <c r="I49" s="1163"/>
      <c r="J49" s="1163"/>
      <c r="K49" s="715"/>
      <c r="L49" s="2723"/>
      <c r="M49" s="2724"/>
      <c r="N49" s="2715"/>
      <c r="O49" s="2724"/>
      <c r="P49" s="3680" t="str">
        <f>A49</f>
        <v>估价对象XX用房的比较价值（楼面单价，元/平方米）</v>
      </c>
      <c r="Q49" s="3681"/>
      <c r="R49" s="3682">
        <f>IF(F1="售价",ROUND(IF(D48="简单平均",AVERAGE(R48:V48),R48*F48+T48*H48+V48*J48),0),ROUND(IF(D48="简单平均",AVERAGE(R48:V48),R48*F48+T48*H48+V48*J48),1))</f>
        <v>29405</v>
      </c>
      <c r="S49" s="3682"/>
      <c r="T49" s="3682"/>
      <c r="U49" s="3682"/>
      <c r="V49" s="3682"/>
      <c r="W49" s="3682"/>
      <c r="X49" s="690"/>
      <c r="Y49" s="690"/>
      <c r="Z49" s="690"/>
      <c r="AA49" s="690"/>
      <c r="AB49" s="690"/>
      <c r="AC49" s="690"/>
    </row>
    <row r="50" spans="1:29">
      <c r="A50" s="2724"/>
      <c r="B50" s="2724"/>
      <c r="C50" s="2724">
        <v>2004</v>
      </c>
      <c r="D50" s="2724"/>
      <c r="E50" s="2724">
        <v>2000</v>
      </c>
      <c r="F50" s="2724"/>
      <c r="G50" s="2728"/>
      <c r="H50" s="2724"/>
      <c r="I50" s="2724">
        <v>2000</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3448" t="s">
        <v>3410</v>
      </c>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3450" t="s">
        <v>3416</v>
      </c>
      <c r="D90" s="3450" t="s">
        <v>3418</v>
      </c>
      <c r="E90" s="3450" t="s">
        <v>3419</v>
      </c>
      <c r="F90" s="3450" t="s">
        <v>3420</v>
      </c>
      <c r="G90" s="3450"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3424</v>
      </c>
      <c r="D100" s="3451" t="s">
        <v>3443</v>
      </c>
      <c r="E100" s="3451" t="s">
        <v>3425</v>
      </c>
      <c r="F100" s="3451" t="s">
        <v>3426</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0" t="s">
        <v>3414</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3430</v>
      </c>
      <c r="D114" s="3450" t="s">
        <v>3431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0" t="s">
        <v>3432</v>
      </c>
      <c r="D116" s="3450" t="s">
        <v>3434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3435</v>
      </c>
      <c r="D122" s="3450" t="s">
        <v>3437</v>
      </c>
      <c r="E122" s="3450" t="s">
        <v>3439</v>
      </c>
      <c r="F122" s="3452" t="s">
        <v>3440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3451</v>
      </c>
      <c r="E1" s="3425" t="s">
        <v>3406</v>
      </c>
      <c r="F1" s="1879" t="s">
        <v>3453</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1665</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1666</v>
      </c>
      <c r="B4" s="356"/>
      <c r="C4" s="3697" t="s">
        <v>1667</v>
      </c>
      <c r="D4" s="3698"/>
      <c r="E4" s="3699" t="s">
        <v>1668</v>
      </c>
      <c r="F4" s="3700"/>
      <c r="G4" s="3697" t="s">
        <v>1669</v>
      </c>
      <c r="H4" s="3698"/>
      <c r="I4" s="3697" t="s">
        <v>1670</v>
      </c>
      <c r="J4" s="3698"/>
      <c r="K4" s="559" t="s">
        <v>1671</v>
      </c>
      <c r="L4" s="2714"/>
      <c r="M4" s="2715"/>
      <c r="N4" s="2715"/>
      <c r="O4" s="2715"/>
      <c r="P4" s="3701" t="s">
        <v>1672</v>
      </c>
      <c r="Q4" s="3702"/>
      <c r="R4" s="3707" t="s">
        <v>1668</v>
      </c>
      <c r="S4" s="3708"/>
      <c r="T4" s="3707" t="s">
        <v>1669</v>
      </c>
      <c r="U4" s="3708"/>
      <c r="V4" s="3692" t="s">
        <v>1670</v>
      </c>
      <c r="W4" s="3692"/>
      <c r="X4" s="3456"/>
      <c r="Y4" s="3707" t="s">
        <v>1672</v>
      </c>
      <c r="Z4" s="3708"/>
      <c r="AA4" s="3694" t="s">
        <v>1668</v>
      </c>
      <c r="AB4" s="3692" t="s">
        <v>1669</v>
      </c>
      <c r="AC4" s="3694" t="s">
        <v>1670</v>
      </c>
    </row>
    <row r="5" spans="1:29" ht="15">
      <c r="A5" s="358"/>
      <c r="B5" s="359"/>
      <c r="C5" s="3720" t="s">
        <v>1673</v>
      </c>
      <c r="D5" s="3716"/>
      <c r="E5" s="3723" t="s">
        <v>3452</v>
      </c>
      <c r="F5" s="3724"/>
      <c r="G5" s="3715" t="s">
        <v>3456</v>
      </c>
      <c r="H5" s="3716"/>
      <c r="I5" s="3715" t="s">
        <v>3454</v>
      </c>
      <c r="J5" s="3716"/>
      <c r="K5" s="559"/>
      <c r="L5" s="2714"/>
      <c r="M5" s="2715"/>
      <c r="N5" s="2715"/>
      <c r="O5" s="2715"/>
      <c r="P5" s="3703"/>
      <c r="Q5" s="3704"/>
      <c r="R5" s="3709"/>
      <c r="S5" s="3710"/>
      <c r="T5" s="3709"/>
      <c r="U5" s="3710"/>
      <c r="V5" s="3692"/>
      <c r="W5" s="3692"/>
      <c r="X5" s="3456"/>
      <c r="Y5" s="3709"/>
      <c r="Z5" s="3710"/>
      <c r="AA5" s="3695"/>
      <c r="AB5" s="3692"/>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3456"/>
      <c r="Y6" s="3711"/>
      <c r="Z6" s="3712"/>
      <c r="AA6" s="3696"/>
      <c r="AB6" s="3692"/>
      <c r="AC6" s="3696"/>
    </row>
    <row r="7" spans="1:29" s="108" customFormat="1" ht="15.75" thickBot="1">
      <c r="A7" s="362" t="s">
        <v>1679</v>
      </c>
      <c r="B7" s="363"/>
      <c r="C7" s="364">
        <f>'数据-取费表'!B2</f>
        <v>45279</v>
      </c>
      <c r="D7" s="365">
        <v>100</v>
      </c>
      <c r="E7" s="366">
        <f>C7</f>
        <v>45279</v>
      </c>
      <c r="F7" s="367">
        <f>SUMIF(58:58,YEAR(E7)&amp;"-"&amp;MONTH(E7),59:59)</f>
        <v>100</v>
      </c>
      <c r="G7" s="366">
        <f>C7</f>
        <v>45279</v>
      </c>
      <c r="H7" s="365">
        <f>SUMIF(58:58,YEAR(G7)&amp;"-"&amp;MONTH(G7),59:59)</f>
        <v>100</v>
      </c>
      <c r="I7" s="366">
        <f>C7</f>
        <v>45279</v>
      </c>
      <c r="J7" s="365">
        <f>SUMIF(58:58,YEAR(I7)&amp;"-"&amp;MONTH(I7),59:59)</f>
        <v>100</v>
      </c>
      <c r="K7" s="560"/>
      <c r="L7" s="2716"/>
      <c r="M7" s="2717"/>
      <c r="N7" s="2717"/>
      <c r="O7" s="2717"/>
      <c r="P7" s="3717" t="s">
        <v>1680</v>
      </c>
      <c r="Q7" s="3719"/>
      <c r="R7" s="701" t="s">
        <v>14</v>
      </c>
      <c r="S7" s="702">
        <f t="shared" ref="S7:S15" si="0">F7</f>
        <v>100</v>
      </c>
      <c r="T7" s="701" t="s">
        <v>14</v>
      </c>
      <c r="U7" s="702">
        <f t="shared" ref="U7:U15" si="1">H7</f>
        <v>100</v>
      </c>
      <c r="V7" s="701" t="s">
        <v>14</v>
      </c>
      <c r="W7" s="702">
        <f t="shared" ref="W7:W15" si="2">J7</f>
        <v>100</v>
      </c>
      <c r="X7" s="703"/>
      <c r="Y7" s="3717" t="s">
        <v>1680</v>
      </c>
      <c r="Z7" s="3718"/>
      <c r="AA7" s="704">
        <f>D7/F7</f>
        <v>1</v>
      </c>
      <c r="AB7" s="704">
        <f>D7/H7</f>
        <v>1</v>
      </c>
      <c r="AC7" s="704">
        <f>D7/J7</f>
        <v>1</v>
      </c>
    </row>
    <row r="8" spans="1:29" s="108" customFormat="1" ht="15.75" thickBot="1">
      <c r="A8" s="362" t="s">
        <v>1681</v>
      </c>
      <c r="B8" s="363"/>
      <c r="C8" s="368" t="s">
        <v>3408</v>
      </c>
      <c r="D8" s="365">
        <v>100</v>
      </c>
      <c r="E8" s="368" t="s">
        <v>3409</v>
      </c>
      <c r="F8" s="367">
        <f>SUMIF(61:61,E8,62:62)-SUMIF(61:61,C8,62:62)+100</f>
        <v>102</v>
      </c>
      <c r="G8" s="368" t="s">
        <v>3409</v>
      </c>
      <c r="H8" s="365">
        <f>SUMIF(61:61,G8,62:62)-SUMIF(61:61,C8,62:62)+100</f>
        <v>102</v>
      </c>
      <c r="I8" s="368" t="s">
        <v>3409</v>
      </c>
      <c r="J8" s="365">
        <f>SUMIF(61:61,I8,62:62)-SUMIF(61:61,C8,62:62)+100</f>
        <v>102</v>
      </c>
      <c r="K8" s="560"/>
      <c r="L8" s="2716"/>
      <c r="M8" s="2717"/>
      <c r="N8" s="2717"/>
      <c r="O8" s="2717"/>
      <c r="P8" s="3717" t="s">
        <v>1683</v>
      </c>
      <c r="Q8" s="3718"/>
      <c r="R8" s="701" t="s">
        <v>14</v>
      </c>
      <c r="S8" s="702">
        <f t="shared" si="0"/>
        <v>102</v>
      </c>
      <c r="T8" s="701" t="s">
        <v>14</v>
      </c>
      <c r="U8" s="702">
        <f t="shared" si="1"/>
        <v>102</v>
      </c>
      <c r="V8" s="701" t="s">
        <v>14</v>
      </c>
      <c r="W8" s="702">
        <f t="shared" si="2"/>
        <v>102</v>
      </c>
      <c r="X8" s="703"/>
      <c r="Y8" s="3717" t="s">
        <v>1683</v>
      </c>
      <c r="Z8" s="371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3411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3" t="s">
        <v>1686</v>
      </c>
      <c r="Q9" s="3455" t="str">
        <f t="shared" ref="Q9:Q15" si="6">B9</f>
        <v>用途</v>
      </c>
      <c r="R9" s="701" t="s">
        <v>14</v>
      </c>
      <c r="S9" s="702">
        <f t="shared" si="0"/>
        <v>100</v>
      </c>
      <c r="T9" s="701" t="s">
        <v>14</v>
      </c>
      <c r="U9" s="702">
        <f t="shared" si="1"/>
        <v>100</v>
      </c>
      <c r="V9" s="701" t="s">
        <v>14</v>
      </c>
      <c r="W9" s="702">
        <f t="shared" si="2"/>
        <v>100</v>
      </c>
      <c r="X9" s="703"/>
      <c r="Y9" s="3563" t="s">
        <v>1687</v>
      </c>
      <c r="Z9" s="3454" t="str">
        <f t="shared" ref="Z9:Z15" si="7">Q9</f>
        <v>用途</v>
      </c>
      <c r="AA9" s="704">
        <f t="shared" si="3"/>
        <v>1</v>
      </c>
      <c r="AB9" s="704">
        <f t="shared" si="4"/>
        <v>1</v>
      </c>
      <c r="AC9" s="704">
        <f t="shared" si="5"/>
        <v>1</v>
      </c>
    </row>
    <row r="10" spans="1:29" s="378" customFormat="1" ht="27">
      <c r="A10" s="374"/>
      <c r="B10" s="375" t="s">
        <v>1688</v>
      </c>
      <c r="C10" s="3433" t="s">
        <v>3415</v>
      </c>
      <c r="D10" s="127">
        <v>100</v>
      </c>
      <c r="E10" s="3433" t="s">
        <v>3415</v>
      </c>
      <c r="F10" s="376">
        <f>SUMIF(65:65,E10,66:66)-SUMIF(65:65,C10,66:66)+100</f>
        <v>100</v>
      </c>
      <c r="G10" s="3433" t="s">
        <v>3415</v>
      </c>
      <c r="H10" s="127">
        <f>SUMIF(65:65,G10,66:66)-SUMIF(65:65,C10,66:66)+100</f>
        <v>100</v>
      </c>
      <c r="I10" s="3433" t="s">
        <v>3415</v>
      </c>
      <c r="J10" s="127">
        <f>SUMIF(65:65,I10,66:66)-SUMIF(65:65,C10,66:66)+100</f>
        <v>100</v>
      </c>
      <c r="K10" s="560"/>
      <c r="L10" s="2718"/>
      <c r="M10" s="2719"/>
      <c r="N10" s="2719"/>
      <c r="O10" s="2719"/>
      <c r="P10" s="3693"/>
      <c r="Q10" s="3455" t="str">
        <f t="shared" si="6"/>
        <v>土地使用年限（年）</v>
      </c>
      <c r="R10" s="701" t="s">
        <v>14</v>
      </c>
      <c r="S10" s="702">
        <f t="shared" si="0"/>
        <v>100</v>
      </c>
      <c r="T10" s="701" t="s">
        <v>14</v>
      </c>
      <c r="U10" s="702">
        <f t="shared" si="1"/>
        <v>100</v>
      </c>
      <c r="V10" s="701" t="s">
        <v>14</v>
      </c>
      <c r="W10" s="702">
        <f t="shared" si="2"/>
        <v>100</v>
      </c>
      <c r="X10" s="703"/>
      <c r="Y10" s="3563"/>
      <c r="Z10" s="3454"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3"/>
      <c r="Q11" s="3455" t="str">
        <f t="shared" si="6"/>
        <v>容积率</v>
      </c>
      <c r="R11" s="701" t="s">
        <v>14</v>
      </c>
      <c r="S11" s="702">
        <f t="shared" si="0"/>
        <v>100</v>
      </c>
      <c r="T11" s="701" t="s">
        <v>14</v>
      </c>
      <c r="U11" s="702">
        <f t="shared" si="1"/>
        <v>100</v>
      </c>
      <c r="V11" s="701" t="s">
        <v>14</v>
      </c>
      <c r="W11" s="702">
        <f t="shared" si="2"/>
        <v>100</v>
      </c>
      <c r="X11" s="703"/>
      <c r="Y11" s="3563"/>
      <c r="Z11" s="3454"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3455">
        <f t="shared" si="6"/>
        <v>111</v>
      </c>
      <c r="R12" s="701" t="s">
        <v>14</v>
      </c>
      <c r="S12" s="702">
        <f t="shared" si="0"/>
        <v>100</v>
      </c>
      <c r="T12" s="701" t="s">
        <v>14</v>
      </c>
      <c r="U12" s="702">
        <f t="shared" si="1"/>
        <v>100</v>
      </c>
      <c r="V12" s="701" t="s">
        <v>14</v>
      </c>
      <c r="W12" s="702">
        <f t="shared" si="2"/>
        <v>100</v>
      </c>
      <c r="X12" s="703"/>
      <c r="Y12" s="3563"/>
      <c r="Z12" s="3454">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3455">
        <f t="shared" si="6"/>
        <v>111</v>
      </c>
      <c r="R13" s="701" t="s">
        <v>14</v>
      </c>
      <c r="S13" s="702">
        <f t="shared" si="0"/>
        <v>100</v>
      </c>
      <c r="T13" s="701" t="s">
        <v>14</v>
      </c>
      <c r="U13" s="702">
        <f t="shared" si="1"/>
        <v>100</v>
      </c>
      <c r="V13" s="701" t="s">
        <v>14</v>
      </c>
      <c r="W13" s="702">
        <f t="shared" si="2"/>
        <v>100</v>
      </c>
      <c r="X13" s="703"/>
      <c r="Y13" s="3563"/>
      <c r="Z13" s="3454">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3455">
        <f t="shared" si="6"/>
        <v>111</v>
      </c>
      <c r="R14" s="701" t="s">
        <v>14</v>
      </c>
      <c r="S14" s="702">
        <f t="shared" si="0"/>
        <v>100</v>
      </c>
      <c r="T14" s="701" t="s">
        <v>14</v>
      </c>
      <c r="U14" s="702">
        <f t="shared" si="1"/>
        <v>100</v>
      </c>
      <c r="V14" s="701" t="s">
        <v>14</v>
      </c>
      <c r="W14" s="702">
        <f t="shared" si="2"/>
        <v>100</v>
      </c>
      <c r="X14" s="703"/>
      <c r="Y14" s="3563"/>
      <c r="Z14" s="3454">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1"/>
      <c r="M15" s="2715"/>
      <c r="N15" s="2715"/>
      <c r="O15" s="2715"/>
      <c r="P15" s="3683" t="s">
        <v>1691</v>
      </c>
      <c r="Q15" s="3458" t="str">
        <f t="shared" si="6"/>
        <v>商业繁华度</v>
      </c>
      <c r="R15" s="705" t="s">
        <v>14</v>
      </c>
      <c r="S15" s="706">
        <f t="shared" si="0"/>
        <v>100</v>
      </c>
      <c r="T15" s="705" t="s">
        <v>14</v>
      </c>
      <c r="U15" s="706">
        <f t="shared" si="1"/>
        <v>97</v>
      </c>
      <c r="V15" s="705" t="s">
        <v>14</v>
      </c>
      <c r="W15" s="706">
        <f t="shared" si="2"/>
        <v>100</v>
      </c>
      <c r="X15" s="3456"/>
      <c r="Y15" s="3685" t="s">
        <v>1691</v>
      </c>
      <c r="Z15" s="3457" t="str">
        <f t="shared" si="7"/>
        <v>商业繁华度</v>
      </c>
      <c r="AA15" s="3459">
        <f t="shared" si="3"/>
        <v>1</v>
      </c>
      <c r="AB15" s="3459">
        <f t="shared" si="4"/>
        <v>1.0309278350515463</v>
      </c>
      <c r="AC15" s="3459">
        <f t="shared" si="5"/>
        <v>1</v>
      </c>
    </row>
    <row r="16" spans="1:29" ht="15">
      <c r="A16" s="379"/>
      <c r="B16" s="397"/>
      <c r="C16" s="398" t="s">
        <v>3398</v>
      </c>
      <c r="D16" s="399"/>
      <c r="E16" s="398" t="s">
        <v>3398</v>
      </c>
      <c r="F16" s="400"/>
      <c r="G16" s="398" t="s">
        <v>3399</v>
      </c>
      <c r="H16" s="401"/>
      <c r="I16" s="398" t="s">
        <v>3398</v>
      </c>
      <c r="J16" s="399"/>
      <c r="K16" s="564"/>
      <c r="L16" s="2721"/>
      <c r="M16" s="2715"/>
      <c r="N16" s="2715"/>
      <c r="O16" s="2715"/>
      <c r="P16" s="3684"/>
      <c r="Q16" s="3458"/>
      <c r="R16" s="705"/>
      <c r="S16" s="706"/>
      <c r="T16" s="705"/>
      <c r="U16" s="706"/>
      <c r="V16" s="705"/>
      <c r="W16" s="706"/>
      <c r="X16" s="3456"/>
      <c r="Y16" s="3686"/>
      <c r="Z16" s="3457"/>
      <c r="AA16" s="3459">
        <v>1</v>
      </c>
      <c r="AB16" s="3459">
        <v>1</v>
      </c>
      <c r="AC16" s="3459">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4"/>
      <c r="Q17" s="3458" t="str">
        <f>B17</f>
        <v>交通便捷度</v>
      </c>
      <c r="R17" s="705" t="s">
        <v>14</v>
      </c>
      <c r="S17" s="706">
        <f>F17</f>
        <v>100</v>
      </c>
      <c r="T17" s="705" t="s">
        <v>14</v>
      </c>
      <c r="U17" s="706">
        <f>H17</f>
        <v>100</v>
      </c>
      <c r="V17" s="705" t="s">
        <v>14</v>
      </c>
      <c r="W17" s="706">
        <f>J17</f>
        <v>100</v>
      </c>
      <c r="X17" s="3456"/>
      <c r="Y17" s="3686"/>
      <c r="Z17" s="3457" t="str">
        <f>Q17</f>
        <v>交通便捷度</v>
      </c>
      <c r="AA17" s="3459">
        <f t="shared" si="3"/>
        <v>1</v>
      </c>
      <c r="AB17" s="3459">
        <f t="shared" si="4"/>
        <v>1</v>
      </c>
      <c r="AC17" s="3459">
        <f t="shared" si="5"/>
        <v>1</v>
      </c>
    </row>
    <row r="18" spans="1:29" ht="15">
      <c r="A18" s="379"/>
      <c r="B18" s="407"/>
      <c r="C18" s="1901" t="s">
        <v>3398</v>
      </c>
      <c r="D18" s="401"/>
      <c r="E18" s="1901" t="s">
        <v>3398</v>
      </c>
      <c r="F18" s="404"/>
      <c r="G18" s="1902" t="s">
        <v>3398</v>
      </c>
      <c r="H18" s="399"/>
      <c r="I18" s="1902" t="s">
        <v>3398</v>
      </c>
      <c r="J18" s="399"/>
      <c r="K18" s="564"/>
      <c r="L18" s="2721"/>
      <c r="M18" s="2715"/>
      <c r="N18" s="2715"/>
      <c r="O18" s="2715"/>
      <c r="P18" s="3684"/>
      <c r="Q18" s="3458"/>
      <c r="R18" s="705"/>
      <c r="S18" s="706"/>
      <c r="T18" s="705"/>
      <c r="U18" s="706"/>
      <c r="V18" s="705"/>
      <c r="W18" s="706"/>
      <c r="X18" s="3456"/>
      <c r="Y18" s="3686"/>
      <c r="Z18" s="3457"/>
      <c r="AA18" s="3459">
        <v>1</v>
      </c>
      <c r="AB18" s="3459">
        <v>1</v>
      </c>
      <c r="AC18" s="3459">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4"/>
      <c r="Q19" s="3458" t="str">
        <f>B19</f>
        <v>公共配套设施</v>
      </c>
      <c r="R19" s="705" t="s">
        <v>14</v>
      </c>
      <c r="S19" s="706">
        <f>F19</f>
        <v>100</v>
      </c>
      <c r="T19" s="705" t="s">
        <v>14</v>
      </c>
      <c r="U19" s="706">
        <f>H19</f>
        <v>100</v>
      </c>
      <c r="V19" s="705" t="s">
        <v>14</v>
      </c>
      <c r="W19" s="706">
        <f>J19</f>
        <v>100</v>
      </c>
      <c r="X19" s="3456"/>
      <c r="Y19" s="3686"/>
      <c r="Z19" s="3457" t="str">
        <f>Q19</f>
        <v>公共配套设施</v>
      </c>
      <c r="AA19" s="3459">
        <f t="shared" si="3"/>
        <v>1</v>
      </c>
      <c r="AB19" s="3459">
        <f t="shared" si="4"/>
        <v>1</v>
      </c>
      <c r="AC19" s="3459">
        <f t="shared" si="5"/>
        <v>1</v>
      </c>
    </row>
    <row r="20" spans="1:29" ht="15">
      <c r="A20" s="379"/>
      <c r="B20" s="407"/>
      <c r="C20" s="398" t="s">
        <v>3398</v>
      </c>
      <c r="D20" s="399"/>
      <c r="E20" s="398" t="s">
        <v>3398</v>
      </c>
      <c r="F20" s="400"/>
      <c r="G20" s="1897" t="s">
        <v>3398</v>
      </c>
      <c r="H20" s="399"/>
      <c r="I20" s="1897" t="s">
        <v>3398</v>
      </c>
      <c r="J20" s="399"/>
      <c r="K20" s="564"/>
      <c r="L20" s="2721"/>
      <c r="M20" s="2715"/>
      <c r="N20" s="2715"/>
      <c r="O20" s="2715"/>
      <c r="P20" s="3684"/>
      <c r="Q20" s="3458"/>
      <c r="R20" s="705"/>
      <c r="S20" s="706"/>
      <c r="T20" s="705"/>
      <c r="U20" s="706"/>
      <c r="V20" s="705"/>
      <c r="W20" s="706"/>
      <c r="X20" s="3456"/>
      <c r="Y20" s="3686"/>
      <c r="Z20" s="3457"/>
      <c r="AA20" s="3459">
        <v>1</v>
      </c>
      <c r="AB20" s="3459">
        <v>1</v>
      </c>
      <c r="AC20" s="3459">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4"/>
      <c r="Q21" s="3458" t="str">
        <f>B21</f>
        <v>基础设施水平</v>
      </c>
      <c r="R21" s="705" t="s">
        <v>14</v>
      </c>
      <c r="S21" s="706">
        <f>F21</f>
        <v>100</v>
      </c>
      <c r="T21" s="705" t="s">
        <v>14</v>
      </c>
      <c r="U21" s="706">
        <f>H21</f>
        <v>100</v>
      </c>
      <c r="V21" s="705" t="s">
        <v>14</v>
      </c>
      <c r="W21" s="706">
        <f>J21</f>
        <v>100</v>
      </c>
      <c r="X21" s="3456"/>
      <c r="Y21" s="3686"/>
      <c r="Z21" s="3457" t="str">
        <f>Q21</f>
        <v>基础设施水平</v>
      </c>
      <c r="AA21" s="3459">
        <f t="shared" ref="AA21" si="8">D21/F21</f>
        <v>1</v>
      </c>
      <c r="AB21" s="3459">
        <f t="shared" ref="AB21" si="9">D21/H21</f>
        <v>1</v>
      </c>
      <c r="AC21" s="3459">
        <f t="shared" ref="AC21" si="10">D21/J21</f>
        <v>1</v>
      </c>
    </row>
    <row r="22" spans="1:29" ht="15">
      <c r="A22" s="379"/>
      <c r="B22" s="1131"/>
      <c r="C22" s="1901" t="s">
        <v>3427</v>
      </c>
      <c r="D22" s="399"/>
      <c r="E22" s="1901" t="s">
        <v>3427</v>
      </c>
      <c r="F22" s="400"/>
      <c r="G22" s="1901" t="s">
        <v>3427</v>
      </c>
      <c r="H22" s="399"/>
      <c r="I22" s="1901" t="s">
        <v>3427</v>
      </c>
      <c r="J22" s="399"/>
      <c r="K22" s="1130"/>
      <c r="L22" s="2721"/>
      <c r="M22" s="2715"/>
      <c r="N22" s="2715"/>
      <c r="O22" s="2715"/>
      <c r="P22" s="3684"/>
      <c r="Q22" s="3458"/>
      <c r="R22" s="705"/>
      <c r="S22" s="706"/>
      <c r="T22" s="705"/>
      <c r="U22" s="706"/>
      <c r="V22" s="705"/>
      <c r="W22" s="706"/>
      <c r="X22" s="3456"/>
      <c r="Y22" s="3686"/>
      <c r="Z22" s="3457"/>
      <c r="AA22" s="3459">
        <v>1</v>
      </c>
      <c r="AB22" s="3459">
        <v>1</v>
      </c>
      <c r="AC22" s="3459">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4"/>
      <c r="Q23" s="3458" t="str">
        <f>B23</f>
        <v>自然及人文环境</v>
      </c>
      <c r="R23" s="705" t="s">
        <v>14</v>
      </c>
      <c r="S23" s="706">
        <f>F23</f>
        <v>100</v>
      </c>
      <c r="T23" s="705" t="s">
        <v>14</v>
      </c>
      <c r="U23" s="706">
        <f>H23</f>
        <v>100</v>
      </c>
      <c r="V23" s="705" t="s">
        <v>14</v>
      </c>
      <c r="W23" s="706">
        <f>J23</f>
        <v>100</v>
      </c>
      <c r="X23" s="3456"/>
      <c r="Y23" s="3686"/>
      <c r="Z23" s="3457" t="str">
        <f>Q23</f>
        <v>自然及人文环境</v>
      </c>
      <c r="AA23" s="3459">
        <f t="shared" si="3"/>
        <v>1</v>
      </c>
      <c r="AB23" s="3459">
        <f t="shared" si="4"/>
        <v>1</v>
      </c>
      <c r="AC23" s="3459">
        <f t="shared" si="5"/>
        <v>1</v>
      </c>
    </row>
    <row r="24" spans="1:29" ht="15">
      <c r="A24" s="379"/>
      <c r="B24" s="407"/>
      <c r="C24" s="398" t="s">
        <v>3398</v>
      </c>
      <c r="D24" s="399"/>
      <c r="E24" s="398" t="s">
        <v>3398</v>
      </c>
      <c r="F24" s="400"/>
      <c r="G24" s="398" t="s">
        <v>3398</v>
      </c>
      <c r="H24" s="399"/>
      <c r="I24" s="398" t="s">
        <v>3398</v>
      </c>
      <c r="J24" s="399"/>
      <c r="K24" s="564"/>
      <c r="L24" s="2721"/>
      <c r="M24" s="2715"/>
      <c r="N24" s="2715"/>
      <c r="O24" s="2715"/>
      <c r="P24" s="3684"/>
      <c r="Q24" s="3458"/>
      <c r="R24" s="705"/>
      <c r="S24" s="706"/>
      <c r="T24" s="705"/>
      <c r="U24" s="706"/>
      <c r="V24" s="705"/>
      <c r="W24" s="706"/>
      <c r="X24" s="3456"/>
      <c r="Y24" s="3686"/>
      <c r="Z24" s="3457"/>
      <c r="AA24" s="3459">
        <v>1</v>
      </c>
      <c r="AB24" s="3459">
        <v>1</v>
      </c>
      <c r="AC24" s="345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1"/>
      <c r="M25" s="2715"/>
      <c r="N25" s="2715"/>
      <c r="O25" s="2715"/>
      <c r="P25" s="3684"/>
      <c r="Q25" s="3458" t="str">
        <f t="shared" ref="Q25:Q46" si="11">B25</f>
        <v>临街状况</v>
      </c>
      <c r="R25" s="705" t="s">
        <v>14</v>
      </c>
      <c r="S25" s="706">
        <f>F25</f>
        <v>100</v>
      </c>
      <c r="T25" s="705" t="s">
        <v>14</v>
      </c>
      <c r="U25" s="706">
        <f>H25</f>
        <v>100</v>
      </c>
      <c r="V25" s="705" t="s">
        <v>14</v>
      </c>
      <c r="W25" s="706">
        <f>J25</f>
        <v>100</v>
      </c>
      <c r="X25" s="3456"/>
      <c r="Y25" s="3686"/>
      <c r="Z25" s="3457" t="str">
        <f>Q25</f>
        <v>临街状况</v>
      </c>
      <c r="AA25" s="3459">
        <f t="shared" si="3"/>
        <v>1</v>
      </c>
      <c r="AB25" s="3459">
        <f t="shared" si="4"/>
        <v>1</v>
      </c>
      <c r="AC25" s="3459">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3458" t="str">
        <f t="shared" si="11"/>
        <v>平面位置/可视性</v>
      </c>
      <c r="R26" s="705" t="s">
        <v>14</v>
      </c>
      <c r="S26" s="706">
        <f>F26</f>
        <v>100</v>
      </c>
      <c r="T26" s="705" t="s">
        <v>14</v>
      </c>
      <c r="U26" s="706">
        <f>H26</f>
        <v>100</v>
      </c>
      <c r="V26" s="705" t="s">
        <v>14</v>
      </c>
      <c r="W26" s="706">
        <f>J26</f>
        <v>100</v>
      </c>
      <c r="X26" s="3456"/>
      <c r="Y26" s="3686"/>
      <c r="Z26" s="3457" t="str">
        <f>Q26</f>
        <v>平面位置/可视性</v>
      </c>
      <c r="AA26" s="3459">
        <f t="shared" si="3"/>
        <v>1</v>
      </c>
      <c r="AB26" s="3459">
        <f t="shared" si="4"/>
        <v>1</v>
      </c>
      <c r="AC26" s="3459">
        <f t="shared" si="5"/>
        <v>1</v>
      </c>
    </row>
    <row r="27" spans="1:29" s="108" customFormat="1" ht="15">
      <c r="A27" s="382"/>
      <c r="B27" s="402" t="s">
        <v>1782</v>
      </c>
      <c r="C27" s="1956" t="s">
        <v>3417</v>
      </c>
      <c r="D27" s="413">
        <v>100</v>
      </c>
      <c r="E27" s="1956" t="s">
        <v>3417</v>
      </c>
      <c r="F27" s="415">
        <f>SUMIF(90:90,E27,91:91)-SUMIF(90:90,C27,91:91)+100</f>
        <v>100</v>
      </c>
      <c r="G27" s="1956" t="s">
        <v>3399</v>
      </c>
      <c r="H27" s="413">
        <f>SUMIF(90:90,G27,91:91)-SUMIF(90:90,C27,91:91)+100</f>
        <v>97</v>
      </c>
      <c r="I27" s="1956" t="s">
        <v>3417</v>
      </c>
      <c r="J27" s="413">
        <f>SUMIF(90:90,I27,91:91)-SUMIF(90:90,C27,91:91)+100</f>
        <v>100</v>
      </c>
      <c r="K27" s="561">
        <v>3</v>
      </c>
      <c r="L27" s="2716"/>
      <c r="M27" s="2717"/>
      <c r="N27" s="2717"/>
      <c r="O27" s="2717"/>
      <c r="P27" s="3684"/>
      <c r="Q27" s="3455" t="str">
        <f t="shared" si="11"/>
        <v>人流量</v>
      </c>
      <c r="R27" s="701" t="s">
        <v>14</v>
      </c>
      <c r="S27" s="702">
        <f>F27</f>
        <v>100</v>
      </c>
      <c r="T27" s="701" t="s">
        <v>14</v>
      </c>
      <c r="U27" s="702">
        <f>H27</f>
        <v>97</v>
      </c>
      <c r="V27" s="701" t="s">
        <v>14</v>
      </c>
      <c r="W27" s="702">
        <f>J27</f>
        <v>100</v>
      </c>
      <c r="X27" s="703"/>
      <c r="Y27" s="3686"/>
      <c r="Z27" s="3454" t="str">
        <f>Q27</f>
        <v>人流量</v>
      </c>
      <c r="AA27" s="3459">
        <f>D27/F27</f>
        <v>1</v>
      </c>
      <c r="AB27" s="3459">
        <f>D27/H27</f>
        <v>1.0309278350515463</v>
      </c>
      <c r="AC27" s="3459">
        <f>D27/J27</f>
        <v>1</v>
      </c>
    </row>
    <row r="28" spans="1:29" ht="15">
      <c r="A28" s="379"/>
      <c r="B28" s="375" t="s">
        <v>1783</v>
      </c>
      <c r="C28" s="565" t="s">
        <v>3428</v>
      </c>
      <c r="D28" s="386">
        <v>100</v>
      </c>
      <c r="E28" s="565" t="s">
        <v>3428</v>
      </c>
      <c r="F28" s="412">
        <f>SUMIF(92:92,E28,93:93)-SUMIF(92:92,C28,93:93)+100</f>
        <v>100</v>
      </c>
      <c r="G28" s="565" t="s">
        <v>3428</v>
      </c>
      <c r="H28" s="386">
        <f>SUMIF(92:92,G28,93:93)-SUMIF(92:92,C28,93:93)+100</f>
        <v>100</v>
      </c>
      <c r="I28" s="565" t="s">
        <v>3428</v>
      </c>
      <c r="J28" s="386">
        <f>SUMIF(92:92,I28,93:93)-SUMIF(92:92,C28,93:93)+100</f>
        <v>100</v>
      </c>
      <c r="K28" s="562"/>
      <c r="L28" s="2721"/>
      <c r="M28" s="2715"/>
      <c r="N28" s="2715"/>
      <c r="O28" s="2715"/>
      <c r="P28" s="3684"/>
      <c r="Q28" s="3458" t="str">
        <f t="shared" si="11"/>
        <v>楼层</v>
      </c>
      <c r="R28" s="705" t="s">
        <v>14</v>
      </c>
      <c r="S28" s="706">
        <f t="shared" ref="S28:S46" si="12">F28</f>
        <v>100</v>
      </c>
      <c r="T28" s="705" t="s">
        <v>14</v>
      </c>
      <c r="U28" s="706">
        <f t="shared" ref="U28:U46" si="13">H28</f>
        <v>100</v>
      </c>
      <c r="V28" s="705" t="s">
        <v>14</v>
      </c>
      <c r="W28" s="706">
        <f t="shared" ref="W28:W46" si="14">J28</f>
        <v>100</v>
      </c>
      <c r="X28" s="3456"/>
      <c r="Y28" s="3686"/>
      <c r="Z28" s="3457" t="str">
        <f t="shared" ref="Z28:Z46" si="15">Q28</f>
        <v>楼层</v>
      </c>
      <c r="AA28" s="3459">
        <f t="shared" si="3"/>
        <v>1</v>
      </c>
      <c r="AB28" s="3459">
        <f t="shared" si="4"/>
        <v>1</v>
      </c>
      <c r="AC28" s="3459">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3458">
        <f t="shared" si="11"/>
        <v>111</v>
      </c>
      <c r="R29" s="705" t="s">
        <v>14</v>
      </c>
      <c r="S29" s="706">
        <f t="shared" si="12"/>
        <v>100</v>
      </c>
      <c r="T29" s="705" t="s">
        <v>14</v>
      </c>
      <c r="U29" s="706">
        <f t="shared" si="13"/>
        <v>100</v>
      </c>
      <c r="V29" s="705" t="s">
        <v>14</v>
      </c>
      <c r="W29" s="706">
        <f t="shared" si="14"/>
        <v>100</v>
      </c>
      <c r="X29" s="3456"/>
      <c r="Y29" s="3686"/>
      <c r="Z29" s="3457">
        <f t="shared" si="15"/>
        <v>111</v>
      </c>
      <c r="AA29" s="3459">
        <f t="shared" si="3"/>
        <v>1</v>
      </c>
      <c r="AB29" s="3459">
        <f t="shared" si="4"/>
        <v>1</v>
      </c>
      <c r="AC29" s="3459">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3458">
        <f t="shared" si="11"/>
        <v>111</v>
      </c>
      <c r="R30" s="705" t="s">
        <v>14</v>
      </c>
      <c r="S30" s="706">
        <f t="shared" si="12"/>
        <v>100</v>
      </c>
      <c r="T30" s="705" t="s">
        <v>14</v>
      </c>
      <c r="U30" s="706">
        <f t="shared" si="13"/>
        <v>100</v>
      </c>
      <c r="V30" s="705" t="s">
        <v>14</v>
      </c>
      <c r="W30" s="706">
        <f t="shared" si="14"/>
        <v>100</v>
      </c>
      <c r="X30" s="3456"/>
      <c r="Y30" s="3686"/>
      <c r="Z30" s="3457">
        <f t="shared" si="15"/>
        <v>111</v>
      </c>
      <c r="AA30" s="3459">
        <f t="shared" si="3"/>
        <v>1</v>
      </c>
      <c r="AB30" s="3459">
        <f t="shared" si="4"/>
        <v>1</v>
      </c>
      <c r="AC30" s="3459">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3458">
        <f t="shared" si="11"/>
        <v>111</v>
      </c>
      <c r="R31" s="705" t="s">
        <v>14</v>
      </c>
      <c r="S31" s="706">
        <f t="shared" si="12"/>
        <v>100</v>
      </c>
      <c r="T31" s="705" t="s">
        <v>14</v>
      </c>
      <c r="U31" s="706">
        <f t="shared" si="13"/>
        <v>100</v>
      </c>
      <c r="V31" s="705" t="s">
        <v>14</v>
      </c>
      <c r="W31" s="706">
        <f t="shared" si="14"/>
        <v>100</v>
      </c>
      <c r="X31" s="3456"/>
      <c r="Y31" s="3686"/>
      <c r="Z31" s="3457">
        <f t="shared" si="15"/>
        <v>111</v>
      </c>
      <c r="AA31" s="3459">
        <f t="shared" si="3"/>
        <v>1</v>
      </c>
      <c r="AB31" s="3459">
        <f t="shared" si="4"/>
        <v>1</v>
      </c>
      <c r="AC31" s="3459">
        <f t="shared" si="5"/>
        <v>1</v>
      </c>
    </row>
    <row r="32" spans="1:29" ht="15">
      <c r="A32" s="391" t="s">
        <v>1694</v>
      </c>
      <c r="B32" s="63" t="s">
        <v>1784</v>
      </c>
      <c r="C32" s="1910" t="s">
        <v>3426</v>
      </c>
      <c r="D32" s="418">
        <v>100</v>
      </c>
      <c r="E32" s="1910" t="s">
        <v>3426</v>
      </c>
      <c r="F32" s="412">
        <f>SUMIF(100:100,E32,101:101)-SUMIF(100:100,C32,101:101)+100</f>
        <v>100</v>
      </c>
      <c r="G32" s="1910" t="s">
        <v>3426</v>
      </c>
      <c r="H32" s="386">
        <f>SUMIF(100:100,G32,101:101)-SUMIF(100:100,C32,101:101)+100</f>
        <v>100</v>
      </c>
      <c r="I32" s="3464" t="s">
        <v>3455</v>
      </c>
      <c r="J32" s="418">
        <f>SUMIF(100:100,I32,101:101)-SUMIF(100:100,C32,101:101)+100</f>
        <v>103</v>
      </c>
      <c r="K32" s="561">
        <v>3</v>
      </c>
      <c r="L32" s="2721"/>
      <c r="M32" s="2715"/>
      <c r="N32" s="2715"/>
      <c r="O32" s="2715"/>
      <c r="P32" s="3687" t="s">
        <v>1696</v>
      </c>
      <c r="Q32" s="3458" t="str">
        <f t="shared" si="11"/>
        <v>商业类型</v>
      </c>
      <c r="R32" s="705" t="s">
        <v>14</v>
      </c>
      <c r="S32" s="706">
        <f t="shared" si="12"/>
        <v>100</v>
      </c>
      <c r="T32" s="705" t="s">
        <v>14</v>
      </c>
      <c r="U32" s="706">
        <f t="shared" si="13"/>
        <v>100</v>
      </c>
      <c r="V32" s="705" t="s">
        <v>14</v>
      </c>
      <c r="W32" s="706">
        <f t="shared" si="14"/>
        <v>103</v>
      </c>
      <c r="X32" s="3456"/>
      <c r="Y32" s="3690" t="s">
        <v>1696</v>
      </c>
      <c r="Z32" s="3457" t="str">
        <f t="shared" si="15"/>
        <v>商业类型</v>
      </c>
      <c r="AA32" s="3459">
        <f t="shared" si="3"/>
        <v>1</v>
      </c>
      <c r="AB32" s="3459">
        <f t="shared" si="4"/>
        <v>1</v>
      </c>
      <c r="AC32" s="3459">
        <f t="shared" si="5"/>
        <v>0.970873786407767</v>
      </c>
    </row>
    <row r="33" spans="1:29" s="422" customFormat="1" ht="15">
      <c r="A33" s="419"/>
      <c r="B33" s="375" t="s">
        <v>1697</v>
      </c>
      <c r="C33" s="420">
        <f>'数据-基础表'!I13</f>
        <v>1288.08</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20"/>
      <c r="M33" s="2722"/>
      <c r="N33" s="2722"/>
      <c r="O33" s="2722"/>
      <c r="P33" s="3688"/>
      <c r="Q33" s="707" t="str">
        <f t="shared" si="11"/>
        <v>项目建筑规模</v>
      </c>
      <c r="R33" s="708" t="s">
        <v>14</v>
      </c>
      <c r="S33" s="709">
        <f t="shared" si="12"/>
        <v>108</v>
      </c>
      <c r="T33" s="708" t="s">
        <v>14</v>
      </c>
      <c r="U33" s="709">
        <f t="shared" si="13"/>
        <v>108</v>
      </c>
      <c r="V33" s="708" t="s">
        <v>14</v>
      </c>
      <c r="W33" s="709">
        <f t="shared" si="14"/>
        <v>104</v>
      </c>
      <c r="X33" s="710"/>
      <c r="Y33" s="3690"/>
      <c r="Z33" s="711" t="str">
        <f t="shared" si="15"/>
        <v>项目建筑规模</v>
      </c>
      <c r="AA33" s="3459">
        <f t="shared" si="3"/>
        <v>0.92592592592592593</v>
      </c>
      <c r="AB33" s="3459">
        <f t="shared" si="4"/>
        <v>0.92592592592592593</v>
      </c>
      <c r="AC33" s="3459">
        <f t="shared" si="5"/>
        <v>0.96153846153846156</v>
      </c>
    </row>
    <row r="34" spans="1:29" ht="15">
      <c r="A34" s="423"/>
      <c r="B34" s="375" t="s">
        <v>1698</v>
      </c>
      <c r="C34" s="1912" t="s">
        <v>3403</v>
      </c>
      <c r="D34" s="386">
        <v>100</v>
      </c>
      <c r="E34" s="1912" t="s">
        <v>3403</v>
      </c>
      <c r="F34" s="412">
        <f>SUMIF(105:105,E34,106:106)-SUMIF(105:105,C34,106:106)+100</f>
        <v>100</v>
      </c>
      <c r="G34" s="1912" t="s">
        <v>3403</v>
      </c>
      <c r="H34" s="386">
        <f>SUMIF(105:105,G34,106:106)-SUMIF(105:105,C34,106:106)+100</f>
        <v>100</v>
      </c>
      <c r="I34" s="1912" t="s">
        <v>3403</v>
      </c>
      <c r="J34" s="386">
        <f>SUMIF(105:105,I34,106:106)-SUMIF(105:105,C34,106:106)+100</f>
        <v>100</v>
      </c>
      <c r="K34" s="561">
        <v>2</v>
      </c>
      <c r="L34" s="2721"/>
      <c r="M34" s="2715"/>
      <c r="N34" s="2715"/>
      <c r="O34" s="2715"/>
      <c r="P34" s="3688"/>
      <c r="Q34" s="3458" t="str">
        <f t="shared" si="11"/>
        <v>建筑结构</v>
      </c>
      <c r="R34" s="705" t="s">
        <v>14</v>
      </c>
      <c r="S34" s="706">
        <f t="shared" si="12"/>
        <v>100</v>
      </c>
      <c r="T34" s="705" t="s">
        <v>14</v>
      </c>
      <c r="U34" s="706">
        <f t="shared" si="13"/>
        <v>100</v>
      </c>
      <c r="V34" s="705" t="s">
        <v>14</v>
      </c>
      <c r="W34" s="706">
        <f t="shared" si="14"/>
        <v>100</v>
      </c>
      <c r="X34" s="3456"/>
      <c r="Y34" s="3690"/>
      <c r="Z34" s="3457" t="str">
        <f t="shared" si="15"/>
        <v>建筑结构</v>
      </c>
      <c r="AA34" s="3459">
        <f t="shared" si="3"/>
        <v>1</v>
      </c>
      <c r="AB34" s="3459">
        <f t="shared" si="4"/>
        <v>1</v>
      </c>
      <c r="AC34" s="3459">
        <f t="shared" si="5"/>
        <v>1</v>
      </c>
    </row>
    <row r="35" spans="1:29" ht="15">
      <c r="A35" s="423"/>
      <c r="B35" s="375" t="s">
        <v>1785</v>
      </c>
      <c r="C35" s="1906" t="s">
        <v>3413</v>
      </c>
      <c r="D35" s="386">
        <v>100</v>
      </c>
      <c r="E35" s="1906" t="s">
        <v>3413</v>
      </c>
      <c r="F35" s="412">
        <f>SUMIF(107:107,E35,108:108)-SUMIF(107:107,C35,108:108)+100</f>
        <v>100</v>
      </c>
      <c r="G35" s="1906" t="s">
        <v>3413</v>
      </c>
      <c r="H35" s="386">
        <f>SUMIF(107:107,G35,108:108)-SUMIF(107:107,C35,108:108)+100</f>
        <v>100</v>
      </c>
      <c r="I35" s="1906" t="s">
        <v>3413</v>
      </c>
      <c r="J35" s="386">
        <f>SUMIF(107:107,I35,108:108)-SUMIF(107:107,C35,108:108)+100</f>
        <v>100</v>
      </c>
      <c r="K35" s="561">
        <v>2</v>
      </c>
      <c r="L35" s="2721"/>
      <c r="M35" s="2715"/>
      <c r="N35" s="2715"/>
      <c r="O35" s="2715"/>
      <c r="P35" s="3688"/>
      <c r="Q35" s="3458" t="str">
        <f t="shared" si="11"/>
        <v>公共部分装修</v>
      </c>
      <c r="R35" s="705" t="s">
        <v>14</v>
      </c>
      <c r="S35" s="706">
        <f t="shared" si="12"/>
        <v>100</v>
      </c>
      <c r="T35" s="705" t="s">
        <v>14</v>
      </c>
      <c r="U35" s="706">
        <f t="shared" si="13"/>
        <v>100</v>
      </c>
      <c r="V35" s="705" t="s">
        <v>14</v>
      </c>
      <c r="W35" s="706">
        <f t="shared" si="14"/>
        <v>100</v>
      </c>
      <c r="X35" s="3456"/>
      <c r="Y35" s="3690"/>
      <c r="Z35" s="3457" t="str">
        <f t="shared" si="15"/>
        <v>公共部分装修</v>
      </c>
      <c r="AA35" s="3459">
        <f t="shared" si="3"/>
        <v>1</v>
      </c>
      <c r="AB35" s="3459">
        <f t="shared" si="4"/>
        <v>1</v>
      </c>
      <c r="AC35" s="3459">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88"/>
      <c r="Q36" s="3458" t="str">
        <f t="shared" si="11"/>
        <v>成新度</v>
      </c>
      <c r="R36" s="705" t="s">
        <v>14</v>
      </c>
      <c r="S36" s="706">
        <f t="shared" si="12"/>
        <v>100</v>
      </c>
      <c r="T36" s="705" t="s">
        <v>14</v>
      </c>
      <c r="U36" s="706">
        <f t="shared" si="13"/>
        <v>100</v>
      </c>
      <c r="V36" s="705" t="s">
        <v>14</v>
      </c>
      <c r="W36" s="706">
        <f t="shared" si="14"/>
        <v>100</v>
      </c>
      <c r="X36" s="3456"/>
      <c r="Y36" s="3690"/>
      <c r="Z36" s="3457" t="str">
        <f t="shared" si="15"/>
        <v>成新度</v>
      </c>
      <c r="AA36" s="3459">
        <f t="shared" si="3"/>
        <v>1</v>
      </c>
      <c r="AB36" s="3459">
        <f t="shared" si="4"/>
        <v>1</v>
      </c>
      <c r="AC36" s="3459">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3455" t="str">
        <f t="shared" si="11"/>
        <v>市政基础设施</v>
      </c>
      <c r="R37" s="701" t="s">
        <v>14</v>
      </c>
      <c r="S37" s="702">
        <f t="shared" si="12"/>
        <v>100</v>
      </c>
      <c r="T37" s="701" t="s">
        <v>14</v>
      </c>
      <c r="U37" s="702">
        <f t="shared" si="13"/>
        <v>100</v>
      </c>
      <c r="V37" s="701" t="s">
        <v>14</v>
      </c>
      <c r="W37" s="702">
        <f t="shared" si="14"/>
        <v>100</v>
      </c>
      <c r="X37" s="703"/>
      <c r="Y37" s="3690"/>
      <c r="Z37" s="3454" t="str">
        <f t="shared" si="15"/>
        <v>市政基础设施</v>
      </c>
      <c r="AA37" s="704">
        <f t="shared" si="3"/>
        <v>1</v>
      </c>
      <c r="AB37" s="704">
        <f t="shared" si="4"/>
        <v>1</v>
      </c>
      <c r="AC37" s="704">
        <f t="shared" si="5"/>
        <v>1</v>
      </c>
    </row>
    <row r="38" spans="1:29" ht="15">
      <c r="A38" s="423"/>
      <c r="B38" s="375" t="s">
        <v>1788</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561">
        <v>10</v>
      </c>
      <c r="L38" s="2721"/>
      <c r="M38" s="2715"/>
      <c r="N38" s="2715"/>
      <c r="O38" s="2715"/>
      <c r="P38" s="3688" t="s">
        <v>1696</v>
      </c>
      <c r="Q38" s="3458" t="str">
        <f t="shared" si="11"/>
        <v>业态</v>
      </c>
      <c r="R38" s="705" t="s">
        <v>14</v>
      </c>
      <c r="S38" s="706">
        <f t="shared" si="12"/>
        <v>100</v>
      </c>
      <c r="T38" s="705" t="s">
        <v>14</v>
      </c>
      <c r="U38" s="706">
        <f t="shared" si="13"/>
        <v>100</v>
      </c>
      <c r="V38" s="705" t="s">
        <v>14</v>
      </c>
      <c r="W38" s="706">
        <f t="shared" si="14"/>
        <v>100</v>
      </c>
      <c r="X38" s="3456"/>
      <c r="Y38" s="3690" t="s">
        <v>1696</v>
      </c>
      <c r="Z38" s="3457" t="str">
        <f t="shared" si="15"/>
        <v>业态</v>
      </c>
      <c r="AA38" s="3459">
        <f t="shared" si="3"/>
        <v>1</v>
      </c>
      <c r="AB38" s="3459">
        <f t="shared" si="4"/>
        <v>1</v>
      </c>
      <c r="AC38" s="3459">
        <f t="shared" si="5"/>
        <v>1</v>
      </c>
    </row>
    <row r="39" spans="1:29" ht="15">
      <c r="A39" s="423"/>
      <c r="B39" s="375" t="s">
        <v>1789</v>
      </c>
      <c r="C39" s="1906" t="s">
        <v>3433</v>
      </c>
      <c r="D39" s="386">
        <v>100</v>
      </c>
      <c r="E39" s="1906" t="s">
        <v>3433</v>
      </c>
      <c r="F39" s="412">
        <f>SUMIF(116:116,E39,117:117)-SUMIF(116:116,C39,117:117)+100</f>
        <v>100</v>
      </c>
      <c r="G39" s="1906" t="s">
        <v>3433</v>
      </c>
      <c r="H39" s="386">
        <f>SUMIF(116:116,G39,117:117)-SUMIF(116:116,C39,117:117)+100</f>
        <v>100</v>
      </c>
      <c r="I39" s="1906" t="s">
        <v>3433</v>
      </c>
      <c r="J39" s="386">
        <f>SUMIF(116:116,I39,117:117)-SUMIF(116:116,C39,117:117)+100</f>
        <v>100</v>
      </c>
      <c r="K39" s="561">
        <v>5</v>
      </c>
      <c r="L39" s="2721"/>
      <c r="M39" s="2715"/>
      <c r="N39" s="2715"/>
      <c r="O39" s="2715"/>
      <c r="P39" s="3688"/>
      <c r="Q39" s="3458" t="str">
        <f t="shared" si="11"/>
        <v>层高</v>
      </c>
      <c r="R39" s="705" t="s">
        <v>14</v>
      </c>
      <c r="S39" s="706">
        <f t="shared" si="12"/>
        <v>100</v>
      </c>
      <c r="T39" s="705" t="s">
        <v>14</v>
      </c>
      <c r="U39" s="706">
        <f t="shared" si="13"/>
        <v>100</v>
      </c>
      <c r="V39" s="705" t="s">
        <v>14</v>
      </c>
      <c r="W39" s="706">
        <f t="shared" si="14"/>
        <v>100</v>
      </c>
      <c r="X39" s="3456"/>
      <c r="Y39" s="3690"/>
      <c r="Z39" s="3457" t="str">
        <f t="shared" si="15"/>
        <v>层高</v>
      </c>
      <c r="AA39" s="3459">
        <f t="shared" si="3"/>
        <v>1</v>
      </c>
      <c r="AB39" s="3459">
        <f t="shared" si="4"/>
        <v>1</v>
      </c>
      <c r="AC39" s="345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3458" t="str">
        <f t="shared" si="11"/>
        <v>单套建筑面积</v>
      </c>
      <c r="R40" s="705" t="s">
        <v>14</v>
      </c>
      <c r="S40" s="706">
        <f t="shared" si="12"/>
        <v>100</v>
      </c>
      <c r="T40" s="705" t="s">
        <v>14</v>
      </c>
      <c r="U40" s="706">
        <f t="shared" si="13"/>
        <v>100</v>
      </c>
      <c r="V40" s="705" t="s">
        <v>14</v>
      </c>
      <c r="W40" s="706">
        <f t="shared" si="14"/>
        <v>100</v>
      </c>
      <c r="X40" s="3456"/>
      <c r="Y40" s="3690"/>
      <c r="Z40" s="3457" t="str">
        <f t="shared" si="15"/>
        <v>单套建筑面积</v>
      </c>
      <c r="AA40" s="3459">
        <f t="shared" si="3"/>
        <v>1</v>
      </c>
      <c r="AB40" s="3459">
        <f t="shared" si="4"/>
        <v>1</v>
      </c>
      <c r="AC40" s="3459">
        <f t="shared" si="5"/>
        <v>1</v>
      </c>
    </row>
    <row r="41" spans="1:29" s="422" customFormat="1" ht="15">
      <c r="A41" s="419"/>
      <c r="B41" s="346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3459">
        <f t="shared" si="3"/>
        <v>1</v>
      </c>
      <c r="AB41" s="3459">
        <f t="shared" si="4"/>
        <v>1</v>
      </c>
      <c r="AC41" s="3459">
        <f t="shared" si="5"/>
        <v>1</v>
      </c>
    </row>
    <row r="42" spans="1:29" ht="15">
      <c r="A42" s="423"/>
      <c r="B42" s="375" t="s">
        <v>1792</v>
      </c>
      <c r="C42" s="1906" t="s">
        <v>3436</v>
      </c>
      <c r="D42" s="386">
        <v>100</v>
      </c>
      <c r="E42" s="1906" t="s">
        <v>3436</v>
      </c>
      <c r="F42" s="412">
        <f>SUMIF(122:122,E42,123:123)-SUMIF(122:122,C42,123:123)+100</f>
        <v>100</v>
      </c>
      <c r="G42" s="1906" t="s">
        <v>3436</v>
      </c>
      <c r="H42" s="386">
        <f>SUMIF(122:122,G42,123:123)-SUMIF(122:122,C42,123:123)+100</f>
        <v>100</v>
      </c>
      <c r="I42" s="1906" t="s">
        <v>3436</v>
      </c>
      <c r="J42" s="386">
        <f>SUMIF(122:122,I42,123:123)-SUMIF(122:122,C42,123:123)+100</f>
        <v>100</v>
      </c>
      <c r="K42" s="561">
        <v>2</v>
      </c>
      <c r="L42" s="2721"/>
      <c r="M42" s="2715"/>
      <c r="N42" s="2715"/>
      <c r="O42" s="2715"/>
      <c r="P42" s="3688"/>
      <c r="Q42" s="3458" t="str">
        <f t="shared" si="11"/>
        <v>内部装修</v>
      </c>
      <c r="R42" s="705" t="s">
        <v>14</v>
      </c>
      <c r="S42" s="706">
        <f t="shared" si="12"/>
        <v>100</v>
      </c>
      <c r="T42" s="705" t="s">
        <v>14</v>
      </c>
      <c r="U42" s="706">
        <f t="shared" si="13"/>
        <v>100</v>
      </c>
      <c r="V42" s="705" t="s">
        <v>14</v>
      </c>
      <c r="W42" s="706">
        <f t="shared" si="14"/>
        <v>100</v>
      </c>
      <c r="X42" s="3456"/>
      <c r="Y42" s="3690"/>
      <c r="Z42" s="3457" t="str">
        <f t="shared" si="15"/>
        <v>内部装修</v>
      </c>
      <c r="AA42" s="3459">
        <f t="shared" si="3"/>
        <v>1</v>
      </c>
      <c r="AB42" s="3459">
        <f t="shared" si="4"/>
        <v>1</v>
      </c>
      <c r="AC42" s="3459">
        <f t="shared" si="5"/>
        <v>1</v>
      </c>
    </row>
    <row r="43" spans="1:29" ht="15">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2</v>
      </c>
      <c r="L43" s="2721"/>
      <c r="M43" s="2715"/>
      <c r="N43" s="2715"/>
      <c r="O43" s="2715"/>
      <c r="P43" s="3688"/>
      <c r="Q43" s="3458" t="str">
        <f t="shared" si="11"/>
        <v>内部装修维护情况</v>
      </c>
      <c r="R43" s="705" t="s">
        <v>14</v>
      </c>
      <c r="S43" s="706">
        <f t="shared" si="12"/>
        <v>100</v>
      </c>
      <c r="T43" s="705" t="s">
        <v>14</v>
      </c>
      <c r="U43" s="706">
        <f t="shared" si="13"/>
        <v>100</v>
      </c>
      <c r="V43" s="705" t="s">
        <v>14</v>
      </c>
      <c r="W43" s="706">
        <f t="shared" si="14"/>
        <v>100</v>
      </c>
      <c r="X43" s="3456"/>
      <c r="Y43" s="3690"/>
      <c r="Z43" s="3457" t="str">
        <f t="shared" si="15"/>
        <v>内部装修维护情况</v>
      </c>
      <c r="AA43" s="3459">
        <f t="shared" si="3"/>
        <v>1</v>
      </c>
      <c r="AB43" s="3459">
        <f t="shared" si="4"/>
        <v>1</v>
      </c>
      <c r="AC43" s="3459">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3455">
        <f t="shared" si="11"/>
        <v>111</v>
      </c>
      <c r="R44" s="701" t="s">
        <v>14</v>
      </c>
      <c r="S44" s="702">
        <f t="shared" si="12"/>
        <v>100</v>
      </c>
      <c r="T44" s="701" t="s">
        <v>14</v>
      </c>
      <c r="U44" s="702">
        <f t="shared" si="13"/>
        <v>100</v>
      </c>
      <c r="V44" s="701" t="s">
        <v>14</v>
      </c>
      <c r="W44" s="702">
        <f t="shared" si="14"/>
        <v>100</v>
      </c>
      <c r="X44" s="703"/>
      <c r="Y44" s="3690"/>
      <c r="Z44" s="3454">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3458">
        <f t="shared" si="11"/>
        <v>111</v>
      </c>
      <c r="R45" s="705" t="s">
        <v>14</v>
      </c>
      <c r="S45" s="706">
        <f t="shared" si="12"/>
        <v>100</v>
      </c>
      <c r="T45" s="705" t="s">
        <v>14</v>
      </c>
      <c r="U45" s="706">
        <f t="shared" si="13"/>
        <v>100</v>
      </c>
      <c r="V45" s="705" t="s">
        <v>14</v>
      </c>
      <c r="W45" s="706">
        <f t="shared" si="14"/>
        <v>100</v>
      </c>
      <c r="X45" s="3456"/>
      <c r="Y45" s="3690"/>
      <c r="Z45" s="3457">
        <f t="shared" si="15"/>
        <v>111</v>
      </c>
      <c r="AA45" s="3459">
        <f t="shared" si="3"/>
        <v>1</v>
      </c>
      <c r="AB45" s="3459">
        <f t="shared" si="4"/>
        <v>1</v>
      </c>
      <c r="AC45" s="3459">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3458">
        <f t="shared" si="11"/>
        <v>111</v>
      </c>
      <c r="R46" s="705" t="s">
        <v>14</v>
      </c>
      <c r="S46" s="706">
        <f t="shared" si="12"/>
        <v>100</v>
      </c>
      <c r="T46" s="705" t="s">
        <v>14</v>
      </c>
      <c r="U46" s="706">
        <f t="shared" si="13"/>
        <v>100</v>
      </c>
      <c r="V46" s="705" t="s">
        <v>14</v>
      </c>
      <c r="W46" s="706">
        <f t="shared" si="14"/>
        <v>100</v>
      </c>
      <c r="X46" s="3456"/>
      <c r="Y46" s="3691"/>
      <c r="Z46" s="3457">
        <f t="shared" si="15"/>
        <v>111</v>
      </c>
      <c r="AA46" s="3459">
        <f t="shared" si="3"/>
        <v>1</v>
      </c>
      <c r="AB46" s="3459">
        <f t="shared" si="4"/>
        <v>1</v>
      </c>
      <c r="AC46" s="3459">
        <f t="shared" si="5"/>
        <v>1</v>
      </c>
    </row>
    <row r="47" spans="1:29" ht="15">
      <c r="A47" s="430" t="s">
        <v>1708</v>
      </c>
      <c r="B47" s="431"/>
      <c r="C47" s="1154" t="s">
        <v>0</v>
      </c>
      <c r="D47" s="1155"/>
      <c r="E47" s="1156">
        <v>4.375</v>
      </c>
      <c r="F47" s="1157"/>
      <c r="G47" s="1158">
        <v>4.17</v>
      </c>
      <c r="H47" s="1159"/>
      <c r="I47" s="1158">
        <v>4.17</v>
      </c>
      <c r="J47" s="1159"/>
      <c r="K47" s="714"/>
      <c r="L47" s="2723"/>
      <c r="M47" s="2724"/>
      <c r="N47" s="2715"/>
      <c r="O47" s="2724"/>
      <c r="P47" s="3678" t="str">
        <f>A47</f>
        <v>成交单价（元/平方米）</v>
      </c>
      <c r="Q47" s="3678"/>
      <c r="R47" s="3692">
        <f>E47</f>
        <v>4.375</v>
      </c>
      <c r="S47" s="3692"/>
      <c r="T47" s="3692">
        <f>G47</f>
        <v>4.17</v>
      </c>
      <c r="U47" s="3692"/>
      <c r="V47" s="3692">
        <f>I47</f>
        <v>4.17</v>
      </c>
      <c r="W47" s="3692"/>
      <c r="X47" s="690"/>
      <c r="Y47" s="712"/>
      <c r="Z47" s="690"/>
      <c r="AA47" s="690"/>
      <c r="AB47" s="690"/>
      <c r="AC47" s="690"/>
    </row>
    <row r="48" spans="1:29" ht="15.75" thickBot="1">
      <c r="A48" s="437" t="s">
        <v>1709</v>
      </c>
      <c r="B48" s="438"/>
      <c r="C48" s="1160">
        <f>R49</f>
        <v>3.9</v>
      </c>
      <c r="D48" s="2317" t="s">
        <v>2137</v>
      </c>
      <c r="E48" s="1161">
        <f>R48</f>
        <v>4</v>
      </c>
      <c r="F48" s="2318"/>
      <c r="G48" s="1160">
        <f>T48</f>
        <v>4</v>
      </c>
      <c r="H48" s="2318"/>
      <c r="I48" s="1161">
        <f>V48</f>
        <v>3.8</v>
      </c>
      <c r="J48" s="2318"/>
      <c r="K48" s="2320">
        <f>F48+H48+J48</f>
        <v>0</v>
      </c>
      <c r="L48" s="2723"/>
      <c r="M48" s="2724"/>
      <c r="N48" s="2715"/>
      <c r="O48" s="2724"/>
      <c r="P48" s="3678" t="str">
        <f>A48</f>
        <v>比较价值（元/平方米）</v>
      </c>
      <c r="Q48" s="3678"/>
      <c r="R48" s="3679">
        <f>IF(F1="售价",ROUND(PRODUCT(R47,AA7:AA46),0),ROUND(PRODUCT(R47,AA7:AA46),1))</f>
        <v>4</v>
      </c>
      <c r="S48" s="3679"/>
      <c r="T48" s="3679">
        <f>IF(F1="售价",ROUND(PRODUCT(T47,AB7:AB46),0),ROUND(PRODUCT(T47,AB7:AB46),1))</f>
        <v>4</v>
      </c>
      <c r="U48" s="3679"/>
      <c r="V48" s="3679">
        <f>IF(F1="售价",ROUND(PRODUCT(V47,AC7:AC46),0),ROUND(PRODUCT(V47,AC7:AC46),1))</f>
        <v>3.8</v>
      </c>
      <c r="W48" s="3679"/>
      <c r="X48" s="690"/>
      <c r="Y48" s="690"/>
      <c r="Z48" s="690"/>
      <c r="AA48" s="690"/>
      <c r="AB48" s="690"/>
      <c r="AC48" s="690"/>
    </row>
    <row r="49" spans="1:29" ht="15.75" thickBot="1">
      <c r="A49" s="441" t="s">
        <v>1710</v>
      </c>
      <c r="B49" s="442"/>
      <c r="C49" s="1163">
        <f>R49</f>
        <v>3.9</v>
      </c>
      <c r="D49" s="1163"/>
      <c r="E49" s="1163"/>
      <c r="F49" s="1163"/>
      <c r="G49" s="1163"/>
      <c r="H49" s="1163"/>
      <c r="I49" s="1163"/>
      <c r="J49" s="1163"/>
      <c r="K49" s="715"/>
      <c r="L49" s="2723"/>
      <c r="M49" s="2724"/>
      <c r="N49" s="2715"/>
      <c r="O49" s="2724"/>
      <c r="P49" s="3680" t="str">
        <f>A49</f>
        <v>估价对象XX用房的比较价值（楼面单价，元/平方米）</v>
      </c>
      <c r="Q49" s="3681"/>
      <c r="R49" s="3682">
        <f>IF(F1="售价",ROUND(IF(D48="简单平均",AVERAGE(R48:V48),R48*F48+T48*H48+V48*J48),0),ROUND(IF(D48="简单平均",AVERAGE(R48:V48),R48*F48+T48*H48+V48*J48),1))</f>
        <v>3.9</v>
      </c>
      <c r="S49" s="3682"/>
      <c r="T49" s="3682"/>
      <c r="U49" s="3682"/>
      <c r="V49" s="3682"/>
      <c r="W49" s="3682"/>
      <c r="X49" s="690"/>
      <c r="Y49" s="690"/>
      <c r="Z49" s="690"/>
      <c r="AA49" s="690"/>
      <c r="AB49" s="690"/>
      <c r="AC49" s="690"/>
    </row>
    <row r="50" spans="1:29">
      <c r="A50" s="2724"/>
      <c r="B50" s="2724"/>
      <c r="C50" s="2724">
        <v>2004</v>
      </c>
      <c r="D50" s="2724"/>
      <c r="E50" s="2724">
        <v>2000</v>
      </c>
      <c r="F50" s="2724"/>
      <c r="G50" s="2728"/>
      <c r="H50" s="2724"/>
      <c r="I50" s="2724">
        <v>2000</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1718</v>
      </c>
      <c r="D61" s="3448" t="s">
        <v>3410</v>
      </c>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3450" t="s">
        <v>3416</v>
      </c>
      <c r="D90" s="3450" t="s">
        <v>3418</v>
      </c>
      <c r="E90" s="3450" t="s">
        <v>3419</v>
      </c>
      <c r="F90" s="3450" t="s">
        <v>3420</v>
      </c>
      <c r="G90" s="3450"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3424</v>
      </c>
      <c r="D100" s="3451" t="s">
        <v>3443</v>
      </c>
      <c r="E100" s="3451" t="s">
        <v>3426</v>
      </c>
      <c r="F100" s="3451"/>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0" t="s">
        <v>3414</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3430</v>
      </c>
      <c r="D114" s="3450" t="s">
        <v>3431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0" t="s">
        <v>3432</v>
      </c>
      <c r="D116" s="3450" t="s">
        <v>3434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3435</v>
      </c>
      <c r="D122" s="3450" t="s">
        <v>3437</v>
      </c>
      <c r="E122" s="3450" t="s">
        <v>3439</v>
      </c>
      <c r="F122" s="3452" t="s">
        <v>3440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21" sqref="C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3467</v>
      </c>
      <c r="C1" s="1859" t="s">
        <v>1563</v>
      </c>
      <c r="D1" s="198"/>
      <c r="E1" s="198"/>
      <c r="F1" s="198"/>
      <c r="G1" s="1126">
        <f>MATCH(B1,'数据-取费表'!A6:A16,0)+5</f>
        <v>6</v>
      </c>
      <c r="H1" s="1061" t="str">
        <f>IF(ISERROR(FIND("住宅",B1)),"非住宅","住宅")</f>
        <v>非住宅</v>
      </c>
    </row>
    <row r="2" spans="1:8" s="200" customFormat="1" ht="18" customHeight="1">
      <c r="A2" s="201" t="s">
        <v>1462</v>
      </c>
      <c r="B2" s="3423">
        <f ca="1">ROUND(IF(D2="——",C52/10000,C52/10000-E2),4)</f>
        <v>2618.6316999999999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20330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15449717.399999999</v>
      </c>
      <c r="D5" s="211" t="s">
        <v>1469</v>
      </c>
      <c r="E5" s="212" t="s">
        <v>1470</v>
      </c>
      <c r="F5" s="212" t="s">
        <v>1471</v>
      </c>
      <c r="G5" s="213"/>
    </row>
    <row r="6" spans="1:8" s="214" customFormat="1" ht="13.5" customHeight="1">
      <c r="A6" s="778" t="s">
        <v>1472</v>
      </c>
      <c r="B6" s="215" t="s">
        <v>1473</v>
      </c>
      <c r="C6" s="216">
        <f>基准地价修正!D33*基准地价修正!C33</f>
        <v>14754956.399999999</v>
      </c>
      <c r="D6" s="217"/>
      <c r="E6" s="218"/>
      <c r="F6" s="218"/>
      <c r="G6" s="219"/>
    </row>
    <row r="7" spans="1:8" s="214" customFormat="1" ht="13.5" customHeight="1">
      <c r="A7" s="778" t="s">
        <v>1474</v>
      </c>
      <c r="B7" s="215" t="s">
        <v>1475</v>
      </c>
      <c r="C7" s="220">
        <f>ROUND(C6*F7,0)</f>
        <v>450026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244735</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244735</v>
      </c>
      <c r="D10" s="845">
        <f ca="1">IF(B1="",'数据-汇总表'!E6,IF(INDIRECT("'数据-取费表'!c"&amp;$G$1)="住宅",INDIRECT("'数据-取费表'!s"&amp;$G$1),INDIRECT("'数据-取费表'!k"&amp;$G$1)+INDIRECT("'数据-取费表'!s"&amp;$G$1)))</f>
        <v>1288.08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1288.08</v>
      </c>
      <c r="E19" s="211">
        <f>'数据-取费表'!B31</f>
        <v>200</v>
      </c>
      <c r="F19" s="231"/>
      <c r="G19" s="1856" t="s">
        <v>3401</v>
      </c>
    </row>
    <row r="20" spans="1:7" s="214" customFormat="1" ht="13.5" customHeight="1">
      <c r="A20" s="255" t="s">
        <v>1574</v>
      </c>
      <c r="B20" s="210" t="s">
        <v>1575</v>
      </c>
      <c r="C20" s="232">
        <f ca="1">ROUND((C5+C19)*F20,0)</f>
        <v>308994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1095080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1084420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10660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2363807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2363807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20800518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5641791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5152320</v>
      </c>
      <c r="D34" s="217"/>
      <c r="E34" s="220"/>
      <c r="F34" s="257"/>
      <c r="G34" s="219"/>
    </row>
    <row r="35" spans="1:7" ht="13.5" customHeight="1">
      <c r="A35" s="780" t="s">
        <v>351</v>
      </c>
      <c r="B35" s="215" t="s">
        <v>1527</v>
      </c>
      <c r="C35" s="220">
        <f ca="1">ROUND(C34*F35,0)</f>
        <v>154570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257616</v>
      </c>
      <c r="D37" s="217">
        <f ca="1">D19</f>
        <v>1288.08</v>
      </c>
      <c r="E37" s="249">
        <f>'数据-取费表'!B35</f>
        <v>200</v>
      </c>
      <c r="F37" s="259"/>
      <c r="G37" s="261"/>
    </row>
    <row r="38" spans="1:7" ht="13.5" customHeight="1">
      <c r="A38" s="780" t="s">
        <v>354</v>
      </c>
      <c r="B38" s="215" t="s">
        <v>1533</v>
      </c>
      <c r="C38" s="220">
        <f ca="1">ROUND(C34*F38,0)</f>
        <v>77285</v>
      </c>
      <c r="D38" s="220"/>
      <c r="E38" s="220"/>
      <c r="F38" s="259">
        <f>'数据-取费表'!B36</f>
        <v>1.4999999999999999E-2</v>
      </c>
      <c r="G38" s="219" t="s">
        <v>1528</v>
      </c>
    </row>
    <row r="39" spans="1:7" s="214" customFormat="1" ht="13.5" customHeight="1">
      <c r="A39" s="255" t="s">
        <v>1534</v>
      </c>
      <c r="B39" s="210" t="s">
        <v>1535</v>
      </c>
      <c r="C39" s="232">
        <f ca="1">ROUND(C33*F20,0)</f>
        <v>112836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198535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194642</v>
      </c>
      <c r="D42" s="238"/>
      <c r="E42" s="238"/>
      <c r="F42" s="239"/>
      <c r="G42" s="3656" t="s">
        <v>1591</v>
      </c>
    </row>
    <row r="43" spans="1:7" ht="13.5" customHeight="1">
      <c r="A43" s="780" t="s">
        <v>347</v>
      </c>
      <c r="B43" s="215" t="s">
        <v>1545</v>
      </c>
      <c r="C43" s="238">
        <f ca="1">ROUND(IF('数据-取费表'!B22&lt;=1,C39*F22*'数据-取费表'!B20/2,C39*(POWER((1+F22),'数据-取费表'!B20/2)-1)),0)</f>
        <v>3893</v>
      </c>
      <c r="D43" s="238"/>
      <c r="E43" s="238"/>
      <c r="F43" s="239"/>
      <c r="G43" s="3657"/>
    </row>
    <row r="44" spans="1:7" ht="13.5" customHeight="1">
      <c r="A44" s="780"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f ca="1">C46</f>
        <v>863194</v>
      </c>
      <c r="D45" s="235">
        <f ca="1">C47</f>
        <v>3.0000000000000001E-3</v>
      </c>
      <c r="E45" s="236" t="s">
        <v>1539</v>
      </c>
      <c r="F45" s="246">
        <f ca="1">F27</f>
        <v>0.15</v>
      </c>
      <c r="G45" s="247" t="s">
        <v>1548</v>
      </c>
    </row>
    <row r="46" spans="1:7" s="214" customFormat="1" ht="13.5" customHeight="1">
      <c r="A46" s="780" t="s">
        <v>346</v>
      </c>
      <c r="B46" s="248" t="s">
        <v>1549</v>
      </c>
      <c r="C46" s="249">
        <f ca="1">ROUND((C33+C39)*F27,0)</f>
        <v>863194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7377807</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5385799</v>
      </c>
      <c r="D51" s="232"/>
      <c r="E51" s="232"/>
      <c r="F51" s="264"/>
      <c r="G51" s="234" t="s">
        <v>1560</v>
      </c>
    </row>
    <row r="52" spans="1:7" s="208" customFormat="1" ht="16.5" thickBot="1">
      <c r="A52" s="265" t="s">
        <v>1561</v>
      </c>
      <c r="B52" s="266"/>
      <c r="C52" s="267">
        <f ca="1">C31+C51</f>
        <v>26186317</v>
      </c>
      <c r="D52" s="266"/>
      <c r="E52" s="266"/>
      <c r="F52" s="266"/>
      <c r="G52" s="268"/>
    </row>
    <row r="55" spans="1:7" ht="15">
      <c r="B55" s="270" t="s">
        <v>1562</v>
      </c>
      <c r="C55" s="271"/>
    </row>
    <row r="56" spans="1:7">
      <c r="B56" s="273" t="s">
        <v>802</v>
      </c>
      <c r="C56" s="275">
        <f ca="1">1-C57</f>
        <v>0.79400000000000004</v>
      </c>
    </row>
    <row r="57" spans="1:7">
      <c r="B57" s="273" t="s">
        <v>803</v>
      </c>
      <c r="C57" s="274">
        <f ca="1">ROUND(C51/C52,3)</f>
        <v>0.20599999999999999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-27</v>
      </c>
      <c r="C2" s="276" t="s">
        <v>1595</v>
      </c>
      <c r="D2" s="276"/>
      <c r="E2" s="2805"/>
      <c r="F2" s="2805"/>
      <c r="G2" s="2805"/>
      <c r="H2" s="2805"/>
      <c r="I2" s="2805"/>
      <c r="J2" s="2805"/>
      <c r="K2" s="2805"/>
    </row>
    <row r="3" spans="1:33" ht="18" customHeight="1" thickBot="1">
      <c r="A3" s="203" t="s">
        <v>1464</v>
      </c>
      <c r="B3" s="204">
        <f ca="1">ROUND(B2*10000/IF(C1="",'数据-汇总表'!E3,INDIRECT("'数据-取费表'!K"&amp;$K$1)),0)</f>
        <v>-210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1288.08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1288.08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24</v>
      </c>
      <c r="D20" s="846">
        <f ca="1">IF(C1="",'数据-汇总表'!E6,IF(INDIRECT("'数据-取费表'!c"&amp;$K$1)="住宅",INDIRECT("'数据-取费表'!s"&amp;$K$1),INDIRECT("'数据-取费表'!k"&amp;$K$1)+INDIRECT("'数据-取费表'!s"&amp;$K$1)))</f>
        <v>1288.08</v>
      </c>
      <c r="E20" s="21">
        <f>'数据-取费表'!B28</f>
        <v>190</v>
      </c>
      <c r="F20" s="804"/>
      <c r="G20" s="12"/>
      <c r="H20" s="809"/>
      <c r="I20" s="809"/>
      <c r="J20" s="809"/>
      <c r="K20" s="810"/>
    </row>
    <row r="21" spans="1:33" s="803" customFormat="1" ht="13.5" customHeight="1">
      <c r="A21" s="790" t="s">
        <v>357</v>
      </c>
      <c r="B21" s="813" t="s">
        <v>1628</v>
      </c>
      <c r="C21" s="814">
        <f ca="1">C16+C17+C18</f>
        <v>24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-27</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7" t="s">
        <v>694</v>
      </c>
      <c r="C6" s="1074">
        <f ca="1">ROUND(F6*F8*F7*(1-F9)/10000,0)</f>
        <v>0</v>
      </c>
      <c r="D6" s="155" t="s">
        <v>2108</v>
      </c>
      <c r="E6" s="302" t="s">
        <v>696</v>
      </c>
      <c r="F6" s="303">
        <f ca="1">INDIRECT("'数据-取费表'!u"&amp;$G$1)</f>
        <v>0</v>
      </c>
      <c r="G6" s="1384"/>
      <c r="H6" s="1069" t="s">
        <v>398</v>
      </c>
      <c r="I6" s="3727" t="s">
        <v>694</v>
      </c>
      <c r="J6" s="301">
        <f ca="1">ROUND(M6*M8*M7*(1-M9)/10000,0)</f>
        <v>0</v>
      </c>
      <c r="K6" s="155" t="s">
        <v>2107</v>
      </c>
      <c r="L6" s="302" t="s">
        <v>696</v>
      </c>
      <c r="M6" s="303">
        <f ca="1">INDIRECT("'数据-取费表'!z"&amp;$G$1)</f>
        <v>0</v>
      </c>
    </row>
    <row r="7" spans="1:37" ht="18" customHeight="1">
      <c r="A7" s="1073"/>
      <c r="B7" s="3728"/>
      <c r="C7" s="1075"/>
      <c r="D7" s="307"/>
      <c r="E7" s="1076" t="s">
        <v>697</v>
      </c>
      <c r="F7" s="303">
        <f ca="1">IF(INDIRECT("'数据-取费表'!ah"&amp;$G$1)="",INDIRECT("'数据-取费表'!k"&amp;$G$1),INDIRECT("'数据-取费表'!ah"&amp;$G$1))</f>
        <v>0</v>
      </c>
      <c r="G7" s="1384"/>
      <c r="H7" s="304"/>
      <c r="I7" s="3728"/>
      <c r="J7" s="306"/>
      <c r="K7" s="307"/>
      <c r="L7" s="302" t="s">
        <v>697</v>
      </c>
      <c r="M7" s="303">
        <f ca="1">F7</f>
        <v>0</v>
      </c>
    </row>
    <row r="8" spans="1:37" ht="18" customHeight="1">
      <c r="A8" s="304"/>
      <c r="B8" s="3728"/>
      <c r="C8" s="306"/>
      <c r="D8" s="307"/>
      <c r="E8" s="302" t="s">
        <v>698</v>
      </c>
      <c r="F8" s="303">
        <f ca="1">INDIRECT("'数据-取费表'!ai"&amp;$G$1)</f>
        <v>0</v>
      </c>
      <c r="G8" s="1384"/>
      <c r="H8" s="304"/>
      <c r="I8" s="3728"/>
      <c r="J8" s="306"/>
      <c r="K8" s="307"/>
      <c r="L8" s="302" t="s">
        <v>698</v>
      </c>
      <c r="M8" s="303">
        <f ca="1">INDIRECT("'数据-取费表'!ai"&amp;$G$1)</f>
        <v>0</v>
      </c>
    </row>
    <row r="9" spans="1:37" ht="18" customHeight="1">
      <c r="A9" s="304"/>
      <c r="B9" s="3729"/>
      <c r="C9" s="306"/>
      <c r="D9" s="307"/>
      <c r="E9" s="302" t="s">
        <v>699</v>
      </c>
      <c r="F9" s="312">
        <f ca="1">INDIRECT("'数据-取费表'!w"&amp;$G$1)</f>
        <v>0</v>
      </c>
      <c r="G9" s="1384"/>
      <c r="H9" s="304"/>
      <c r="I9" s="372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25" t="s">
        <v>837</v>
      </c>
      <c r="L53" s="372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3360</v>
      </c>
      <c r="E2" s="3443"/>
      <c r="F2" s="2845"/>
      <c r="G2" s="2846"/>
      <c r="H2" s="2847"/>
      <c r="I2" s="2848"/>
      <c r="J2" s="3736" t="s">
        <v>2320</v>
      </c>
      <c r="K2" s="373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38" t="s">
        <v>2330</v>
      </c>
      <c r="K3" s="373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38" t="s">
        <v>2332</v>
      </c>
      <c r="K4" s="373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44" t="s">
        <v>2336</v>
      </c>
      <c r="B6" s="3745"/>
      <c r="C6" s="3746"/>
      <c r="D6" s="2869"/>
      <c r="E6" s="2870"/>
      <c r="F6" s="2871"/>
      <c r="G6" s="2872"/>
      <c r="H6" s="2847"/>
      <c r="I6" s="2848"/>
      <c r="J6" s="3730">
        <v>1</v>
      </c>
      <c r="K6" s="373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30"/>
      <c r="K7" s="373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47" t="s">
        <v>2350</v>
      </c>
      <c r="C8" s="3748"/>
      <c r="D8" s="2888" t="s">
        <v>2351</v>
      </c>
      <c r="E8" s="2889" t="s">
        <v>2352</v>
      </c>
      <c r="F8" s="2890" t="s">
        <v>2353</v>
      </c>
      <c r="G8" s="2891"/>
      <c r="H8" s="2847"/>
      <c r="I8" s="2848"/>
      <c r="J8" s="3730"/>
      <c r="K8" s="373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47" t="s">
        <v>2356</v>
      </c>
      <c r="C9" s="3748"/>
      <c r="D9" s="2888">
        <f>ROUND(D6*E9,0)</f>
        <v>0</v>
      </c>
      <c r="E9" s="2892"/>
      <c r="F9" s="2893" t="s">
        <v>2357</v>
      </c>
      <c r="G9" s="2872"/>
      <c r="H9" s="2847"/>
      <c r="I9" s="2848"/>
      <c r="J9" s="3730"/>
      <c r="K9" s="3732"/>
      <c r="L9" s="2882" t="s">
        <v>2358</v>
      </c>
      <c r="M9" s="2883"/>
      <c r="N9" s="2859"/>
      <c r="O9" s="2884"/>
      <c r="P9" s="2884"/>
      <c r="Q9" s="2885">
        <v>365</v>
      </c>
      <c r="R9" s="2886">
        <f t="shared" si="0"/>
        <v>0</v>
      </c>
      <c r="S9" s="2840"/>
      <c r="T9" s="2840"/>
      <c r="U9" s="2840"/>
      <c r="V9" s="2848"/>
    </row>
    <row r="10" spans="1:22" s="2852" customFormat="1" ht="13.15" customHeight="1">
      <c r="A10" s="2887">
        <v>2</v>
      </c>
      <c r="B10" s="3747" t="s">
        <v>2359</v>
      </c>
      <c r="C10" s="3748"/>
      <c r="D10" s="2888">
        <f>ROUND(D6*E10,0)</f>
        <v>0</v>
      </c>
      <c r="E10" s="2892"/>
      <c r="F10" s="2893" t="s">
        <v>2360</v>
      </c>
      <c r="G10" s="2872"/>
      <c r="H10" s="2847"/>
      <c r="I10" s="2848"/>
      <c r="J10" s="3730"/>
      <c r="K10" s="3732"/>
      <c r="L10" s="2882" t="s">
        <v>2361</v>
      </c>
      <c r="M10" s="2883"/>
      <c r="N10" s="2859"/>
      <c r="O10" s="2884"/>
      <c r="P10" s="2884"/>
      <c r="Q10" s="2885">
        <v>365</v>
      </c>
      <c r="R10" s="2886">
        <f t="shared" si="0"/>
        <v>0</v>
      </c>
      <c r="S10" s="2840"/>
      <c r="T10" s="2840"/>
      <c r="U10" s="2840"/>
      <c r="V10" s="2848"/>
    </row>
    <row r="11" spans="1:22" s="2852" customFormat="1" ht="13.15" customHeight="1">
      <c r="A11" s="2887">
        <v>3</v>
      </c>
      <c r="B11" s="3747" t="s">
        <v>2362</v>
      </c>
      <c r="C11" s="3748"/>
      <c r="D11" s="2888">
        <f>D12+D14+D15+D16</f>
        <v>0</v>
      </c>
      <c r="E11" s="2894" t="e">
        <f>D11/D6</f>
        <v>#DIV/0!</v>
      </c>
      <c r="F11" s="2890"/>
      <c r="G11" s="2891"/>
      <c r="H11" s="2847"/>
      <c r="I11" s="2848"/>
      <c r="J11" s="3730"/>
      <c r="K11" s="373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40" t="s">
        <v>2365</v>
      </c>
      <c r="C12" s="3741"/>
      <c r="D12" s="2896">
        <f>ROUND(D13*1.2%*(1-30%),0)</f>
        <v>0</v>
      </c>
      <c r="E12" s="2897">
        <v>1.2E-2</v>
      </c>
      <c r="F12" s="2890" t="s">
        <v>2366</v>
      </c>
      <c r="G12" s="2891"/>
      <c r="H12" s="2847"/>
      <c r="I12" s="2848"/>
      <c r="J12" s="3730"/>
      <c r="K12" s="373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30"/>
      <c r="K13" s="373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40" t="s">
        <v>2371</v>
      </c>
      <c r="C14" s="3741"/>
      <c r="D14" s="2896">
        <f>ROUND(E14*B5/10000,0)</f>
        <v>0</v>
      </c>
      <c r="E14" s="2885"/>
      <c r="F14" s="2890" t="s">
        <v>2372</v>
      </c>
      <c r="G14" s="2891"/>
      <c r="H14" s="2847"/>
      <c r="I14" s="2848"/>
      <c r="J14" s="3730"/>
      <c r="K14" s="373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40" t="s">
        <v>2375</v>
      </c>
      <c r="C15" s="3741"/>
      <c r="D15" s="2896">
        <f>ROUND(D6*E15,0)</f>
        <v>0</v>
      </c>
      <c r="E15" s="2897">
        <v>5.5E-2</v>
      </c>
      <c r="F15" s="2890" t="s">
        <v>2376</v>
      </c>
      <c r="G15" s="2872"/>
      <c r="H15" s="2847"/>
      <c r="I15" s="2848"/>
      <c r="J15" s="3730">
        <v>2</v>
      </c>
      <c r="K15" s="373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40" t="s">
        <v>2384</v>
      </c>
      <c r="C16" s="3741"/>
      <c r="D16" s="2907">
        <f>D6*E16</f>
        <v>0</v>
      </c>
      <c r="E16" s="2908"/>
      <c r="F16" s="2893" t="s">
        <v>2385</v>
      </c>
      <c r="G16" s="2872"/>
      <c r="H16" s="2847"/>
      <c r="I16" s="2848"/>
      <c r="J16" s="3730"/>
      <c r="K16" s="373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42" t="s">
        <v>2387</v>
      </c>
      <c r="C17" s="3743"/>
      <c r="D17" s="2910">
        <f>ROUND(D6*E17,0)</f>
        <v>0</v>
      </c>
      <c r="E17" s="2911"/>
      <c r="F17" s="2912" t="s">
        <v>2388</v>
      </c>
      <c r="G17" s="2872"/>
      <c r="H17" s="2847"/>
      <c r="I17" s="2848"/>
      <c r="J17" s="3730"/>
      <c r="K17" s="373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30"/>
      <c r="K18" s="373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30"/>
      <c r="K19" s="373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0">
        <v>3</v>
      </c>
      <c r="K20" s="373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30"/>
      <c r="K21" s="373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30"/>
      <c r="K22" s="373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30"/>
      <c r="K23" s="373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30"/>
      <c r="K24" s="373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3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36" t="s">
        <v>2320</v>
      </c>
      <c r="K32" s="373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38" t="s">
        <v>2330</v>
      </c>
      <c r="K33" s="373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38" t="s">
        <v>2332</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30">
        <v>1</v>
      </c>
      <c r="K36" s="373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30"/>
      <c r="K40" s="373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1740.1647</v>
      </c>
      <c r="C2" s="1872" t="s">
        <v>1651</v>
      </c>
      <c r="D2" s="1873" t="s">
        <v>1652</v>
      </c>
      <c r="E2" s="2607">
        <f>SUM(E6:E13)</f>
        <v>1288.08</v>
      </c>
      <c r="F2" s="2706"/>
      <c r="G2" s="1489"/>
      <c r="H2" s="1489"/>
      <c r="I2" s="1489"/>
      <c r="J2" s="1489"/>
      <c r="K2" s="1489"/>
      <c r="L2" s="1489"/>
      <c r="M2" s="1489"/>
      <c r="N2" s="1489"/>
      <c r="O2" s="1489"/>
      <c r="P2" s="1489"/>
      <c r="Q2" s="1489"/>
      <c r="R2" s="1489"/>
      <c r="S2" s="1489"/>
    </row>
    <row r="3" spans="1:22" ht="15.75">
      <c r="A3" s="1870" t="s">
        <v>686</v>
      </c>
      <c r="B3" s="2601">
        <f ca="1">ROUND(B2*10000/E2,0)</f>
        <v>13510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49" t="s">
        <v>1654</v>
      </c>
      <c r="C5" s="3750"/>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1740.1647</v>
      </c>
      <c r="C6" s="1872" t="s">
        <v>1651</v>
      </c>
      <c r="D6" s="2708"/>
      <c r="E6" s="2606">
        <f>IF(OR(A6=0,F6="否"),0,'数据-取费表'!K6+'数据-取费表'!S6)</f>
        <v>1288.08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1288.08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4"/>
      <c r="M4" s="2715"/>
      <c r="N4" s="2715"/>
      <c r="O4" s="2715"/>
      <c r="P4" s="3701" t="s">
        <v>1672</v>
      </c>
      <c r="Q4" s="3702"/>
      <c r="R4" s="3707" t="s">
        <v>1668</v>
      </c>
      <c r="S4" s="3708"/>
      <c r="T4" s="3707" t="s">
        <v>1669</v>
      </c>
      <c r="U4" s="3708"/>
      <c r="V4" s="3692" t="s">
        <v>1670</v>
      </c>
      <c r="W4" s="3692"/>
      <c r="X4" s="1355"/>
      <c r="Y4" s="3707" t="s">
        <v>1672</v>
      </c>
      <c r="Z4" s="3708"/>
      <c r="AA4" s="3694" t="s">
        <v>1668</v>
      </c>
      <c r="AB4" s="3694" t="s">
        <v>1669</v>
      </c>
      <c r="AC4" s="3694" t="s">
        <v>1670</v>
      </c>
    </row>
    <row r="5" spans="1:29" ht="15">
      <c r="A5" s="358"/>
      <c r="B5" s="359"/>
      <c r="C5" s="3720" t="s">
        <v>1673</v>
      </c>
      <c r="D5" s="3716"/>
      <c r="E5" s="3751" t="s">
        <v>1674</v>
      </c>
      <c r="F5" s="3724"/>
      <c r="G5" s="3720" t="s">
        <v>1675</v>
      </c>
      <c r="H5" s="3716"/>
      <c r="I5" s="3720" t="s">
        <v>1676</v>
      </c>
      <c r="J5" s="3716"/>
      <c r="K5" s="1890"/>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1890"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7" t="s">
        <v>1680</v>
      </c>
      <c r="Q7" s="3719"/>
      <c r="R7" s="701" t="s">
        <v>20</v>
      </c>
      <c r="S7" s="702">
        <f t="shared" ref="S7:S15" si="0">F7</f>
        <v>0</v>
      </c>
      <c r="T7" s="701" t="s">
        <v>20</v>
      </c>
      <c r="U7" s="702">
        <f t="shared" ref="U7:U15" si="1">H7</f>
        <v>0</v>
      </c>
      <c r="V7" s="701" t="s">
        <v>20</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7" t="s">
        <v>1683</v>
      </c>
      <c r="Q8" s="3718"/>
      <c r="R8" s="701" t="s">
        <v>20</v>
      </c>
      <c r="S8" s="702">
        <f t="shared" si="0"/>
        <v>100</v>
      </c>
      <c r="T8" s="701" t="s">
        <v>20</v>
      </c>
      <c r="U8" s="702">
        <f t="shared" si="1"/>
        <v>100</v>
      </c>
      <c r="V8" s="701" t="s">
        <v>20</v>
      </c>
      <c r="W8" s="702">
        <f t="shared" si="2"/>
        <v>100</v>
      </c>
      <c r="X8" s="703"/>
      <c r="Y8" s="3717" t="s">
        <v>1683</v>
      </c>
      <c r="Z8" s="371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4"/>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4"/>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4"/>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4"/>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4"/>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4"/>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4"/>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4"/>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8" t="str">
        <f>A47</f>
        <v>成交单价（元/平方米）</v>
      </c>
      <c r="Q47" s="3678"/>
      <c r="R47" s="3679">
        <f>E47</f>
        <v>0</v>
      </c>
      <c r="S47" s="3679"/>
      <c r="T47" s="3679">
        <f>G47</f>
        <v>0</v>
      </c>
      <c r="U47" s="3679"/>
      <c r="V47" s="3679">
        <f>I47</f>
        <v>0</v>
      </c>
      <c r="W47" s="367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受贵公司委托，我公司对北京市丰台区青塔西路58号院22号楼3层301-306/203-205房地产抵押价值进行了预评估。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估价对象为北京市丰台区青塔西路58号院22号楼3层301-306/203-205房地产，为所有。根据《国有土地使用证》[]，估价对象（分摊）出让国有建设用地使用权面积为0平方米，建筑面积为1288.08平方米。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青塔西路58号院22号楼3层301-306/203-205房地产,属开发建设的，该项目尚在开发建设中。根据《国有土地使用证》[]，估价对象（分摊）出让国有建设用地使用权面积为0平方米，规划建筑面积为1288.08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青塔西路58号院22号楼3层301-306/203-205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1288.08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58" t="s">
        <v>1775</v>
      </c>
      <c r="Q4" s="3759"/>
      <c r="R4" s="3762" t="s">
        <v>1771</v>
      </c>
      <c r="S4" s="3763"/>
      <c r="T4" s="3762" t="s">
        <v>1772</v>
      </c>
      <c r="U4" s="3763"/>
      <c r="V4" s="3764" t="s">
        <v>1773</v>
      </c>
      <c r="W4" s="3764"/>
      <c r="X4" s="1958"/>
      <c r="Y4" s="3762" t="s">
        <v>1775</v>
      </c>
      <c r="Z4" s="3763"/>
      <c r="AA4" s="3766" t="s">
        <v>1771</v>
      </c>
      <c r="AB4" s="3766" t="s">
        <v>1772</v>
      </c>
      <c r="AC4" s="3755" t="s">
        <v>1773</v>
      </c>
    </row>
    <row r="5" spans="1:29" ht="15">
      <c r="A5" s="358"/>
      <c r="B5" s="359"/>
      <c r="C5" s="3720" t="s">
        <v>1673</v>
      </c>
      <c r="D5" s="3716"/>
      <c r="E5" s="3751" t="s">
        <v>1674</v>
      </c>
      <c r="F5" s="3724"/>
      <c r="G5" s="3720" t="s">
        <v>1675</v>
      </c>
      <c r="H5" s="3716"/>
      <c r="I5" s="3720" t="s">
        <v>1676</v>
      </c>
      <c r="J5" s="3716"/>
      <c r="K5" s="559"/>
      <c r="L5" s="2714"/>
      <c r="M5" s="2715"/>
      <c r="N5" s="2715"/>
      <c r="O5" s="2715"/>
      <c r="P5" s="3760"/>
      <c r="Q5" s="3704"/>
      <c r="R5" s="3709"/>
      <c r="S5" s="3710"/>
      <c r="T5" s="3709"/>
      <c r="U5" s="3710"/>
      <c r="V5" s="3692"/>
      <c r="W5" s="3692"/>
      <c r="X5" s="1355"/>
      <c r="Y5" s="3709"/>
      <c r="Z5" s="3710"/>
      <c r="AA5" s="3695"/>
      <c r="AB5" s="3695"/>
      <c r="AC5" s="3756"/>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61"/>
      <c r="Q6" s="3706"/>
      <c r="R6" s="3709"/>
      <c r="S6" s="3710"/>
      <c r="T6" s="3711"/>
      <c r="U6" s="3712"/>
      <c r="V6" s="3692"/>
      <c r="W6" s="3692"/>
      <c r="X6" s="1355"/>
      <c r="Y6" s="3711"/>
      <c r="Z6" s="3712"/>
      <c r="AA6" s="3696"/>
      <c r="AB6" s="3696"/>
      <c r="AC6" s="3757"/>
    </row>
    <row r="7" spans="1:29" s="108" customFormat="1" ht="15.75" thickBot="1">
      <c r="A7" s="362" t="s">
        <v>1679</v>
      </c>
      <c r="B7" s="363"/>
      <c r="C7" s="364">
        <f>'数据-取费表'!B2</f>
        <v>45279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5"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5"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3"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4"/>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4"/>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4"/>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4"/>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4"/>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4"/>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4"/>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4"/>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4"/>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4"/>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4"/>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678"/>
      <c r="R48" s="3679">
        <f>E48</f>
        <v>0</v>
      </c>
      <c r="S48" s="3679"/>
      <c r="T48" s="3679">
        <f>G48</f>
        <v>0</v>
      </c>
      <c r="U48" s="3679"/>
      <c r="V48" s="3679">
        <f>I48</f>
        <v>0</v>
      </c>
      <c r="W48" s="3679"/>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1288.08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913"/>
      <c r="M5" s="914"/>
      <c r="N5" s="914"/>
      <c r="O5" s="914"/>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559" t="s">
        <v>1678</v>
      </c>
      <c r="L6" s="913"/>
      <c r="M6" s="914"/>
      <c r="N6" s="914"/>
      <c r="O6" s="914"/>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679">
        <f>E41</f>
        <v>0</v>
      </c>
      <c r="S41" s="3679"/>
      <c r="T41" s="3679">
        <f>G41</f>
        <v>0</v>
      </c>
      <c r="U41" s="3679"/>
      <c r="V41" s="3679">
        <f>I41</f>
        <v>0</v>
      </c>
      <c r="W41" s="367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3"/>
      <c r="M37" s="2724"/>
      <c r="N37" s="2715"/>
      <c r="O37" s="2724"/>
      <c r="P37" s="3678" t="str">
        <f>A37</f>
        <v>成交单价</v>
      </c>
      <c r="Q37" s="3678"/>
      <c r="R37" s="3679">
        <f>E37</f>
        <v>0</v>
      </c>
      <c r="S37" s="3679"/>
      <c r="T37" s="3679">
        <f>G37</f>
        <v>0</v>
      </c>
      <c r="U37" s="3679"/>
      <c r="V37" s="3679">
        <f>I37</f>
        <v>0</v>
      </c>
      <c r="W37" s="367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0" t="str">
        <f>A39</f>
        <v>估价对象XX用房的比较价值（楼面单价，元/平方米）</v>
      </c>
      <c r="Q39" s="3681"/>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8" t="str">
        <f>A35</f>
        <v>成交单价（元/平方米）</v>
      </c>
      <c r="Q35" s="3678"/>
      <c r="R35" s="3679">
        <f>E35</f>
        <v>0</v>
      </c>
      <c r="S35" s="3679"/>
      <c r="T35" s="3679">
        <f>G35</f>
        <v>0</v>
      </c>
      <c r="U35" s="3679"/>
      <c r="V35" s="3679">
        <f>I35</f>
        <v>0</v>
      </c>
      <c r="W35" s="367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0" t="str">
        <f>A37</f>
        <v>估价对象XX用房的比较价值（楼面单价，元/平方米）</v>
      </c>
      <c r="Q37" s="3681"/>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30"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30"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6"/>
      <c r="AC6" s="3696"/>
    </row>
    <row r="7" spans="1:30" s="108" customFormat="1" ht="15.75" thickBot="1">
      <c r="A7" s="362" t="s">
        <v>1679</v>
      </c>
      <c r="B7" s="363"/>
      <c r="C7" s="364">
        <f>'数据-取费表'!B2</f>
        <v>45279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20"/>
      <c r="L10" s="2718"/>
      <c r="M10" s="2719"/>
      <c r="N10" s="2719"/>
      <c r="O10" s="2772"/>
      <c r="P10" s="3678"/>
      <c r="Q10" s="1343" t="str">
        <f t="shared" si="6"/>
        <v>土地使用年限（年）</v>
      </c>
      <c r="R10" s="701" t="s">
        <v>14</v>
      </c>
      <c r="S10" s="702">
        <f t="shared" si="0"/>
        <v>136</v>
      </c>
      <c r="T10" s="701" t="s">
        <v>14</v>
      </c>
      <c r="U10" s="702">
        <f t="shared" si="1"/>
        <v>136</v>
      </c>
      <c r="V10" s="701" t="s">
        <v>14</v>
      </c>
      <c r="W10" s="702">
        <f t="shared" si="2"/>
        <v>136</v>
      </c>
      <c r="X10" s="703"/>
      <c r="Y10" s="3563"/>
      <c r="Z10" s="52" t="str">
        <f t="shared" si="7"/>
        <v>土地使用年限（年）</v>
      </c>
      <c r="AA10" s="704">
        <f t="shared" si="3"/>
        <v>0.73529411764705888</v>
      </c>
      <c r="AB10" s="704">
        <f t="shared" si="4"/>
        <v>0.73529411764705888</v>
      </c>
      <c r="AC10" s="704">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8"/>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7"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78" t="str">
        <f>A46</f>
        <v>成交单价</v>
      </c>
      <c r="Q46" s="3678"/>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78" t="str">
        <f>A47</f>
        <v>比较价值（元/平方米）</v>
      </c>
      <c r="Q47" s="3678"/>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0" t="str">
        <f>A48</f>
        <v>估价对象XX用房的比较价值（楼面单价，元/平方米）</v>
      </c>
      <c r="Q48" s="3681"/>
      <c r="R48" s="3770" t="e">
        <f>ROUND(IF(D47="简单平均",AVERAGE(R47:W47),R47*F47+T47*H47+V47*J47),0)</f>
        <v>#DIV/0!</v>
      </c>
      <c r="S48" s="3770"/>
      <c r="T48" s="3770"/>
      <c r="U48" s="3770"/>
      <c r="V48" s="3770"/>
      <c r="W48" s="377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7" t="s">
        <v>1887</v>
      </c>
      <c r="H55" s="3771"/>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1288.08</v>
      </c>
      <c r="F56" s="886" t="e">
        <f t="shared" ref="F56:F64" si="15">ROUND(B56*E56/10000,0)</f>
        <v>#DIV/0!</v>
      </c>
      <c r="G56" s="3693"/>
      <c r="H56" s="367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五级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五级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五级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1288.08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72" t="s">
        <v>1919</v>
      </c>
      <c r="D6" s="3773"/>
      <c r="E6" s="3774" t="s">
        <v>1919</v>
      </c>
      <c r="F6" s="3775"/>
      <c r="G6" s="3772" t="s">
        <v>1919</v>
      </c>
      <c r="H6" s="3773"/>
      <c r="I6" s="3772" t="s">
        <v>1919</v>
      </c>
      <c r="J6" s="3773"/>
      <c r="K6" s="559"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20"/>
      <c r="L10" s="2718"/>
      <c r="M10" s="2719"/>
      <c r="N10" s="2719"/>
      <c r="O10" s="2772"/>
      <c r="P10" s="3678"/>
      <c r="Q10" s="1343" t="str">
        <f t="shared" si="6"/>
        <v>土地使用年限（年）</v>
      </c>
      <c r="R10" s="701" t="s">
        <v>14</v>
      </c>
      <c r="S10" s="702">
        <f t="shared" si="0"/>
        <v>136</v>
      </c>
      <c r="T10" s="701" t="s">
        <v>14</v>
      </c>
      <c r="U10" s="702">
        <f t="shared" si="1"/>
        <v>136</v>
      </c>
      <c r="V10" s="701" t="s">
        <v>14</v>
      </c>
      <c r="W10" s="702">
        <f t="shared" si="2"/>
        <v>136</v>
      </c>
      <c r="X10" s="703"/>
      <c r="Y10" s="3563"/>
      <c r="Z10" s="52" t="str">
        <f t="shared" si="7"/>
        <v>土地使用年限（年）</v>
      </c>
      <c r="AA10" s="704">
        <f t="shared" si="3"/>
        <v>0.73529411764705888</v>
      </c>
      <c r="AB10" s="704">
        <f t="shared" si="4"/>
        <v>0.73529411764705888</v>
      </c>
      <c r="AC10" s="704">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7"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8" t="str">
        <f>A41</f>
        <v>成交单价</v>
      </c>
      <c r="Q41" s="3678"/>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78" t="str">
        <f>A42</f>
        <v>比较价值（元/平方米）</v>
      </c>
      <c r="Q42" s="3678"/>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0" t="str">
        <f>A43</f>
        <v>估价对象XX用房的比较价值（楼面单价，元/平方米）</v>
      </c>
      <c r="Q43" s="3681"/>
      <c r="R43" s="3770" t="e">
        <f>ROUND(IF(D42="简单平均",AVERAGE(R42:W42),R42*F42+T42*H42+V42*J42),0)</f>
        <v>#DIV/0!</v>
      </c>
      <c r="S43" s="3770"/>
      <c r="T43" s="3770"/>
      <c r="U43" s="3770"/>
      <c r="V43" s="3770"/>
      <c r="W43" s="377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7" t="s">
        <v>1887</v>
      </c>
      <c r="H50" s="3771"/>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1288.08</v>
      </c>
      <c r="F51" s="639" t="e">
        <f t="shared" ref="F51:F60" si="15">ROUND(B51*E51/10000,0)</f>
        <v>#DIV/0!</v>
      </c>
      <c r="G51" s="3693"/>
      <c r="H51" s="367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五级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五级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五级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3467</v>
      </c>
      <c r="D1" s="1362" t="s">
        <v>43</v>
      </c>
      <c r="E1" s="1363" t="s">
        <v>678</v>
      </c>
      <c r="F1" s="1062">
        <f ca="1">J53</f>
        <v>20.399999999999999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1740.1647</v>
      </c>
      <c r="C2" s="1387" t="s">
        <v>879</v>
      </c>
      <c r="D2" s="1471">
        <f ca="1">C40+J29+L46</f>
        <v>17401647</v>
      </c>
      <c r="E2" s="1388" t="s">
        <v>880</v>
      </c>
      <c r="F2" s="1389"/>
      <c r="G2" s="2705"/>
      <c r="H2" s="2694"/>
      <c r="I2" s="2694"/>
      <c r="J2" s="2694"/>
      <c r="K2" s="2695"/>
      <c r="L2" s="2694"/>
      <c r="M2" s="2694"/>
    </row>
    <row r="3" spans="1:37" ht="18" customHeight="1" thickBot="1">
      <c r="A3" s="1390" t="s">
        <v>881</v>
      </c>
      <c r="B3" s="1391">
        <f ca="1">IF(ISERROR(D2/F43),0,ROUND(D2/F43,0))</f>
        <v>13510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1465875</v>
      </c>
      <c r="D5" s="1364" t="s">
        <v>889</v>
      </c>
      <c r="E5" s="1071"/>
      <c r="F5" s="1072"/>
      <c r="G5" s="1384"/>
      <c r="H5" s="299">
        <v>1</v>
      </c>
      <c r="I5" s="300" t="s">
        <v>888</v>
      </c>
      <c r="J5" s="1070">
        <f ca="1">J6+J10+J12</f>
        <v>0</v>
      </c>
      <c r="K5" s="1364" t="s">
        <v>889</v>
      </c>
      <c r="L5" s="1071"/>
      <c r="M5" s="1072"/>
    </row>
    <row r="6" spans="1:37" ht="18" customHeight="1">
      <c r="A6" s="1069" t="s">
        <v>398</v>
      </c>
      <c r="B6" s="3727" t="s">
        <v>694</v>
      </c>
      <c r="C6" s="1074">
        <f ca="1">ROUND(F6*F8*F7*(1-F9),0)</f>
        <v>1464045</v>
      </c>
      <c r="D6" s="155" t="s">
        <v>2105</v>
      </c>
      <c r="E6" s="302" t="s">
        <v>696</v>
      </c>
      <c r="F6" s="303">
        <f ca="1">INDIRECT("'数据-取费表'!u"&amp;$G$1)</f>
        <v>3.46</v>
      </c>
      <c r="G6" s="1384"/>
      <c r="H6" s="1069" t="s">
        <v>398</v>
      </c>
      <c r="I6" s="3727" t="s">
        <v>694</v>
      </c>
      <c r="J6" s="301">
        <f ca="1">ROUND(M6*M8*M7*(1-M9),0)</f>
        <v>0</v>
      </c>
      <c r="K6" s="1376" t="s">
        <v>2106</v>
      </c>
      <c r="L6" s="302" t="s">
        <v>696</v>
      </c>
      <c r="M6" s="303">
        <f ca="1">INDIRECT("'数据-取费表'!z"&amp;$G$1)</f>
        <v>0</v>
      </c>
    </row>
    <row r="7" spans="1:37" ht="18" customHeight="1">
      <c r="A7" s="1073"/>
      <c r="B7" s="3728"/>
      <c r="C7" s="1075"/>
      <c r="D7" s="307"/>
      <c r="E7" s="1076" t="s">
        <v>697</v>
      </c>
      <c r="F7" s="303">
        <f ca="1">IF(INDIRECT("'数据-取费表'!ah"&amp;$G$1)="",INDIRECT("'数据-取费表'!k"&amp;$G$1),INDIRECT("'数据-取费表'!ah"&amp;$G$1))</f>
        <v>1288.08</v>
      </c>
      <c r="G7" s="1384"/>
      <c r="H7" s="304"/>
      <c r="I7" s="3728"/>
      <c r="J7" s="306"/>
      <c r="K7" s="307"/>
      <c r="L7" s="302" t="s">
        <v>697</v>
      </c>
      <c r="M7" s="303">
        <f ca="1">F7</f>
        <v>1288.08</v>
      </c>
    </row>
    <row r="8" spans="1:37" ht="18" customHeight="1">
      <c r="A8" s="304"/>
      <c r="B8" s="3728"/>
      <c r="C8" s="306"/>
      <c r="D8" s="307"/>
      <c r="E8" s="302" t="s">
        <v>698</v>
      </c>
      <c r="F8" s="303">
        <f ca="1">INDIRECT("'数据-取费表'!ai"&amp;$G$1)</f>
        <v>365</v>
      </c>
      <c r="G8" s="1384"/>
      <c r="H8" s="304"/>
      <c r="I8" s="3728"/>
      <c r="J8" s="306"/>
      <c r="K8" s="307"/>
      <c r="L8" s="302" t="s">
        <v>698</v>
      </c>
      <c r="M8" s="303">
        <f ca="1">INDIRECT("'数据-取费表'!ai"&amp;$G$1)</f>
        <v>365</v>
      </c>
    </row>
    <row r="9" spans="1:37" ht="18" customHeight="1">
      <c r="A9" s="304"/>
      <c r="B9" s="3729"/>
      <c r="C9" s="306"/>
      <c r="D9" s="307"/>
      <c r="E9" s="302" t="s">
        <v>699</v>
      </c>
      <c r="F9" s="312">
        <f ca="1">INDIRECT("'数据-取费表'!w"&amp;$G$1)</f>
        <v>0.1</v>
      </c>
      <c r="G9" s="1384"/>
      <c r="H9" s="304"/>
      <c r="I9" s="3729"/>
      <c r="J9" s="306"/>
      <c r="K9" s="307"/>
      <c r="L9" s="313" t="s">
        <v>699</v>
      </c>
      <c r="M9" s="314">
        <f ca="1">INDIRECT("'数据-取费表'!ab"&amp;$G$1)</f>
        <v>0</v>
      </c>
    </row>
    <row r="10" spans="1:37" ht="18" customHeight="1">
      <c r="A10" s="1069" t="s">
        <v>402</v>
      </c>
      <c r="B10" s="1365" t="s">
        <v>700</v>
      </c>
      <c r="C10" s="316">
        <f ca="1">ROUND(IF(F10="押一",C6/12*F11,IF(F10="押二",C6/12*2*F11,IF(F10="押三",C6/12*3*F11,C11*F11))),0)</f>
        <v>1830</v>
      </c>
      <c r="D10" s="1366" t="s">
        <v>2115</v>
      </c>
      <c r="E10" s="313" t="s">
        <v>701</v>
      </c>
      <c r="F10" s="1116" t="s">
        <v>3402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5385799</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5152320</v>
      </c>
      <c r="D14" s="1345" t="s">
        <v>708</v>
      </c>
      <c r="E14" s="1342"/>
      <c r="F14" s="319"/>
      <c r="G14" s="1384"/>
      <c r="H14" s="982" t="s">
        <v>398</v>
      </c>
      <c r="I14" s="302" t="s">
        <v>709</v>
      </c>
      <c r="J14" s="21">
        <f ca="1">C29</f>
        <v>7377807</v>
      </c>
      <c r="K14" s="12"/>
      <c r="L14" s="807"/>
      <c r="M14" s="808"/>
    </row>
    <row r="15" spans="1:37" s="1397" customFormat="1" ht="18" customHeight="1" thickBot="1">
      <c r="A15" s="982" t="s">
        <v>399</v>
      </c>
      <c r="B15" s="302" t="s">
        <v>710</v>
      </c>
      <c r="C15" s="21">
        <f ca="1">ROUND(C14*F15,0)</f>
        <v>154570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73778</v>
      </c>
      <c r="K16" s="1087" t="s">
        <v>715</v>
      </c>
      <c r="L16" s="1088"/>
      <c r="M16" s="1072"/>
    </row>
    <row r="17" spans="1:37" s="1397" customFormat="1" ht="18" customHeight="1">
      <c r="A17" s="982" t="s">
        <v>681</v>
      </c>
      <c r="B17" s="302" t="s">
        <v>716</v>
      </c>
      <c r="C17" s="21">
        <f ca="1">ROUND(F17*(F43+INDIRECT("'数据-取费表'!S"&amp;$G$1)),0)</f>
        <v>257616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77285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5641791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112836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73778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198535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-73778</v>
      </c>
      <c r="K25" s="1095" t="s">
        <v>753</v>
      </c>
      <c r="L25" s="1096"/>
      <c r="M25" s="1097"/>
    </row>
    <row r="26" spans="1:37" ht="18" customHeight="1">
      <c r="A26" s="982" t="s">
        <v>397</v>
      </c>
      <c r="B26" s="302" t="s">
        <v>754</v>
      </c>
      <c r="C26" s="21">
        <f ca="1">ROUND((C19+C20)*F26,0)</f>
        <v>863194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7377807</v>
      </c>
      <c r="D29" s="1092"/>
      <c r="E29" s="1090"/>
      <c r="F29" s="1093"/>
      <c r="G29" s="1396"/>
      <c r="H29" s="334" t="s">
        <v>396</v>
      </c>
      <c r="I29" s="335" t="s">
        <v>768</v>
      </c>
      <c r="J29" s="336">
        <f ca="1">ROUND(J26/(1+F40)^F41,0)</f>
        <v>0</v>
      </c>
      <c r="K29" s="337" t="s">
        <v>769</v>
      </c>
      <c r="L29" s="338"/>
      <c r="M29" s="339">
        <f ca="1">INDIRECT("'数据-取费表'!k"&amp;$G$1)</f>
        <v>1288.08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337830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244007</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IF(项目基本情况!B11="自然人","——",ROUND(C6*F32/(1+'数据-取费表'!C42),0))</f>
        <v>76688</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167319</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73778</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5386</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14659</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1128045</v>
      </c>
      <c r="D39" s="1095" t="s">
        <v>773</v>
      </c>
      <c r="E39" s="1096"/>
      <c r="F39" s="1097"/>
      <c r="G39" s="1384"/>
      <c r="H39" s="2699"/>
      <c r="I39" s="1398"/>
      <c r="J39" s="1399"/>
      <c r="K39" s="2703"/>
      <c r="L39" s="2699"/>
      <c r="M39" s="2699"/>
    </row>
    <row r="40" spans="1:18" ht="18" customHeight="1">
      <c r="A40" s="299" t="s">
        <v>395</v>
      </c>
      <c r="B40" s="300" t="s">
        <v>774</v>
      </c>
      <c r="C40" s="301">
        <f ca="1">ROUND(C39*(1-((1+F42)/(1+F40))^F41)/(F40-F42),0)</f>
        <v>16726723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20.399999999999999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12986</v>
      </c>
      <c r="D43" s="337" t="s">
        <v>777</v>
      </c>
      <c r="E43" s="338" t="s">
        <v>778</v>
      </c>
      <c r="F43" s="339">
        <f ca="1">INDIRECT("'数据-取费表'!k"&amp;$G$1)</f>
        <v>1288.08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-1768.3216</v>
      </c>
      <c r="D45" s="3431" t="s">
        <v>3354</v>
      </c>
      <c r="E45" s="1400"/>
      <c r="F45" s="1400"/>
      <c r="O45" s="1403" t="s">
        <v>808</v>
      </c>
      <c r="P45" s="1461"/>
      <c r="Q45" s="1461"/>
      <c r="R45" s="1461"/>
    </row>
    <row r="46" spans="1:18" s="1384" customFormat="1" ht="13.5" thickBot="1">
      <c r="A46" s="1404" t="s">
        <v>809</v>
      </c>
      <c r="C46" s="1405">
        <f ca="1">ROUND(C45,0)</f>
        <v>-1768</v>
      </c>
      <c r="D46" s="1406" t="str">
        <f>C2</f>
        <v>万元</v>
      </c>
      <c r="I46" s="1407" t="s">
        <v>810</v>
      </c>
      <c r="J46" s="1408"/>
      <c r="K46" s="1409"/>
      <c r="L46" s="1410">
        <f ca="1">IF(M47="住宅",0,IF(L48&gt;J51,L60,J60))</f>
        <v>674924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16726723</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20.399999999999999</v>
      </c>
      <c r="O48" s="1418" t="s">
        <v>404</v>
      </c>
      <c r="P48" s="1419" t="s">
        <v>821</v>
      </c>
      <c r="Q48" s="1420">
        <f ca="1">J60</f>
        <v>674924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70">
        <v>2007</v>
      </c>
      <c r="K49" s="1423" t="s">
        <v>824</v>
      </c>
      <c r="L49" s="1427"/>
      <c r="O49" s="1428" t="s">
        <v>405</v>
      </c>
      <c r="P49" s="1419" t="s">
        <v>825</v>
      </c>
      <c r="Q49" s="1420">
        <f ca="1">C29</f>
        <v>7377807</v>
      </c>
      <c r="R49" s="1420" t="s">
        <v>818</v>
      </c>
    </row>
    <row r="50" spans="1:18" s="1384" customFormat="1" ht="13.5" thickBot="1">
      <c r="A50" s="976"/>
      <c r="B50" s="979"/>
      <c r="C50" s="980"/>
      <c r="D50" s="953"/>
      <c r="E50" s="1056" t="s">
        <v>697</v>
      </c>
      <c r="F50" s="1057">
        <f ca="1">F7</f>
        <v>1288.08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13265433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20.399999999999999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20.399999999999999</v>
      </c>
      <c r="K53" s="3725" t="s">
        <v>837</v>
      </c>
      <c r="L53" s="3726"/>
      <c r="O53" s="1418" t="s">
        <v>409</v>
      </c>
      <c r="P53" s="1419" t="s">
        <v>838</v>
      </c>
      <c r="Q53" s="1420">
        <f ca="1">Q47+Q48</f>
        <v>17401647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0.39300000000000002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5385799</v>
      </c>
      <c r="D56" s="1447"/>
      <c r="E56" s="1448"/>
      <c r="F56" s="1440"/>
      <c r="I56" s="1449" t="s">
        <v>842</v>
      </c>
      <c r="J56" s="1450" t="s">
        <v>3405</v>
      </c>
      <c r="K56" s="1421" t="s">
        <v>843</v>
      </c>
      <c r="L56" s="1424" t="str">
        <f ca="1">IF(L48&lt;J51,"——",L48-J51)</f>
        <v>——</v>
      </c>
      <c r="O56" s="1418" t="s">
        <v>403</v>
      </c>
      <c r="P56" s="1419" t="s">
        <v>817</v>
      </c>
      <c r="Q56" s="1420">
        <f ca="1">C40+J29</f>
        <v>16726723</v>
      </c>
      <c r="R56" s="1420" t="s">
        <v>818</v>
      </c>
    </row>
    <row r="57" spans="1:18" s="1384" customFormat="1" ht="24.75" thickBot="1">
      <c r="A57" s="1451"/>
      <c r="B57" s="950" t="s">
        <v>767</v>
      </c>
      <c r="C57" s="238">
        <f ca="1">C29</f>
        <v>7377807</v>
      </c>
      <c r="D57" s="1452"/>
      <c r="E57" s="1453"/>
      <c r="F57" s="1454"/>
      <c r="I57" s="1455" t="s">
        <v>844</v>
      </c>
      <c r="J57" s="1456">
        <f ca="1">IF(OR(M47="住宅",J51&lt;L48,J56="是"),"——",J51-L48)</f>
        <v>23.6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79164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2951123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674924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16726723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73778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5386</v>
      </c>
      <c r="D65" s="964" t="s">
        <v>743</v>
      </c>
      <c r="E65" s="950" t="s">
        <v>744</v>
      </c>
      <c r="F65" s="330">
        <f t="shared" ca="1" si="0"/>
        <v>1E-3</v>
      </c>
      <c r="I65" s="1462" t="s">
        <v>867</v>
      </c>
      <c r="J65" s="1463">
        <v>40</v>
      </c>
      <c r="K65" s="1463">
        <v>30</v>
      </c>
      <c r="L65" s="1463">
        <v>50</v>
      </c>
      <c r="M65" s="1465">
        <v>0.02</v>
      </c>
      <c r="O65" s="1418" t="s">
        <v>403</v>
      </c>
      <c r="P65" s="1419" t="s">
        <v>868</v>
      </c>
      <c r="Q65" s="1420">
        <f ca="1">C40+J29</f>
        <v>16726723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-79164</v>
      </c>
      <c r="D67" s="963" t="s">
        <v>753</v>
      </c>
      <c r="E67" s="968"/>
      <c r="F67" s="969"/>
      <c r="O67" s="1428" t="s">
        <v>405</v>
      </c>
      <c r="P67" s="1419" t="s">
        <v>850</v>
      </c>
      <c r="Q67" s="1466">
        <f ca="1">L51</f>
        <v>13265433</v>
      </c>
      <c r="R67" s="1420" t="s">
        <v>870</v>
      </c>
    </row>
    <row r="68" spans="1:18" s="1384" customFormat="1" ht="16.5" thickBot="1">
      <c r="A68" s="947" t="s">
        <v>395</v>
      </c>
      <c r="B68" s="948" t="s">
        <v>774</v>
      </c>
      <c r="C68" s="301">
        <f ca="1">ROUND(C67*(1-((1+F70)/(1+F68))^F69)/(F68-F70),0)</f>
        <v>-956493</v>
      </c>
      <c r="D68" s="965" t="s">
        <v>758</v>
      </c>
      <c r="E68" s="950" t="s">
        <v>759</v>
      </c>
      <c r="F68" s="312">
        <f ca="1">F40</f>
        <v>5.5E-2</v>
      </c>
      <c r="O68" s="1428" t="s">
        <v>406</v>
      </c>
      <c r="P68" s="1467" t="s">
        <v>871</v>
      </c>
      <c r="Q68" s="1420">
        <f ca="1">ROUND(Q69-Q70*Q71,0)</f>
        <v>751039</v>
      </c>
      <c r="R68" s="1420" t="s">
        <v>414</v>
      </c>
    </row>
    <row r="69" spans="1:18" s="1384" customFormat="1" ht="13.5" thickBot="1">
      <c r="A69" s="951"/>
      <c r="B69" s="952"/>
      <c r="C69" s="306"/>
      <c r="D69" s="970" t="s">
        <v>762</v>
      </c>
      <c r="E69" s="950" t="s">
        <v>763</v>
      </c>
      <c r="F69" s="333">
        <f ca="1">F41</f>
        <v>20.399999999999999</v>
      </c>
      <c r="O69" s="1428" t="s">
        <v>411</v>
      </c>
      <c r="P69" s="1467" t="s">
        <v>872</v>
      </c>
      <c r="Q69" s="1420">
        <f ca="1">C39</f>
        <v>1128045</v>
      </c>
      <c r="R69" s="1420" t="s">
        <v>818</v>
      </c>
    </row>
    <row r="70" spans="1:18" s="1384" customFormat="1" ht="13.5" thickBot="1">
      <c r="A70" s="954"/>
      <c r="B70" s="955"/>
      <c r="C70" s="310"/>
      <c r="D70" s="966"/>
      <c r="E70" s="950" t="s">
        <v>766</v>
      </c>
      <c r="F70" s="1054"/>
      <c r="O70" s="1428" t="s">
        <v>412</v>
      </c>
      <c r="P70" s="1467" t="s">
        <v>873</v>
      </c>
      <c r="Q70" s="1420">
        <f ca="1">C13</f>
        <v>5385799</v>
      </c>
      <c r="R70" s="1420" t="s">
        <v>818</v>
      </c>
    </row>
    <row r="71" spans="1:18" s="1384" customFormat="1" ht="13.5" thickBot="1">
      <c r="A71" s="971" t="s">
        <v>396</v>
      </c>
      <c r="B71" s="972" t="s">
        <v>776</v>
      </c>
      <c r="C71" s="336">
        <f ca="1">ROUND(C68/F71,0)</f>
        <v>-743</v>
      </c>
      <c r="D71" s="973" t="s">
        <v>777</v>
      </c>
      <c r="E71" s="974" t="s">
        <v>778</v>
      </c>
      <c r="F71" s="339">
        <f ca="1">F43</f>
        <v>1288.08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377006</v>
      </c>
      <c r="D75" s="1384"/>
      <c r="E75" s="1384"/>
      <c r="F75" s="1384"/>
      <c r="K75" s="1402"/>
      <c r="L75" s="1384"/>
      <c r="O75" s="1418" t="s">
        <v>409</v>
      </c>
      <c r="P75" s="1419" t="s">
        <v>838</v>
      </c>
      <c r="Q75" s="1420">
        <f ca="1">Q65+Q66</f>
        <v>16726723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0.66599999999999993</v>
      </c>
    </row>
    <row r="80" spans="1:18">
      <c r="B80" s="340" t="s">
        <v>800</v>
      </c>
      <c r="C80" s="274">
        <f ca="1">ROUND(C75/C39,3)</f>
        <v>0.33400000000000002</v>
      </c>
    </row>
    <row r="81" spans="2:3">
      <c r="B81" s="270" t="s">
        <v>801</v>
      </c>
      <c r="C81" s="238"/>
    </row>
    <row r="82" spans="2:3">
      <c r="B82" s="273" t="s">
        <v>802</v>
      </c>
      <c r="C82" s="275">
        <f ca="1">1-C83</f>
        <v>0.67799999999999994</v>
      </c>
    </row>
    <row r="83" spans="2:3">
      <c r="B83" s="273" t="s">
        <v>803</v>
      </c>
      <c r="C83" s="274">
        <f ca="1">ROUND(C13/C40,3)</f>
        <v>0.32200000000000001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9" t="s">
        <v>2084</v>
      </c>
      <c r="D1" s="3780"/>
      <c r="E1" s="3780"/>
      <c r="F1" s="3780"/>
      <c r="G1" s="3780"/>
      <c r="H1" s="3780"/>
      <c r="I1" s="3780"/>
      <c r="J1" s="3780"/>
      <c r="K1" s="3780"/>
      <c r="L1" s="3780"/>
      <c r="M1" s="3780"/>
      <c r="N1" s="3780"/>
      <c r="O1" s="3780"/>
      <c r="P1" s="3780"/>
      <c r="Q1" s="3780"/>
      <c r="R1" s="3780"/>
      <c r="S1" s="3781"/>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2092</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16241</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1288.08</v>
      </c>
      <c r="C22" s="3776" t="s">
        <v>27</v>
      </c>
      <c r="D22" s="3777"/>
      <c r="E22" s="3777"/>
      <c r="F22" s="3777"/>
      <c r="G22" s="3777"/>
      <c r="H22" s="3777"/>
      <c r="I22" s="3777"/>
      <c r="J22" s="3777"/>
      <c r="K22" s="3777"/>
      <c r="L22" s="3777"/>
      <c r="M22" s="3777"/>
      <c r="N22" s="3777"/>
      <c r="O22" s="3777"/>
      <c r="P22" s="3777"/>
      <c r="Q22" s="3778"/>
      <c r="R22" s="663">
        <f ca="1">ROUND(S22*10000/B22,0)</f>
        <v>16241</v>
      </c>
      <c r="S22" s="21">
        <f ca="1">SUM(S24:S10000)</f>
        <v>2092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2-3层</v>
      </c>
      <c r="B24" s="665">
        <f>'数据-基础表'!I13</f>
        <v>1288.08</v>
      </c>
      <c r="C24" s="2809">
        <v>1</v>
      </c>
      <c r="D24" s="2810"/>
      <c r="E24" s="2809">
        <v>1</v>
      </c>
      <c r="F24" s="2810"/>
      <c r="G24" s="2809">
        <v>1</v>
      </c>
      <c r="H24" s="2810"/>
      <c r="I24" s="2809">
        <v>1</v>
      </c>
      <c r="J24" s="2810"/>
      <c r="K24" s="2809">
        <v>1</v>
      </c>
      <c r="L24" s="2810"/>
      <c r="M24" s="2809">
        <v>1</v>
      </c>
      <c r="N24" s="2810"/>
      <c r="O24" s="2809">
        <v>1</v>
      </c>
      <c r="P24" s="2810"/>
      <c r="Q24" s="2809">
        <v>1</v>
      </c>
      <c r="R24" s="668">
        <f ca="1">结果表!G20</f>
        <v>16238</v>
      </c>
      <c r="S24" s="666">
        <f t="shared" ref="S24:S54" ca="1" si="11">ROUND(R24*B24/10000,0)</f>
        <v>2092</v>
      </c>
      <c r="T24" s="730">
        <f ca="1">ROUND(R24*B24,0)</f>
        <v>20915843</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'数据-基础表'!C14</f>
        <v>0</v>
      </c>
      <c r="B25" s="54">
        <f>'数据-基础表'!I14</f>
        <v>0</v>
      </c>
      <c r="C25" s="21">
        <f>IF(B25="",1,(LOOKUP(B25,$3:$3,$4:$4)-LOOKUP($B$24,$3:$3,$4:$4)+100)/100)</f>
        <v>1.08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17537</v>
      </c>
      <c r="S25" s="316">
        <f t="shared" ca="1" si="11"/>
        <v>0</v>
      </c>
      <c r="T25" s="730">
        <f t="shared" ref="T25:T28" ca="1" si="12">ROUND(R25*B25,0)</f>
        <v>0</v>
      </c>
    </row>
    <row r="26" spans="1:45">
      <c r="A26" s="150">
        <f>'数据-基础表'!C15</f>
        <v>0</v>
      </c>
      <c r="B26" s="54">
        <f>'数据-基础表'!I15</f>
        <v>0</v>
      </c>
      <c r="C26" s="21">
        <f t="shared" ref="C26:C89" si="13">IF(B26="",1,(LOOKUP(B26,$3:$3,$4:$4)-LOOKUP($B$24,$3:$3,$4:$4)+100)/100)</f>
        <v>1.08</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17537</v>
      </c>
      <c r="S26" s="316">
        <f t="shared" ca="1" si="11"/>
        <v>0</v>
      </c>
      <c r="T26" s="730">
        <f t="shared" ca="1" si="12"/>
        <v>0</v>
      </c>
    </row>
    <row r="27" spans="1:45">
      <c r="A27" s="150">
        <f>'数据-基础表'!C16</f>
        <v>0</v>
      </c>
      <c r="B27" s="54">
        <f>'数据-基础表'!I16</f>
        <v>0</v>
      </c>
      <c r="C27" s="21">
        <f t="shared" si="13"/>
        <v>1.08</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17537</v>
      </c>
      <c r="S27" s="316">
        <f t="shared" ca="1" si="11"/>
        <v>0</v>
      </c>
      <c r="T27" s="730">
        <f t="shared" ca="1" si="12"/>
        <v>0</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17537</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20915843</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1475</v>
      </c>
      <c r="C2" s="2145" t="s">
        <v>2074</v>
      </c>
      <c r="D2" s="2145" t="s">
        <v>2075</v>
      </c>
      <c r="E2" s="2612">
        <f ca="1">SUMIF(E6:E13,"&lt;&gt;#ref!",E6:E13)</f>
        <v>1288.08</v>
      </c>
      <c r="F2" s="2792"/>
      <c r="G2" s="2792"/>
      <c r="H2" s="2792"/>
      <c r="I2" s="2792"/>
      <c r="J2" s="2792"/>
      <c r="K2" s="2792"/>
      <c r="L2" s="2792"/>
      <c r="M2" s="2792"/>
      <c r="N2" s="2792"/>
      <c r="O2" s="2792"/>
      <c r="P2" s="2792"/>
    </row>
    <row r="3" spans="1:16" ht="15.75">
      <c r="A3" s="2145" t="s">
        <v>2076</v>
      </c>
      <c r="B3" s="2602">
        <f ca="1">ROUND(B2*10000/E2,0)</f>
        <v>11451</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1475</v>
      </c>
      <c r="C6" s="2145" t="s">
        <v>2074</v>
      </c>
      <c r="D6" s="2792"/>
      <c r="E6" s="2612">
        <f ca="1">SUMIF(INDIRECT("'"&amp;A6&amp;"'"&amp;"!C:C"),"建筑面积",INDIRECT("'"&amp;A6&amp;"'"&amp;"!D:D"))</f>
        <v>1288.08</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1" t="s">
        <v>2610</v>
      </c>
      <c r="B20" s="3786" t="s">
        <v>2631</v>
      </c>
      <c r="C20" s="3102" t="s">
        <v>2442</v>
      </c>
      <c r="D20" s="3103"/>
      <c r="E20" s="3104">
        <v>1</v>
      </c>
      <c r="F20" s="3105" t="s">
        <v>2443</v>
      </c>
      <c r="G20" s="3105"/>
    </row>
    <row r="21" spans="1:13" ht="19.5" customHeight="1">
      <c r="A21" s="3792"/>
      <c r="B21" s="3785"/>
      <c r="C21" s="3106" t="s">
        <v>2444</v>
      </c>
      <c r="D21" s="3107"/>
      <c r="E21" s="3108">
        <v>1</v>
      </c>
      <c r="F21" s="3105" t="s">
        <v>2445</v>
      </c>
      <c r="G21" s="3105"/>
    </row>
    <row r="22" spans="1:13" ht="19.5" customHeight="1">
      <c r="A22" s="3792"/>
      <c r="B22" s="3785"/>
      <c r="C22" s="3106" t="s">
        <v>2446</v>
      </c>
      <c r="D22" s="3107"/>
      <c r="E22" s="3108">
        <v>0.9</v>
      </c>
      <c r="F22" s="3105" t="s">
        <v>2447</v>
      </c>
      <c r="G22" s="3105"/>
    </row>
    <row r="23" spans="1:13" ht="19.5" customHeight="1">
      <c r="A23" s="3792"/>
      <c r="B23" s="3785"/>
      <c r="C23" s="3106" t="s">
        <v>2448</v>
      </c>
      <c r="D23" s="3107"/>
      <c r="E23" s="3108">
        <v>0.9</v>
      </c>
      <c r="F23" s="3105" t="s">
        <v>2449</v>
      </c>
      <c r="G23" s="3105"/>
    </row>
    <row r="24" spans="1:13" ht="19.5" customHeight="1">
      <c r="A24" s="3792"/>
      <c r="B24" s="3785"/>
      <c r="C24" s="3106" t="s">
        <v>2450</v>
      </c>
      <c r="D24" s="3107"/>
      <c r="E24" s="3108">
        <v>0.8</v>
      </c>
      <c r="F24" s="3105" t="s">
        <v>2451</v>
      </c>
      <c r="G24" s="3105"/>
    </row>
    <row r="25" spans="1:13" ht="19.5" customHeight="1" thickBot="1">
      <c r="A25" s="3793"/>
      <c r="B25" s="378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8" t="s">
        <v>2634</v>
      </c>
      <c r="B27" s="3786" t="s">
        <v>2615</v>
      </c>
      <c r="C27" s="3102" t="s">
        <v>2455</v>
      </c>
      <c r="D27" s="3103"/>
      <c r="E27" s="3104">
        <v>1</v>
      </c>
      <c r="F27" s="3105" t="s">
        <v>2456</v>
      </c>
      <c r="G27" s="3105"/>
    </row>
    <row r="28" spans="1:13" ht="19.5" customHeight="1">
      <c r="A28" s="3789"/>
      <c r="B28" s="3785"/>
      <c r="C28" s="3106" t="s">
        <v>2457</v>
      </c>
      <c r="D28" s="3107"/>
      <c r="E28" s="3108">
        <v>1</v>
      </c>
      <c r="F28" s="3105" t="s">
        <v>2458</v>
      </c>
      <c r="G28" s="3105"/>
    </row>
    <row r="29" spans="1:13" ht="19.5" customHeight="1">
      <c r="A29" s="3789"/>
      <c r="B29" s="3785"/>
      <c r="C29" s="3106" t="s">
        <v>2459</v>
      </c>
      <c r="D29" s="3107"/>
      <c r="E29" s="3108">
        <v>0.8</v>
      </c>
      <c r="F29" s="3105" t="s">
        <v>2460</v>
      </c>
      <c r="G29" s="3105"/>
    </row>
    <row r="30" spans="1:13" ht="19.5" customHeight="1">
      <c r="A30" s="3789"/>
      <c r="B30" s="3785"/>
      <c r="C30" s="3106" t="s">
        <v>2461</v>
      </c>
      <c r="D30" s="3107"/>
      <c r="E30" s="3108">
        <v>0.8</v>
      </c>
      <c r="F30" s="3105" t="s">
        <v>2462</v>
      </c>
      <c r="G30" s="3105"/>
    </row>
    <row r="31" spans="1:13" ht="19.5" customHeight="1">
      <c r="A31" s="3789"/>
      <c r="B31" s="3785"/>
      <c r="C31" s="3106" t="s">
        <v>2463</v>
      </c>
      <c r="D31" s="3107"/>
      <c r="E31" s="3108">
        <v>0.8</v>
      </c>
      <c r="F31" s="3105" t="s">
        <v>2464</v>
      </c>
      <c r="G31" s="3105"/>
    </row>
    <row r="32" spans="1:13" ht="19.5" customHeight="1">
      <c r="A32" s="3789"/>
      <c r="B32" s="3785"/>
      <c r="C32" s="3106" t="s">
        <v>2465</v>
      </c>
      <c r="D32" s="3107"/>
      <c r="E32" s="3108">
        <v>0.7</v>
      </c>
      <c r="F32" s="3105" t="s">
        <v>2466</v>
      </c>
      <c r="G32" s="3105"/>
    </row>
    <row r="33" spans="1:7" ht="19.5" customHeight="1">
      <c r="A33" s="3789"/>
      <c r="B33" s="3785"/>
      <c r="C33" s="3106" t="s">
        <v>2467</v>
      </c>
      <c r="D33" s="3107"/>
      <c r="E33" s="3108">
        <v>0.8</v>
      </c>
      <c r="F33" s="3105" t="s">
        <v>2468</v>
      </c>
      <c r="G33" s="3105"/>
    </row>
    <row r="34" spans="1:7" ht="19.5" customHeight="1">
      <c r="A34" s="3789"/>
      <c r="B34" s="3785"/>
      <c r="C34" s="3106" t="s">
        <v>2469</v>
      </c>
      <c r="D34" s="3107"/>
      <c r="E34" s="3108">
        <v>0.6</v>
      </c>
      <c r="F34" s="3105" t="s">
        <v>2470</v>
      </c>
      <c r="G34" s="3105"/>
    </row>
    <row r="35" spans="1:7" ht="19.5" customHeight="1">
      <c r="A35" s="3789"/>
      <c r="B35" s="3785"/>
      <c r="C35" s="3106" t="s">
        <v>2471</v>
      </c>
      <c r="D35" s="3107"/>
      <c r="E35" s="3108">
        <v>0.2</v>
      </c>
      <c r="F35" s="3105" t="s">
        <v>2472</v>
      </c>
      <c r="G35" s="3105"/>
    </row>
    <row r="36" spans="1:7" ht="19.5" customHeight="1">
      <c r="A36" s="3789"/>
      <c r="B36" s="3785"/>
      <c r="C36" s="3106" t="s">
        <v>2473</v>
      </c>
      <c r="D36" s="3107"/>
      <c r="E36" s="3108">
        <v>0.2</v>
      </c>
      <c r="F36" s="3105" t="s">
        <v>2474</v>
      </c>
      <c r="G36" s="3105"/>
    </row>
    <row r="37" spans="1:7" ht="19.5" customHeight="1">
      <c r="A37" s="3789"/>
      <c r="B37" s="3783" t="s">
        <v>2635</v>
      </c>
      <c r="C37" s="3106" t="s">
        <v>2475</v>
      </c>
      <c r="D37" s="3107"/>
      <c r="E37" s="3108">
        <v>0.6</v>
      </c>
      <c r="F37" s="3105" t="s">
        <v>2476</v>
      </c>
      <c r="G37" s="3105"/>
    </row>
    <row r="38" spans="1:7" ht="19.5" customHeight="1">
      <c r="A38" s="3789"/>
      <c r="B38" s="3785"/>
      <c r="C38" s="3106" t="s">
        <v>2477</v>
      </c>
      <c r="D38" s="3107"/>
      <c r="E38" s="3108">
        <v>0.6</v>
      </c>
      <c r="F38" s="3105" t="s">
        <v>2478</v>
      </c>
      <c r="G38" s="3105"/>
    </row>
    <row r="39" spans="1:7" ht="19.5" customHeight="1" thickBot="1">
      <c r="A39" s="3790"/>
      <c r="B39" s="378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1" t="s">
        <v>2613</v>
      </c>
      <c r="B41" s="3786" t="s">
        <v>2637</v>
      </c>
      <c r="C41" s="3102" t="s">
        <v>2482</v>
      </c>
      <c r="D41" s="3103"/>
      <c r="E41" s="3104">
        <v>1</v>
      </c>
      <c r="F41" s="3105" t="s">
        <v>2483</v>
      </c>
      <c r="G41" s="3105"/>
    </row>
    <row r="42" spans="1:7" ht="19.5" customHeight="1">
      <c r="A42" s="3792"/>
      <c r="B42" s="3785"/>
      <c r="C42" s="3106" t="s">
        <v>2484</v>
      </c>
      <c r="D42" s="3107"/>
      <c r="E42" s="3108">
        <v>1</v>
      </c>
      <c r="F42" s="3105" t="s">
        <v>2485</v>
      </c>
      <c r="G42" s="3105"/>
    </row>
    <row r="43" spans="1:7" ht="19.5" customHeight="1">
      <c r="A43" s="3792"/>
      <c r="B43" s="3784"/>
      <c r="C43" s="3106" t="s">
        <v>2486</v>
      </c>
      <c r="D43" s="3107"/>
      <c r="E43" s="3108">
        <v>1.5</v>
      </c>
      <c r="F43" s="3105" t="s">
        <v>2487</v>
      </c>
      <c r="G43" s="3105"/>
    </row>
    <row r="44" spans="1:7" ht="19.5" customHeight="1">
      <c r="A44" s="3792"/>
      <c r="B44" s="3117" t="s">
        <v>2638</v>
      </c>
      <c r="C44" s="3106" t="s">
        <v>2639</v>
      </c>
      <c r="D44" s="3107"/>
      <c r="E44" s="3108">
        <v>2</v>
      </c>
      <c r="F44" s="3105" t="s">
        <v>2488</v>
      </c>
      <c r="G44" s="3105"/>
    </row>
    <row r="45" spans="1:7" ht="19.5" customHeight="1">
      <c r="A45" s="3792"/>
      <c r="B45" s="3783" t="s">
        <v>2640</v>
      </c>
      <c r="C45" s="3106" t="s">
        <v>2489</v>
      </c>
      <c r="D45" s="3107"/>
      <c r="E45" s="3108">
        <v>1</v>
      </c>
      <c r="F45" s="3105" t="s">
        <v>2490</v>
      </c>
      <c r="G45" s="3105"/>
    </row>
    <row r="46" spans="1:7" ht="19.5" customHeight="1">
      <c r="A46" s="3792"/>
      <c r="B46" s="3785"/>
      <c r="C46" s="3106" t="s">
        <v>2491</v>
      </c>
      <c r="D46" s="3107"/>
      <c r="E46" s="3108">
        <v>1</v>
      </c>
      <c r="F46" s="3105" t="s">
        <v>2492</v>
      </c>
      <c r="G46" s="3105"/>
    </row>
    <row r="47" spans="1:7" ht="19.5" customHeight="1">
      <c r="A47" s="3792"/>
      <c r="B47" s="3785"/>
      <c r="C47" s="3106" t="s">
        <v>2493</v>
      </c>
      <c r="D47" s="3107"/>
      <c r="E47" s="3108">
        <v>1</v>
      </c>
      <c r="F47" s="3105" t="s">
        <v>2494</v>
      </c>
      <c r="G47" s="3105"/>
    </row>
    <row r="48" spans="1:7" ht="19.5" customHeight="1">
      <c r="A48" s="3792"/>
      <c r="B48" s="3785"/>
      <c r="C48" s="3106" t="s">
        <v>2495</v>
      </c>
      <c r="D48" s="3107"/>
      <c r="E48" s="3108">
        <v>1</v>
      </c>
      <c r="F48" s="3105" t="s">
        <v>2496</v>
      </c>
      <c r="G48" s="3105"/>
    </row>
    <row r="49" spans="1:7" ht="19.5" customHeight="1">
      <c r="A49" s="3792"/>
      <c r="B49" s="3785"/>
      <c r="C49" s="3106" t="s">
        <v>2497</v>
      </c>
      <c r="D49" s="3107"/>
      <c r="E49" s="3108">
        <v>1</v>
      </c>
      <c r="F49" s="3105" t="s">
        <v>2498</v>
      </c>
      <c r="G49" s="3105"/>
    </row>
    <row r="50" spans="1:7" ht="19.5" customHeight="1">
      <c r="A50" s="3792"/>
      <c r="B50" s="3785"/>
      <c r="C50" s="3106" t="s">
        <v>2499</v>
      </c>
      <c r="D50" s="3107"/>
      <c r="E50" s="3108">
        <v>1</v>
      </c>
      <c r="F50" s="3105" t="s">
        <v>2500</v>
      </c>
      <c r="G50" s="3105"/>
    </row>
    <row r="51" spans="1:7" ht="19.5" customHeight="1" thickBot="1">
      <c r="A51" s="3793"/>
      <c r="B51" s="378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3" t="s">
        <v>2654</v>
      </c>
      <c r="C73" s="3091" t="s">
        <v>2655</v>
      </c>
      <c r="D73" s="3091" t="s">
        <v>2656</v>
      </c>
      <c r="E73" s="3117">
        <v>0.2</v>
      </c>
      <c r="F73" s="3117">
        <v>25</v>
      </c>
    </row>
    <row r="74" spans="1:7" ht="24">
      <c r="A74" s="3117">
        <v>2</v>
      </c>
      <c r="B74" s="3785"/>
      <c r="C74" s="3091" t="s">
        <v>2657</v>
      </c>
      <c r="D74" s="3091" t="s">
        <v>2658</v>
      </c>
      <c r="E74" s="3117">
        <v>0.2</v>
      </c>
      <c r="F74" s="3117">
        <v>25</v>
      </c>
    </row>
    <row r="75" spans="1:7" ht="24">
      <c r="A75" s="3117">
        <v>3</v>
      </c>
      <c r="B75" s="3785"/>
      <c r="C75" s="3091" t="s">
        <v>2659</v>
      </c>
      <c r="D75" s="3091" t="s">
        <v>2660</v>
      </c>
      <c r="E75" s="3117">
        <v>0.2</v>
      </c>
      <c r="F75" s="3117">
        <v>25</v>
      </c>
    </row>
    <row r="76" spans="1:7" ht="13.5">
      <c r="A76" s="3117">
        <v>4</v>
      </c>
      <c r="B76" s="3785"/>
      <c r="C76" s="3091" t="s">
        <v>2661</v>
      </c>
      <c r="D76" s="3091" t="s">
        <v>2662</v>
      </c>
      <c r="E76" s="3117">
        <v>0.15</v>
      </c>
      <c r="F76" s="3117">
        <v>20</v>
      </c>
    </row>
    <row r="77" spans="1:7" ht="24">
      <c r="A77" s="3117">
        <v>5</v>
      </c>
      <c r="B77" s="3785"/>
      <c r="C77" s="3091" t="s">
        <v>2663</v>
      </c>
      <c r="D77" s="3091" t="s">
        <v>2664</v>
      </c>
      <c r="E77" s="3117">
        <v>0.15</v>
      </c>
      <c r="F77" s="3117">
        <v>20</v>
      </c>
    </row>
    <row r="78" spans="1:7" ht="24">
      <c r="A78" s="3117">
        <v>6</v>
      </c>
      <c r="B78" s="3785"/>
      <c r="C78" s="3091" t="s">
        <v>2665</v>
      </c>
      <c r="D78" s="3091" t="s">
        <v>2666</v>
      </c>
      <c r="E78" s="3117">
        <v>0.15</v>
      </c>
      <c r="F78" s="3117">
        <v>20</v>
      </c>
    </row>
    <row r="79" spans="1:7" ht="24">
      <c r="A79" s="3117">
        <v>7</v>
      </c>
      <c r="B79" s="3785"/>
      <c r="C79" s="3091" t="s">
        <v>2667</v>
      </c>
      <c r="D79" s="3091" t="s">
        <v>2668</v>
      </c>
      <c r="E79" s="3117">
        <v>0.15</v>
      </c>
      <c r="F79" s="3117">
        <v>20</v>
      </c>
    </row>
    <row r="80" spans="1:7" ht="24">
      <c r="A80" s="3117">
        <v>8</v>
      </c>
      <c r="B80" s="3785"/>
      <c r="C80" s="3091" t="s">
        <v>2669</v>
      </c>
      <c r="D80" s="3091" t="s">
        <v>2670</v>
      </c>
      <c r="E80" s="3117">
        <v>0.1</v>
      </c>
      <c r="F80" s="3117">
        <v>15</v>
      </c>
    </row>
    <row r="81" spans="1:6" ht="24">
      <c r="A81" s="3117">
        <v>9</v>
      </c>
      <c r="B81" s="3785"/>
      <c r="C81" s="3091" t="s">
        <v>2671</v>
      </c>
      <c r="D81" s="3091" t="s">
        <v>2672</v>
      </c>
      <c r="E81" s="3117">
        <v>0.1</v>
      </c>
      <c r="F81" s="3117">
        <v>15</v>
      </c>
    </row>
    <row r="82" spans="1:6" ht="24">
      <c r="A82" s="3117">
        <v>10</v>
      </c>
      <c r="B82" s="3785"/>
      <c r="C82" s="3091" t="s">
        <v>2673</v>
      </c>
      <c r="D82" s="3091" t="s">
        <v>2674</v>
      </c>
      <c r="E82" s="3117">
        <v>0.1</v>
      </c>
      <c r="F82" s="3117">
        <v>15</v>
      </c>
    </row>
    <row r="83" spans="1:6" ht="24">
      <c r="A83" s="3117">
        <v>11</v>
      </c>
      <c r="B83" s="3785"/>
      <c r="C83" s="3091" t="s">
        <v>2675</v>
      </c>
      <c r="D83" s="3091" t="s">
        <v>2676</v>
      </c>
      <c r="E83" s="3117">
        <v>0.1</v>
      </c>
      <c r="F83" s="3117">
        <v>15</v>
      </c>
    </row>
    <row r="84" spans="1:6" ht="24">
      <c r="A84" s="3117">
        <v>12</v>
      </c>
      <c r="B84" s="3785"/>
      <c r="C84" s="3091" t="s">
        <v>2677</v>
      </c>
      <c r="D84" s="3091" t="s">
        <v>2678</v>
      </c>
      <c r="E84" s="3117">
        <v>0.1</v>
      </c>
      <c r="F84" s="3117">
        <v>15</v>
      </c>
    </row>
    <row r="85" spans="1:6" ht="13.5">
      <c r="A85" s="3117">
        <v>13</v>
      </c>
      <c r="B85" s="3785"/>
      <c r="C85" s="3091" t="s">
        <v>2679</v>
      </c>
      <c r="D85" s="3091" t="s">
        <v>2680</v>
      </c>
      <c r="E85" s="3117">
        <v>0.1</v>
      </c>
      <c r="F85" s="3117">
        <v>15</v>
      </c>
    </row>
    <row r="86" spans="1:6" ht="13.5">
      <c r="A86" s="3117">
        <v>14</v>
      </c>
      <c r="B86" s="3785"/>
      <c r="C86" s="3091" t="s">
        <v>2681</v>
      </c>
      <c r="D86" s="3091" t="s">
        <v>2682</v>
      </c>
      <c r="E86" s="3117">
        <v>0.1</v>
      </c>
      <c r="F86" s="3117">
        <v>15</v>
      </c>
    </row>
    <row r="87" spans="1:6" ht="13.5">
      <c r="A87" s="3117">
        <v>15</v>
      </c>
      <c r="B87" s="3785"/>
      <c r="C87" s="3091" t="s">
        <v>2683</v>
      </c>
      <c r="D87" s="3091" t="s">
        <v>2684</v>
      </c>
      <c r="E87" s="3117">
        <v>0.1</v>
      </c>
      <c r="F87" s="3117">
        <v>15</v>
      </c>
    </row>
    <row r="88" spans="1:6" ht="24">
      <c r="A88" s="3117">
        <v>16</v>
      </c>
      <c r="B88" s="3785"/>
      <c r="C88" s="3091" t="s">
        <v>2685</v>
      </c>
      <c r="D88" s="3091" t="s">
        <v>2686</v>
      </c>
      <c r="E88" s="3117">
        <v>0.1</v>
      </c>
      <c r="F88" s="3117">
        <v>15</v>
      </c>
    </row>
    <row r="89" spans="1:6" ht="24">
      <c r="A89" s="3117">
        <v>17</v>
      </c>
      <c r="B89" s="3784"/>
      <c r="C89" s="3091" t="s">
        <v>2687</v>
      </c>
      <c r="D89" s="3091" t="s">
        <v>2688</v>
      </c>
      <c r="E89" s="3117">
        <v>0.1</v>
      </c>
      <c r="F89" s="3117">
        <v>15</v>
      </c>
    </row>
    <row r="90" spans="1:6" ht="13.5">
      <c r="A90" s="3117">
        <v>18</v>
      </c>
      <c r="B90" s="3783" t="s">
        <v>2689</v>
      </c>
      <c r="C90" s="3091" t="s">
        <v>2690</v>
      </c>
      <c r="D90" s="3091" t="s">
        <v>2691</v>
      </c>
      <c r="E90" s="3117">
        <v>0.2</v>
      </c>
      <c r="F90" s="3117">
        <v>25</v>
      </c>
    </row>
    <row r="91" spans="1:6" ht="24">
      <c r="A91" s="3117">
        <v>19</v>
      </c>
      <c r="B91" s="3785"/>
      <c r="C91" s="3091" t="s">
        <v>2692</v>
      </c>
      <c r="D91" s="3091" t="s">
        <v>2693</v>
      </c>
      <c r="E91" s="3117">
        <v>0.2</v>
      </c>
      <c r="F91" s="3117">
        <v>25</v>
      </c>
    </row>
    <row r="92" spans="1:6" ht="13.5">
      <c r="A92" s="3117">
        <v>20</v>
      </c>
      <c r="B92" s="3785"/>
      <c r="C92" s="3091" t="s">
        <v>2694</v>
      </c>
      <c r="D92" s="3091" t="s">
        <v>2695</v>
      </c>
      <c r="E92" s="3117">
        <v>0.15</v>
      </c>
      <c r="F92" s="3117">
        <v>20</v>
      </c>
    </row>
    <row r="93" spans="1:6" ht="13.5">
      <c r="A93" s="3117">
        <v>21</v>
      </c>
      <c r="B93" s="3785"/>
      <c r="C93" s="3091" t="s">
        <v>2696</v>
      </c>
      <c r="D93" s="3091" t="s">
        <v>2697</v>
      </c>
      <c r="E93" s="3117">
        <v>0.15</v>
      </c>
      <c r="F93" s="3117">
        <v>20</v>
      </c>
    </row>
    <row r="94" spans="1:6" ht="13.5">
      <c r="A94" s="3117">
        <v>22</v>
      </c>
      <c r="B94" s="3785"/>
      <c r="C94" s="3091" t="s">
        <v>2698</v>
      </c>
      <c r="D94" s="3091" t="s">
        <v>2699</v>
      </c>
      <c r="E94" s="3117">
        <v>0.15</v>
      </c>
      <c r="F94" s="3117">
        <v>20</v>
      </c>
    </row>
    <row r="95" spans="1:6" ht="36">
      <c r="A95" s="3117">
        <v>23</v>
      </c>
      <c r="B95" s="3785"/>
      <c r="C95" s="3091" t="s">
        <v>2700</v>
      </c>
      <c r="D95" s="3091" t="s">
        <v>2701</v>
      </c>
      <c r="E95" s="3117">
        <v>0.15</v>
      </c>
      <c r="F95" s="3117">
        <v>20</v>
      </c>
    </row>
    <row r="96" spans="1:6" ht="13.5">
      <c r="A96" s="3117">
        <v>24</v>
      </c>
      <c r="B96" s="3785"/>
      <c r="C96" s="3091" t="s">
        <v>2702</v>
      </c>
      <c r="D96" s="3091" t="s">
        <v>2703</v>
      </c>
      <c r="E96" s="3117">
        <v>0.1</v>
      </c>
      <c r="F96" s="3117">
        <v>15</v>
      </c>
    </row>
    <row r="97" spans="1:6" ht="13.5">
      <c r="A97" s="3117">
        <v>25</v>
      </c>
      <c r="B97" s="3785"/>
      <c r="C97" s="3091" t="s">
        <v>2704</v>
      </c>
      <c r="D97" s="3091" t="s">
        <v>2705</v>
      </c>
      <c r="E97" s="3117">
        <v>0.1</v>
      </c>
      <c r="F97" s="3117">
        <v>15</v>
      </c>
    </row>
    <row r="98" spans="1:6" ht="24">
      <c r="A98" s="3117">
        <v>26</v>
      </c>
      <c r="B98" s="3785"/>
      <c r="C98" s="3091" t="s">
        <v>2706</v>
      </c>
      <c r="D98" s="3091" t="s">
        <v>2707</v>
      </c>
      <c r="E98" s="3117">
        <v>0.1</v>
      </c>
      <c r="F98" s="3117">
        <v>15</v>
      </c>
    </row>
    <row r="99" spans="1:6" ht="24">
      <c r="A99" s="3117">
        <v>27</v>
      </c>
      <c r="B99" s="3785"/>
      <c r="C99" s="3091" t="s">
        <v>2708</v>
      </c>
      <c r="D99" s="3091" t="s">
        <v>2709</v>
      </c>
      <c r="E99" s="3117">
        <v>0.1</v>
      </c>
      <c r="F99" s="3117">
        <v>15</v>
      </c>
    </row>
    <row r="100" spans="1:6" ht="13.5">
      <c r="A100" s="3117">
        <v>28</v>
      </c>
      <c r="B100" s="3785"/>
      <c r="C100" s="3091" t="s">
        <v>2710</v>
      </c>
      <c r="D100" s="3091" t="s">
        <v>2711</v>
      </c>
      <c r="E100" s="3117">
        <v>0.1</v>
      </c>
      <c r="F100" s="3117">
        <v>15</v>
      </c>
    </row>
    <row r="101" spans="1:6" ht="13.5">
      <c r="A101" s="3117">
        <v>29</v>
      </c>
      <c r="B101" s="3785"/>
      <c r="C101" s="3091" t="s">
        <v>2712</v>
      </c>
      <c r="D101" s="3091" t="s">
        <v>2713</v>
      </c>
      <c r="E101" s="3117">
        <v>0.1</v>
      </c>
      <c r="F101" s="3117">
        <v>15</v>
      </c>
    </row>
    <row r="102" spans="1:6" ht="13.5">
      <c r="A102" s="3117">
        <v>30</v>
      </c>
      <c r="B102" s="3785"/>
      <c r="C102" s="3091" t="s">
        <v>2714</v>
      </c>
      <c r="D102" s="3091" t="s">
        <v>2715</v>
      </c>
      <c r="E102" s="3117">
        <v>0.1</v>
      </c>
      <c r="F102" s="3117">
        <v>15</v>
      </c>
    </row>
    <row r="103" spans="1:6" ht="24">
      <c r="A103" s="3117">
        <v>31</v>
      </c>
      <c r="B103" s="3785"/>
      <c r="C103" s="3091" t="s">
        <v>2716</v>
      </c>
      <c r="D103" s="3091" t="s">
        <v>2717</v>
      </c>
      <c r="E103" s="3117">
        <v>0.1</v>
      </c>
      <c r="F103" s="3117">
        <v>15</v>
      </c>
    </row>
    <row r="104" spans="1:6" ht="24">
      <c r="A104" s="3117">
        <v>32</v>
      </c>
      <c r="B104" s="3785"/>
      <c r="C104" s="3091" t="s">
        <v>2718</v>
      </c>
      <c r="D104" s="3091" t="s">
        <v>2719</v>
      </c>
      <c r="E104" s="3117">
        <v>0.1</v>
      </c>
      <c r="F104" s="3117">
        <v>15</v>
      </c>
    </row>
    <row r="105" spans="1:6" ht="24">
      <c r="A105" s="3117">
        <v>33</v>
      </c>
      <c r="B105" s="3785"/>
      <c r="C105" s="3091" t="s">
        <v>2720</v>
      </c>
      <c r="D105" s="3091" t="s">
        <v>2721</v>
      </c>
      <c r="E105" s="3117">
        <v>0.1</v>
      </c>
      <c r="F105" s="3117">
        <v>15</v>
      </c>
    </row>
    <row r="106" spans="1:6" ht="24">
      <c r="A106" s="3117">
        <v>34</v>
      </c>
      <c r="B106" s="3784"/>
      <c r="C106" s="3091" t="s">
        <v>2722</v>
      </c>
      <c r="D106" s="3091" t="s">
        <v>2723</v>
      </c>
      <c r="E106" s="3117">
        <v>0.1</v>
      </c>
      <c r="F106" s="3117">
        <v>15</v>
      </c>
    </row>
    <row r="107" spans="1:6" ht="24">
      <c r="A107" s="3117">
        <v>35</v>
      </c>
      <c r="B107" s="3783" t="s">
        <v>2724</v>
      </c>
      <c r="C107" s="3117" t="s">
        <v>2725</v>
      </c>
      <c r="D107" s="3091" t="s">
        <v>2726</v>
      </c>
      <c r="E107" s="3117">
        <v>0.15</v>
      </c>
      <c r="F107" s="3117">
        <v>20</v>
      </c>
    </row>
    <row r="108" spans="1:6" ht="13.5">
      <c r="A108" s="3117">
        <v>36</v>
      </c>
      <c r="B108" s="3785"/>
      <c r="C108" s="3117" t="s">
        <v>2727</v>
      </c>
      <c r="D108" s="3091" t="s">
        <v>2728</v>
      </c>
      <c r="E108" s="3117">
        <v>0.15</v>
      </c>
      <c r="F108" s="3117">
        <v>20</v>
      </c>
    </row>
    <row r="109" spans="1:6" ht="13.5">
      <c r="A109" s="3117">
        <v>37</v>
      </c>
      <c r="B109" s="3785"/>
      <c r="C109" s="3117" t="s">
        <v>2729</v>
      </c>
      <c r="D109" s="3091" t="s">
        <v>2730</v>
      </c>
      <c r="E109" s="3117">
        <v>0.15</v>
      </c>
      <c r="F109" s="3117">
        <v>20</v>
      </c>
    </row>
    <row r="110" spans="1:6" ht="13.5">
      <c r="A110" s="3117">
        <v>38</v>
      </c>
      <c r="B110" s="3785"/>
      <c r="C110" s="3117" t="s">
        <v>2731</v>
      </c>
      <c r="D110" s="3091" t="s">
        <v>2732</v>
      </c>
      <c r="E110" s="3117">
        <v>0.1</v>
      </c>
      <c r="F110" s="3117">
        <v>15</v>
      </c>
    </row>
    <row r="111" spans="1:6" ht="24">
      <c r="A111" s="3117">
        <v>39</v>
      </c>
      <c r="B111" s="3785"/>
      <c r="C111" s="3117" t="s">
        <v>2733</v>
      </c>
      <c r="D111" s="3091" t="s">
        <v>2734</v>
      </c>
      <c r="E111" s="3117">
        <v>0.1</v>
      </c>
      <c r="F111" s="3117">
        <v>15</v>
      </c>
    </row>
    <row r="112" spans="1:6" ht="24">
      <c r="A112" s="3117">
        <v>40</v>
      </c>
      <c r="B112" s="3784"/>
      <c r="C112" s="3117" t="s">
        <v>2735</v>
      </c>
      <c r="D112" s="3091" t="s">
        <v>2736</v>
      </c>
      <c r="E112" s="3117">
        <v>0.1</v>
      </c>
      <c r="F112" s="3117">
        <v>15</v>
      </c>
    </row>
    <row r="113" spans="1:6" ht="13.5">
      <c r="A113" s="3117">
        <v>41</v>
      </c>
      <c r="B113" s="3782" t="s">
        <v>2737</v>
      </c>
      <c r="C113" s="3117" t="s">
        <v>2738</v>
      </c>
      <c r="D113" s="3091" t="s">
        <v>2739</v>
      </c>
      <c r="E113" s="3117">
        <v>0.1</v>
      </c>
      <c r="F113" s="3117">
        <v>15</v>
      </c>
    </row>
    <row r="114" spans="1:6" ht="13.5">
      <c r="A114" s="3117">
        <v>42</v>
      </c>
      <c r="B114" s="3782"/>
      <c r="C114" s="3117" t="s">
        <v>2740</v>
      </c>
      <c r="D114" s="3091" t="s">
        <v>2741</v>
      </c>
      <c r="E114" s="3117">
        <v>0.1</v>
      </c>
      <c r="F114" s="3117">
        <v>15</v>
      </c>
    </row>
    <row r="115" spans="1:6" ht="24">
      <c r="A115" s="3117">
        <v>43</v>
      </c>
      <c r="B115" s="3782"/>
      <c r="C115" s="3117" t="s">
        <v>2742</v>
      </c>
      <c r="D115" s="3091" t="s">
        <v>2743</v>
      </c>
      <c r="E115" s="3117">
        <v>0.1</v>
      </c>
      <c r="F115" s="3117">
        <v>15</v>
      </c>
    </row>
    <row r="116" spans="1:6" ht="13.5">
      <c r="A116" s="3117">
        <v>44</v>
      </c>
      <c r="B116" s="3783" t="s">
        <v>2744</v>
      </c>
      <c r="C116" s="3117" t="s">
        <v>2745</v>
      </c>
      <c r="D116" s="3091" t="s">
        <v>2746</v>
      </c>
      <c r="E116" s="3117">
        <v>0.1</v>
      </c>
      <c r="F116" s="3117">
        <v>15</v>
      </c>
    </row>
    <row r="117" spans="1:6" ht="24">
      <c r="A117" s="3117">
        <v>45</v>
      </c>
      <c r="B117" s="3784"/>
      <c r="C117" s="3091" t="s">
        <v>2747</v>
      </c>
      <c r="D117" s="3091" t="s">
        <v>2748</v>
      </c>
      <c r="E117" s="3117">
        <v>0.1</v>
      </c>
      <c r="F117" s="3117">
        <v>15</v>
      </c>
    </row>
    <row r="118" spans="1:6" ht="24">
      <c r="A118" s="3117">
        <v>46</v>
      </c>
      <c r="B118" s="3783" t="s">
        <v>2749</v>
      </c>
      <c r="C118" s="3117" t="s">
        <v>2750</v>
      </c>
      <c r="D118" s="3091" t="s">
        <v>2751</v>
      </c>
      <c r="E118" s="3117">
        <v>0.1</v>
      </c>
      <c r="F118" s="3117">
        <v>15</v>
      </c>
    </row>
    <row r="119" spans="1:6" ht="24">
      <c r="A119" s="3117">
        <v>47</v>
      </c>
      <c r="B119" s="3784"/>
      <c r="C119" s="3117" t="s">
        <v>2752</v>
      </c>
      <c r="D119" s="3091" t="s">
        <v>2753</v>
      </c>
      <c r="E119" s="3117">
        <v>0.1</v>
      </c>
      <c r="F119" s="3117">
        <v>15</v>
      </c>
    </row>
    <row r="120" spans="1:6" ht="13.5">
      <c r="A120" s="3117">
        <v>48</v>
      </c>
      <c r="B120" s="3783" t="s">
        <v>2754</v>
      </c>
      <c r="C120" s="3117" t="s">
        <v>2755</v>
      </c>
      <c r="D120" s="3091" t="s">
        <v>2756</v>
      </c>
      <c r="E120" s="3117">
        <v>0.1</v>
      </c>
      <c r="F120" s="3117">
        <v>15</v>
      </c>
    </row>
    <row r="121" spans="1:6" ht="13.5">
      <c r="A121" s="3117">
        <v>49</v>
      </c>
      <c r="B121" s="3784"/>
      <c r="C121" s="3117" t="s">
        <v>2757</v>
      </c>
      <c r="D121" s="3091" t="s">
        <v>2758</v>
      </c>
      <c r="E121" s="3117">
        <v>0.1</v>
      </c>
      <c r="F121" s="3117">
        <v>15</v>
      </c>
    </row>
    <row r="122" spans="1:6" ht="24">
      <c r="A122" s="3117">
        <v>50</v>
      </c>
      <c r="B122" s="3782" t="s">
        <v>2759</v>
      </c>
      <c r="C122" s="3117" t="s">
        <v>2760</v>
      </c>
      <c r="D122" s="3091" t="s">
        <v>2761</v>
      </c>
      <c r="E122" s="3117">
        <v>0.1</v>
      </c>
      <c r="F122" s="3117">
        <v>15</v>
      </c>
    </row>
    <row r="123" spans="1:6" ht="24">
      <c r="A123" s="3117">
        <v>51</v>
      </c>
      <c r="B123" s="3782"/>
      <c r="C123" s="3117" t="s">
        <v>2762</v>
      </c>
      <c r="D123" s="3091" t="s">
        <v>2763</v>
      </c>
      <c r="E123" s="3117">
        <v>0.1</v>
      </c>
      <c r="F123" s="3117">
        <v>15</v>
      </c>
    </row>
    <row r="124" spans="1:6" ht="24">
      <c r="A124" s="3117">
        <v>52</v>
      </c>
      <c r="B124" s="3782" t="s">
        <v>2764</v>
      </c>
      <c r="C124" s="3117" t="s">
        <v>2765</v>
      </c>
      <c r="D124" s="3091" t="s">
        <v>2766</v>
      </c>
      <c r="E124" s="3117">
        <v>0.1</v>
      </c>
      <c r="F124" s="3117">
        <v>15</v>
      </c>
    </row>
    <row r="125" spans="1:6" ht="24">
      <c r="A125" s="3117">
        <v>53</v>
      </c>
      <c r="B125" s="378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2" t="s">
        <v>2772</v>
      </c>
      <c r="C127" s="3117" t="s">
        <v>2773</v>
      </c>
      <c r="D127" s="3091" t="s">
        <v>2774</v>
      </c>
      <c r="E127" s="3117">
        <v>0.1</v>
      </c>
      <c r="F127" s="3117">
        <v>15</v>
      </c>
    </row>
    <row r="128" spans="1:6" ht="13.5">
      <c r="A128" s="3117">
        <v>56</v>
      </c>
      <c r="B128" s="3782"/>
      <c r="C128" s="3117" t="s">
        <v>2775</v>
      </c>
      <c r="D128" s="3091" t="s">
        <v>2776</v>
      </c>
      <c r="E128" s="3117">
        <v>0.1</v>
      </c>
      <c r="F128" s="3117">
        <v>15</v>
      </c>
    </row>
    <row r="129" spans="1:6" ht="24">
      <c r="A129" s="3117">
        <v>57</v>
      </c>
      <c r="B129" s="3782"/>
      <c r="C129" s="3117" t="s">
        <v>2777</v>
      </c>
      <c r="D129" s="3091" t="s">
        <v>2778</v>
      </c>
      <c r="E129" s="3117">
        <v>0.1</v>
      </c>
      <c r="F129" s="3117">
        <v>15</v>
      </c>
    </row>
    <row r="130" spans="1:6" ht="24">
      <c r="A130" s="3117">
        <v>58</v>
      </c>
      <c r="B130" s="3782" t="s">
        <v>2779</v>
      </c>
      <c r="C130" s="3117" t="s">
        <v>2780</v>
      </c>
      <c r="D130" s="3091" t="s">
        <v>2781</v>
      </c>
      <c r="E130" s="3117">
        <v>0.1</v>
      </c>
      <c r="F130" s="3117">
        <v>15</v>
      </c>
    </row>
    <row r="131" spans="1:6" ht="13.5">
      <c r="A131" s="3117">
        <v>59</v>
      </c>
      <c r="B131" s="3782"/>
      <c r="C131" s="3117" t="s">
        <v>2782</v>
      </c>
      <c r="D131" s="3091" t="s">
        <v>2783</v>
      </c>
      <c r="E131" s="3117">
        <v>0.1</v>
      </c>
      <c r="F131" s="3117">
        <v>15</v>
      </c>
    </row>
    <row r="132" spans="1:6" ht="13.5">
      <c r="A132" s="3117">
        <v>60</v>
      </c>
      <c r="B132" s="3783" t="s">
        <v>2784</v>
      </c>
      <c r="C132" s="3117" t="s">
        <v>2785</v>
      </c>
      <c r="D132" s="3091" t="s">
        <v>2786</v>
      </c>
      <c r="E132" s="3117">
        <v>0.1</v>
      </c>
      <c r="F132" s="3117">
        <v>15</v>
      </c>
    </row>
    <row r="133" spans="1:6" ht="13.5">
      <c r="A133" s="3117">
        <v>61</v>
      </c>
      <c r="B133" s="378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2" t="s">
        <v>2792</v>
      </c>
      <c r="C135" s="3117" t="s">
        <v>2793</v>
      </c>
      <c r="D135" s="3091" t="s">
        <v>2794</v>
      </c>
      <c r="E135" s="3117">
        <v>0.1</v>
      </c>
      <c r="F135" s="3117">
        <v>15</v>
      </c>
    </row>
    <row r="136" spans="1:6" ht="13.5">
      <c r="A136" s="3117">
        <v>64</v>
      </c>
      <c r="B136" s="378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2092</v>
      </c>
      <c r="E5" s="1491"/>
    </row>
    <row r="6" spans="1:5" ht="15.75">
      <c r="A6" s="1491"/>
      <c r="B6" s="3475"/>
      <c r="C6" s="1494" t="s">
        <v>911</v>
      </c>
      <c r="D6" s="850" t="str">
        <f ca="1">NUMBERSTRING(INT(D5*10000),2)&amp;"元整"</f>
        <v>贰仟零玖拾贰万元整</v>
      </c>
      <c r="E6" s="1491"/>
    </row>
    <row r="7" spans="1:5" ht="15.75">
      <c r="A7" s="1491"/>
      <c r="B7" s="3480"/>
      <c r="C7" s="1495" t="s">
        <v>912</v>
      </c>
      <c r="D7" s="851">
        <f ca="1">结果表!H102</f>
        <v>16238</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2092</v>
      </c>
      <c r="E13" s="1491"/>
    </row>
    <row r="14" spans="1:5" ht="15.75">
      <c r="A14" s="1491"/>
      <c r="B14" s="3475"/>
      <c r="C14" s="1494" t="s">
        <v>911</v>
      </c>
      <c r="D14" s="850" t="str">
        <f ca="1">NUMBERSTRING(INT(D13*10000),2)&amp;"元整"</f>
        <v>贰仟零玖拾贰万元整</v>
      </c>
      <c r="E14" s="1491"/>
    </row>
    <row r="15" spans="1:5" ht="15">
      <c r="A15" s="1491"/>
      <c r="B15" s="3480"/>
      <c r="C15" s="1495" t="s">
        <v>921</v>
      </c>
      <c r="D15" s="859">
        <f ca="1">结果表!H108</f>
        <v>16238</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0.95120000000000005</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28320</v>
      </c>
      <c r="C2" s="2" t="s">
        <v>106</v>
      </c>
      <c r="D2" s="199"/>
      <c r="E2" s="199"/>
      <c r="F2" s="199"/>
      <c r="G2" s="199"/>
    </row>
    <row r="3" spans="1:7" s="200" customFormat="1" ht="18" customHeight="1" thickBot="1">
      <c r="A3" s="203" t="s">
        <v>58</v>
      </c>
      <c r="B3" s="204">
        <f ca="1">ROUND(B2*10000/'数据-汇总表'!E3,0)</f>
        <v>219862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v>
      </c>
      <c r="D10" s="845">
        <f>'数据-汇总表'!E6</f>
        <v>1288.08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v>
      </c>
      <c r="D19" s="849">
        <f>'数据-汇总表'!E3</f>
        <v>1288.08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515</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v>
      </c>
      <c r="D37" s="217">
        <f>'数据-汇总表'!E3</f>
        <v>1288.08</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86</v>
      </c>
      <c r="D45" s="235">
        <f>C47</f>
        <v>3.0000000000000001E-3</v>
      </c>
      <c r="E45" s="236" t="s">
        <v>102</v>
      </c>
      <c r="F45" s="246"/>
      <c r="G45" s="247" t="s">
        <v>434</v>
      </c>
    </row>
    <row r="46" spans="1:7" s="214" customFormat="1" ht="13.5" customHeight="1">
      <c r="A46" s="780" t="s">
        <v>349</v>
      </c>
      <c r="B46" s="248" t="s">
        <v>427</v>
      </c>
      <c r="C46" s="249">
        <f>ROUND((C33+C39)*F27,0)</f>
        <v>86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736</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537</v>
      </c>
      <c r="D51" s="232"/>
      <c r="E51" s="232"/>
      <c r="F51" s="264"/>
      <c r="G51" s="234" t="s">
        <v>37</v>
      </c>
    </row>
    <row r="52" spans="1:7" s="208" customFormat="1" ht="16.5" thickBot="1">
      <c r="A52" s="265" t="s">
        <v>38</v>
      </c>
      <c r="B52" s="266"/>
      <c r="C52" s="267">
        <f ca="1">C31+C51</f>
        <v>28320</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6" t="s">
        <v>2842</v>
      </c>
      <c r="B1" s="3796"/>
      <c r="C1" s="3796"/>
      <c r="D1" s="3796"/>
      <c r="E1" s="3796"/>
      <c r="F1" s="3796"/>
      <c r="G1" s="3797"/>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4"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5"/>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3184</v>
      </c>
      <c r="B1" s="3798"/>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3235</v>
      </c>
      <c r="B1" s="3799"/>
      <c r="C1" s="3799"/>
      <c r="D1" s="3799"/>
      <c r="E1" s="3799"/>
      <c r="F1" s="3800"/>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45279</v>
      </c>
      <c r="B1" s="3209" t="s">
        <v>3373</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3377</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3378</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3379</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3371</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801" t="s">
        <v>2830</v>
      </c>
      <c r="S23" s="3802"/>
      <c r="T23" s="3802"/>
      <c r="U23" s="3802"/>
      <c r="V23" s="3802"/>
      <c r="W23" s="3802"/>
      <c r="X23" s="3164"/>
      <c r="Y23" s="3801" t="s">
        <v>2831</v>
      </c>
      <c r="Z23" s="3802"/>
      <c r="AA23" s="3802"/>
      <c r="AB23" s="3802"/>
      <c r="AC23" s="3802"/>
      <c r="AD23" s="3802"/>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3377</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3378</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3379</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3375</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2" t="s">
        <v>3447</v>
      </c>
    </row>
    <row r="2" spans="1:9">
      <c r="A2">
        <v>1</v>
      </c>
      <c r="B2" s="3462" t="s">
        <v>3448</v>
      </c>
      <c r="C2">
        <v>62</v>
      </c>
      <c r="D2" s="3461">
        <v>44713</v>
      </c>
      <c r="E2" s="3461">
        <v>45808</v>
      </c>
      <c r="F2">
        <v>95000</v>
      </c>
      <c r="G2">
        <v>100000</v>
      </c>
      <c r="H2" s="3462" t="s">
        <v>3449</v>
      </c>
      <c r="I2" s="3463">
        <f>F2/C2/365</f>
        <v>4.1979673000441888</v>
      </c>
    </row>
    <row r="3" spans="1:9">
      <c r="B3" s="3462" t="s">
        <v>3448</v>
      </c>
      <c r="C3">
        <v>62</v>
      </c>
      <c r="D3" s="3461">
        <v>44713</v>
      </c>
      <c r="E3" s="3461">
        <v>45808</v>
      </c>
      <c r="F3">
        <v>95000</v>
      </c>
      <c r="G3">
        <v>100000</v>
      </c>
      <c r="H3" s="3462" t="s">
        <v>3449</v>
      </c>
      <c r="I3" s="3463">
        <f t="shared" ref="I3:I9" si="0">F3/C3/365</f>
        <v>4.1979673000441888</v>
      </c>
    </row>
    <row r="4" spans="1:9">
      <c r="B4" s="3462" t="s">
        <v>3450</v>
      </c>
      <c r="C4">
        <v>62</v>
      </c>
      <c r="D4" s="3461">
        <v>44713</v>
      </c>
      <c r="E4" s="3461">
        <v>45808</v>
      </c>
      <c r="F4">
        <v>95000</v>
      </c>
      <c r="G4">
        <v>100000</v>
      </c>
      <c r="H4" s="3462" t="s">
        <v>3449</v>
      </c>
      <c r="I4" s="3463">
        <f t="shared" si="0"/>
        <v>4.1979673000441888</v>
      </c>
    </row>
    <row r="5" spans="1:9">
      <c r="B5" s="3462" t="s">
        <v>3450</v>
      </c>
      <c r="C5">
        <v>62</v>
      </c>
      <c r="D5" s="3461">
        <v>44713</v>
      </c>
      <c r="E5" s="3461">
        <v>45808</v>
      </c>
      <c r="F5">
        <v>95000</v>
      </c>
      <c r="G5">
        <v>100000</v>
      </c>
      <c r="H5" s="3462" t="s">
        <v>3449</v>
      </c>
      <c r="I5" s="3463">
        <f t="shared" si="0"/>
        <v>4.1979673000441888</v>
      </c>
    </row>
    <row r="6" spans="1:9">
      <c r="B6" s="3462" t="s">
        <v>3457</v>
      </c>
      <c r="C6">
        <v>62</v>
      </c>
      <c r="D6" s="3461">
        <v>44713</v>
      </c>
      <c r="E6" s="3461">
        <v>45808</v>
      </c>
      <c r="F6">
        <v>95000</v>
      </c>
      <c r="G6">
        <v>100000</v>
      </c>
      <c r="H6" s="3462" t="s">
        <v>3449</v>
      </c>
      <c r="I6" s="3463">
        <f t="shared" si="0"/>
        <v>4.1979673000441888</v>
      </c>
    </row>
    <row r="7" spans="1:9">
      <c r="B7" s="3462" t="s">
        <v>3457</v>
      </c>
      <c r="C7">
        <v>62</v>
      </c>
      <c r="D7" s="3461">
        <v>44713</v>
      </c>
      <c r="E7" s="3461">
        <v>45808</v>
      </c>
      <c r="F7">
        <v>95000</v>
      </c>
      <c r="G7">
        <v>100000</v>
      </c>
      <c r="H7" s="3462" t="s">
        <v>3449</v>
      </c>
      <c r="I7" s="3463">
        <f t="shared" si="0"/>
        <v>4.1979673000441888</v>
      </c>
    </row>
    <row r="8" spans="1:9">
      <c r="B8" s="3462" t="s">
        <v>3458</v>
      </c>
      <c r="C8">
        <v>82</v>
      </c>
      <c r="D8" s="3461">
        <v>44713</v>
      </c>
      <c r="E8" s="3461">
        <v>45808</v>
      </c>
      <c r="F8">
        <v>105000</v>
      </c>
      <c r="G8">
        <v>110000</v>
      </c>
      <c r="H8" s="3462" t="s">
        <v>3449</v>
      </c>
      <c r="I8" s="3463">
        <f t="shared" si="0"/>
        <v>3.5081857667891749</v>
      </c>
    </row>
    <row r="9" spans="1:9">
      <c r="B9" s="3462" t="s">
        <v>3458</v>
      </c>
      <c r="C9">
        <v>42</v>
      </c>
      <c r="D9" s="3461">
        <v>44713</v>
      </c>
      <c r="E9" s="3461">
        <v>45808</v>
      </c>
      <c r="F9">
        <v>75000</v>
      </c>
      <c r="G9">
        <v>80000</v>
      </c>
      <c r="H9" s="3462" t="s">
        <v>3449</v>
      </c>
      <c r="I9" s="3463">
        <f t="shared" si="0"/>
        <v>4.8923679060665366</v>
      </c>
    </row>
    <row r="10" spans="1:9">
      <c r="B10" s="3462" t="s">
        <v>3459</v>
      </c>
      <c r="C10">
        <v>42</v>
      </c>
      <c r="D10" s="3461">
        <v>44713</v>
      </c>
      <c r="E10" s="3461">
        <v>45808</v>
      </c>
      <c r="F10">
        <v>75000</v>
      </c>
      <c r="G10">
        <v>80000</v>
      </c>
      <c r="H10" s="3462" t="s">
        <v>3449</v>
      </c>
      <c r="I10" s="3463">
        <f t="shared" ref="I10:I12" si="1">F10/C10/365</f>
        <v>4.8923679060665366</v>
      </c>
    </row>
    <row r="11" spans="1:9">
      <c r="B11" s="3462" t="s">
        <v>3459</v>
      </c>
      <c r="C11">
        <v>82</v>
      </c>
      <c r="D11" s="3461">
        <v>44713</v>
      </c>
      <c r="E11" s="3461">
        <v>45808</v>
      </c>
      <c r="F11">
        <v>105000</v>
      </c>
      <c r="G11">
        <v>110000</v>
      </c>
      <c r="H11" s="3462" t="s">
        <v>3449</v>
      </c>
      <c r="I11" s="3463">
        <f t="shared" si="1"/>
        <v>3.5081857667891749</v>
      </c>
    </row>
    <row r="12" spans="1:9">
      <c r="C12">
        <f>SUM(C2:C11)</f>
        <v>620</v>
      </c>
      <c r="F12">
        <f>SUM(F2:F11)</f>
        <v>930000</v>
      </c>
      <c r="I12" s="3463">
        <f t="shared" si="1"/>
        <v>4.1095890410958908</v>
      </c>
    </row>
    <row r="17" spans="4:7" ht="14.25" thickBot="1"/>
    <row r="18" spans="4:7" ht="27" thickBot="1">
      <c r="D18" s="3465" t="s">
        <v>3460</v>
      </c>
      <c r="E18" s="3466" t="s">
        <v>3461</v>
      </c>
      <c r="F18" s="3466" t="s">
        <v>3462</v>
      </c>
      <c r="G18" s="3466" t="s">
        <v>3463</v>
      </c>
    </row>
    <row r="19" spans="4:7" ht="14.25" thickBot="1">
      <c r="D19" s="3467" t="str">
        <f>'数据-基础表'!C13</f>
        <v>2-3层</v>
      </c>
      <c r="E19" s="3468">
        <f>'数据-基础表'!I13</f>
        <v>1288.08</v>
      </c>
      <c r="F19" s="3468">
        <f ca="1">典型户型修正!R24</f>
        <v>16238</v>
      </c>
      <c r="G19" s="3468">
        <f ca="1">典型户型修正!T24</f>
        <v>20915843</v>
      </c>
    </row>
    <row r="20" spans="4:7" ht="14.25" thickBot="1">
      <c r="D20" s="3467">
        <f>'数据-基础表'!C14</f>
        <v>0</v>
      </c>
      <c r="E20" s="3468">
        <f>'数据-基础表'!I14</f>
        <v>0</v>
      </c>
      <c r="F20" s="3468">
        <f ca="1">典型户型修正!R25</f>
        <v>17537</v>
      </c>
      <c r="G20" s="3468">
        <f ca="1">典型户型修正!T25</f>
        <v>0</v>
      </c>
    </row>
    <row r="21" spans="4:7" ht="14.25" thickBot="1">
      <c r="D21" s="3467">
        <f>'数据-基础表'!C15</f>
        <v>0</v>
      </c>
      <c r="E21" s="3468">
        <f>'数据-基础表'!I15</f>
        <v>0</v>
      </c>
      <c r="F21" s="3468">
        <f ca="1">典型户型修正!R26</f>
        <v>17537</v>
      </c>
      <c r="G21" s="3468">
        <f ca="1">典型户型修正!T26</f>
        <v>0</v>
      </c>
    </row>
    <row r="22" spans="4:7" ht="14.25" thickBot="1">
      <c r="D22" s="3467">
        <f>'数据-基础表'!C16</f>
        <v>0</v>
      </c>
      <c r="E22" s="3468">
        <f>'数据-基础表'!I16</f>
        <v>0</v>
      </c>
      <c r="F22" s="3468">
        <f ca="1">典型户型修正!R27</f>
        <v>17537</v>
      </c>
      <c r="G22" s="3468">
        <f ca="1">典型户型修正!T27</f>
        <v>0</v>
      </c>
    </row>
    <row r="23" spans="4:7" ht="14.25" thickBot="1">
      <c r="D23" s="3467">
        <f>'数据-基础表'!C17</f>
        <v>0</v>
      </c>
      <c r="E23" s="3468">
        <f>'数据-基础表'!I17</f>
        <v>0</v>
      </c>
      <c r="F23" s="3468">
        <f ca="1">典型户型修正!R28</f>
        <v>17537</v>
      </c>
      <c r="G23" s="3468">
        <f ca="1">典型户型修正!T28</f>
        <v>0</v>
      </c>
    </row>
    <row r="24" spans="4:7" ht="14.25" thickBot="1">
      <c r="D24" s="3467"/>
      <c r="E24" s="3468"/>
      <c r="F24" s="3468"/>
      <c r="G24" s="3468"/>
    </row>
    <row r="25" spans="4:7" ht="14.25" thickBot="1">
      <c r="D25" s="3467"/>
      <c r="E25" s="3468"/>
      <c r="F25" s="3468"/>
      <c r="G25" s="3468"/>
    </row>
    <row r="26" spans="4:7" ht="14.25" thickBot="1">
      <c r="D26" s="3467"/>
      <c r="E26" s="3468"/>
      <c r="F26" s="3468"/>
      <c r="G26" s="3468"/>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4" t="s">
        <v>925</v>
      </c>
      <c r="E3" s="854" t="s">
        <v>931</v>
      </c>
      <c r="F3" s="854" t="s">
        <v>925</v>
      </c>
      <c r="G3" s="854" t="s">
        <v>926</v>
      </c>
      <c r="H3" s="854" t="s">
        <v>925</v>
      </c>
      <c r="I3" s="854" t="s">
        <v>926</v>
      </c>
    </row>
    <row r="4" spans="1:9" ht="45">
      <c r="A4" s="1505" t="str">
        <f>项目基本情况!S2</f>
        <v>北京市丰台区青塔西路58号院22号楼3层301-306/203-205房地产</v>
      </c>
      <c r="B4" s="854">
        <f>项目基本情况!C17</f>
        <v>1288.08</v>
      </c>
      <c r="C4" s="854">
        <f>项目基本情况!C18</f>
        <v>0</v>
      </c>
      <c r="D4" s="854">
        <f ca="1">结果表!D118</f>
        <v>1393</v>
      </c>
      <c r="E4" s="854">
        <f ca="1">结果表!E118</f>
        <v>10815</v>
      </c>
      <c r="F4" s="854">
        <f ca="1">结果表!F118</f>
        <v>699</v>
      </c>
      <c r="G4" s="854">
        <f ca="1">结果表!G118</f>
        <v>5423</v>
      </c>
      <c r="H4" s="854">
        <f ca="1">结果表!H118</f>
        <v>2092</v>
      </c>
      <c r="I4" s="854">
        <f ca="1">结果表!I118</f>
        <v>16238</v>
      </c>
    </row>
    <row r="5" spans="1:9" ht="30" customHeight="1">
      <c r="A5" s="3487" t="s">
        <v>927</v>
      </c>
      <c r="B5" s="3487"/>
      <c r="C5" s="3487"/>
      <c r="D5" s="3487" t="str">
        <f ca="1">结果表!D119</f>
        <v>壹仟叁佰玖拾叁万元整</v>
      </c>
      <c r="E5" s="3487"/>
      <c r="F5" s="3487" t="str">
        <f ca="1">结果表!F119</f>
        <v>陆佰玖拾玖万元整</v>
      </c>
      <c r="G5" s="3487"/>
      <c r="H5" s="3487" t="str">
        <f ca="1">结果表!H119</f>
        <v>贰仟零玖拾贰万元整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2092</v>
      </c>
      <c r="E8" s="3486"/>
      <c r="F8" s="3486"/>
      <c r="G8" s="3486"/>
      <c r="H8" s="3486"/>
      <c r="I8" s="3486"/>
    </row>
    <row r="9" spans="1:9" ht="15">
      <c r="A9" s="3487" t="s">
        <v>927</v>
      </c>
      <c r="B9" s="3487"/>
      <c r="C9" s="3487"/>
      <c r="D9" s="3487" t="str">
        <f ca="1">结果表!D123</f>
        <v>贰仟零玖拾贰万元整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43"/>
      <c r="E18" s="3512" t="s">
        <v>2161</v>
      </c>
      <c r="F18" s="3511"/>
      <c r="G18" s="351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2023-12-26T07:39:35Z</dcterms:modified>
</cp:coreProperties>
</file>