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19320" windowHeight="550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3" r:id="rId47"/>
    <sheet name="租金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 localSheetId="47">'[1]比较法-办公'!$B$119:$M$119</definedName>
    <definedName name="办公层高">'比较法-办公'!$B$119:$M$119</definedName>
    <definedName name="办公朝向" localSheetId="48">'[1]比较法-办公'!$B$91:$M$91</definedName>
    <definedName name="办公朝向" localSheetId="47">'[1]比较法-办公'!$B$91:$M$91</definedName>
    <definedName name="办公朝向">'比较法-办公'!$B$91:$M$91</definedName>
    <definedName name="办公道路级别" localSheetId="48">'[1]比较法-办公'!$B$87:$M$87</definedName>
    <definedName name="办公道路级别" localSheetId="47">'[1]比较法-办公'!$B$87:$M$87</definedName>
    <definedName name="办公道路级别">'比较法-办公'!$B$87:$M$87</definedName>
    <definedName name="办公公共部分装修" localSheetId="48">'[1]比较法-办公'!$B$108:$M$108</definedName>
    <definedName name="办公公共部分装修" localSheetId="47">'[1]比较法-办公'!$B$108:$M$108</definedName>
    <definedName name="办公公共部分装修">'比较法-办公'!$B$108:$M$108</definedName>
    <definedName name="办公基础设施水平" localSheetId="48">'[1]比较法-办公'!$B$117:$M$117</definedName>
    <definedName name="办公基础设施水平" localSheetId="47">'[1]比较法-办公'!$B$117:$M$117</definedName>
    <definedName name="办公基础设施水平">'比较法-办公'!$B$117:$M$117</definedName>
    <definedName name="办公集聚程度" localSheetId="48">[1]定义!$M$1:$M$6</definedName>
    <definedName name="办公集聚程度" localSheetId="47">[1]定义!$M$1:$M$6</definedName>
    <definedName name="办公集聚程度">定义!$M$1:$M$6</definedName>
    <definedName name="办公建筑结构" localSheetId="48">'[1]比较法-办公'!$B$106:$M$106</definedName>
    <definedName name="办公建筑结构" localSheetId="47">'[1]比较法-办公'!$B$106:$M$106</definedName>
    <definedName name="办公建筑结构">'比较法-办公'!$B$106:$M$106</definedName>
    <definedName name="办公建筑类型" localSheetId="48">'[1]比较法-办公'!$B$101:$M$101</definedName>
    <definedName name="办公建筑类型" localSheetId="47">'[1]比较法-办公'!$B$101:$M$101</definedName>
    <definedName name="办公建筑类型">'比较法-办公'!$B$101:$M$101</definedName>
    <definedName name="办公交易情况" localSheetId="48">'[1]比较法-办公'!$A$62:$M$62</definedName>
    <definedName name="办公交易情况" localSheetId="47">'[1]比较法-办公'!$A$62:$M$62</definedName>
    <definedName name="办公交易情况">'比较法-办公'!$A$62:$M$62</definedName>
    <definedName name="办公楼层" localSheetId="48">'[1]比较法-办公'!$B$89:$M$89</definedName>
    <definedName name="办公楼层" localSheetId="47">'[1]比较法-办公'!$B$89:$M$89</definedName>
    <definedName name="办公楼层">'比较法-办公'!$B$89:$M$89</definedName>
    <definedName name="办公内部装修" localSheetId="48">'[1]比较法-办公'!$B$123:$M$123</definedName>
    <definedName name="办公内部装修" localSheetId="47">'[1]比较法-办公'!$B$123:$M$123</definedName>
    <definedName name="办公内部装修">'比较法-办公'!$B$123:$M$123</definedName>
    <definedName name="办公物业管理" localSheetId="48">'[1]比较法-办公'!$B$115:$M$115</definedName>
    <definedName name="办公物业管理" localSheetId="47">'[1]比较法-办公'!$B$115:$M$115</definedName>
    <definedName name="办公物业管理">'比较法-办公'!$B$115:$M$115</definedName>
    <definedName name="办公用途" localSheetId="48">'[1]比较法-办公'!$B$64:$M$64</definedName>
    <definedName name="办公用途" localSheetId="47">'[1]比较法-办公'!$B$64:$M$64</definedName>
    <definedName name="办公用途">'比较法-办公'!$B$64:$M$64</definedName>
    <definedName name="仓储公共部分装修" localSheetId="48">'[1]比较法-仓储'!$B$77:$M$77</definedName>
    <definedName name="仓储公共部分装修" localSheetId="47">'[1]比较法-仓储'!$B$77:$M$77</definedName>
    <definedName name="仓储公共部分装修">'比较法-仓储'!$B$77:$M$77</definedName>
    <definedName name="仓储交易情况" localSheetId="48">'[1]比较法-仓储'!$A$49:$M$49</definedName>
    <definedName name="仓储交易情况" localSheetId="47">'[1]比较法-仓储'!$A$49:$M$49</definedName>
    <definedName name="仓储交易情况">'比较法-仓储'!$A$49:$M$49</definedName>
    <definedName name="仓储楼层" localSheetId="48">'[1]比较法-仓储'!$B$69:$M$69</definedName>
    <definedName name="仓储楼层" localSheetId="47">'[1]比较法-仓储'!$B$69:$M$69</definedName>
    <definedName name="仓储楼层">'比较法-仓储'!$B$69:$M$69</definedName>
    <definedName name="仓储物业等级" localSheetId="48">'[1]比较法-仓储'!$B$82:$M$82</definedName>
    <definedName name="仓储物业等级" localSheetId="47">'[1]比较法-仓储'!$B$82:$M$82</definedName>
    <definedName name="仓储物业等级">'比较法-仓储'!$B$82:$M$82</definedName>
    <definedName name="仓储用途" localSheetId="48">'[1]比较法-仓储'!$B$51:$M$51</definedName>
    <definedName name="仓储用途" localSheetId="47">'[1]比较法-仓储'!$B$51:$M$51</definedName>
    <definedName name="仓储用途">'比较法-仓储'!$B$51:$M$51</definedName>
    <definedName name="产业集聚程度" localSheetId="48">[1]定义!$N$1:$N$6</definedName>
    <definedName name="产业集聚程度" localSheetId="47">[1]定义!$N$1:$N$6</definedName>
    <definedName name="产业集聚程度">定义!$N$1:$N$6</definedName>
    <definedName name="车位公共部分装修" localSheetId="48">'[1]比较法-车位'!$B$83:$M$83</definedName>
    <definedName name="车位公共部分装修" localSheetId="47">'[1]比较法-车位'!$B$83:$M$83</definedName>
    <definedName name="车位公共部分装修">'比较法-车位'!$B$83:$M$83</definedName>
    <definedName name="车位交易情况" localSheetId="48">'[1]比较法-车位'!$A$51:$M$51</definedName>
    <definedName name="车位交易情况" localSheetId="47">'[1]比较法-车位'!$A$51:$M$51</definedName>
    <definedName name="车位交易情况">'比较法-车位'!$A$51:$M$51</definedName>
    <definedName name="车位类型" localSheetId="48">'[1]比较法-车位'!$B$93:$M$93</definedName>
    <definedName name="车位类型" localSheetId="47">'[1]比较法-车位'!$B$93:$M$93</definedName>
    <definedName name="车位类型">'比较法-车位'!$B$93:$M$93</definedName>
    <definedName name="车位楼层" localSheetId="48">'[1]比较法-车位'!$B$71:$M$71</definedName>
    <definedName name="车位楼层" localSheetId="47">'[1]比较法-车位'!$B$71:$M$71</definedName>
    <definedName name="车位楼层">'比较法-车位'!$B$71:$M$71</definedName>
    <definedName name="车位配套类型" localSheetId="48">'[1]比较法-车位'!$B$79:$M$79</definedName>
    <definedName name="车位配套类型" localSheetId="47">'[1]比较法-车位'!$B$79:$M$79</definedName>
    <definedName name="车位配套类型">'比较法-车位'!$B$79:$M$79</definedName>
    <definedName name="车位物业等级" localSheetId="48">'[1]比较法-车位'!$B$88:$M$88</definedName>
    <definedName name="车位物业等级" localSheetId="47">'[1]比较法-车位'!$B$88:$M$88</definedName>
    <definedName name="车位物业等级">'比较法-车位'!$B$88:$M$88</definedName>
    <definedName name="车位用途" localSheetId="48">'[1]比较法-车位'!$B$53:$M$53</definedName>
    <definedName name="车位用途" localSheetId="47">'[1]比较法-车位'!$B$53:$M$53</definedName>
    <definedName name="车位用途">'比较法-车位'!$B$53:$M$53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48">[1]定义!$V$1:$V$3</definedName>
    <definedName name="单价内涵" localSheetId="47">[1]定义!$V$1:$V$3</definedName>
    <definedName name="单价内涵">定义!$V$1:$V$3</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48">[1]修正!$C$19:$C$51</definedName>
    <definedName name="二级分类" localSheetId="47">[1]修正!$C$19:$C$51</definedName>
    <definedName name="二级分类">修正!$C$19:$C$51</definedName>
    <definedName name="法定最高年限" localSheetId="48">[1]定义!$G$1:$G$6</definedName>
    <definedName name="法定最高年限" localSheetId="47">[1]定义!$G$1:$G$6</definedName>
    <definedName name="法定最高年限">定义!$G$1:$G$6</definedName>
    <definedName name="工业公共部分装修" localSheetId="48">'[1]比较法-工业'!$B$95:$M$95</definedName>
    <definedName name="工业公共部分装修" localSheetId="47">'[1]比较法-工业'!$B$95:$M$95</definedName>
    <definedName name="工业公共部分装修">'比较法-工业'!$B$95:$M$95</definedName>
    <definedName name="工业基础设施水平" localSheetId="48">'[1]比较法-工业'!$B$102:$M$102</definedName>
    <definedName name="工业基础设施水平" localSheetId="47">'[1]比较法-工业'!$B$102:$M$102</definedName>
    <definedName name="工业基础设施水平">'比较法-工业'!$B$102:$M$102</definedName>
    <definedName name="工业建筑结构" localSheetId="48">'[1]比较法-工业'!$B$93:$M$93</definedName>
    <definedName name="工业建筑结构" localSheetId="47">'[1]比较法-工业'!$B$93:$M$93</definedName>
    <definedName name="工业建筑结构">'比较法-工业'!$B$93:$M$93</definedName>
    <definedName name="工业建筑类型" localSheetId="48">'[1]比较法-工业'!$B$88:$M$88</definedName>
    <definedName name="工业建筑类型" localSheetId="47">'[1]比较法-工业'!$B$88:$M$88</definedName>
    <definedName name="工业建筑类型">'比较法-工业'!$B$88:$M$88</definedName>
    <definedName name="工业交易情况" localSheetId="48">'[1]比较法-工业'!$A$55:$M$55</definedName>
    <definedName name="工业交易情况" localSheetId="47">'[1]比较法-工业'!$A$55:$M$55</definedName>
    <definedName name="工业交易情况">'比较法-工业'!$A$55:$M$55</definedName>
    <definedName name="工业内部装修" localSheetId="48">'[1]比较法-工业'!$B$104:$M$104</definedName>
    <definedName name="工业内部装修" localSheetId="47">'[1]比较法-工业'!$B$104:$M$104</definedName>
    <definedName name="工业内部装修">'比较法-工业'!$B$104:$M$104</definedName>
    <definedName name="工业物业管理" localSheetId="48">'[1]比较法-工业'!$B$100:$M$100</definedName>
    <definedName name="工业物业管理" localSheetId="47">'[1]比较法-工业'!$B$100:$M$100</definedName>
    <definedName name="工业物业管理">'比较法-工业'!$B$100:$M$100</definedName>
    <definedName name="工业用途" localSheetId="48">'[1]比较法-工业'!$B$57:$M$57</definedName>
    <definedName name="工业用途" localSheetId="47">'[1]比较法-工业'!$B$57:$M$57</definedName>
    <definedName name="工业用途">'比较法-工业'!$B$57:$M$57</definedName>
    <definedName name="公共配套设施" localSheetId="48">[1]定义!$Q$1:$Q$6</definedName>
    <definedName name="公共配套设施" localSheetId="47">[1]定义!$Q$1:$Q$6</definedName>
    <definedName name="公共配套设施">定义!$Q$1:$Q$6</definedName>
    <definedName name="估价范围判定" localSheetId="48">[1]定义!$D$1:$D$4</definedName>
    <definedName name="估价范围判定" localSheetId="47">[1]定义!$D$1:$D$4</definedName>
    <definedName name="估价范围判定">定义!$D$1:$D$4</definedName>
    <definedName name="估价方法" localSheetId="48">[1]定义!$B$1:$B$50</definedName>
    <definedName name="估价方法" localSheetId="47">[1]定义!$B$1:$B$50</definedName>
    <definedName name="估价方法">定义!$B$1:$B$50</definedName>
    <definedName name="环境" localSheetId="48">[1]定义!$S$1:$S$6</definedName>
    <definedName name="环境" localSheetId="47">[1]定义!$S$1:$S$6</definedName>
    <definedName name="环境">定义!$S$1:$S$6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48">[1]定义!$B$54:$B$56</definedName>
    <definedName name="价值类型2" localSheetId="47">[1]定义!$B$54:$B$56</definedName>
    <definedName name="价值类型2">定义!$B$54:$B$56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48">[1]定义!$K$1:$K$6</definedName>
    <definedName name="居住社区成熟度" localSheetId="47">[1]定义!$K$1:$K$6</definedName>
    <definedName name="居住社区成熟度">定义!$K$1:$K$6</definedName>
    <definedName name="类别" localSheetId="48">[1]定义!$J$1:$J$3</definedName>
    <definedName name="类别" localSheetId="47">[1]定义!$J$1:$J$3</definedName>
    <definedName name="类别">定义!$J$1:$J$3</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48">[1]定义!$U$1:$U$6</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8">[1]修正!$A$8:$A$16</definedName>
    <definedName name="七通一平" localSheetId="47">[1]修正!$A$8:$A$16</definedName>
    <definedName name="七通一平">修正!$A$8:$A$16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48">'[1]比较法-商业'!$B$116:$M$116</definedName>
    <definedName name="商业层高" localSheetId="47">'[1]比较法-商业'!$B$116:$M$116</definedName>
    <definedName name="商业层高">'比较法-商业'!$B$116:$M$116</definedName>
    <definedName name="商业成新度">'比较法-商业'!$B$109:$M$109</definedName>
    <definedName name="商业繁华度" localSheetId="48">[1]定义!$L$1:$L$6</definedName>
    <definedName name="商业繁华度" localSheetId="47">[1]定义!$L$1:$L$6</definedName>
    <definedName name="商业繁华度">定义!$L$1:$L$6</definedName>
    <definedName name="商业公共部分装修" localSheetId="48">'[1]比较法-商业'!$B$107:$M$107</definedName>
    <definedName name="商业公共部分装修" localSheetId="47">'[1]比较法-商业'!$B$107:$M$107</definedName>
    <definedName name="商业公共部分装修">'比较法-商业'!$B$107:$M$107</definedName>
    <definedName name="商业基础设施水平" localSheetId="48">'[1]比较法-商业'!$B$112:$M$112</definedName>
    <definedName name="商业基础设施水平" localSheetId="47">'[1]比较法-商业'!$B$112:$M$112</definedName>
    <definedName name="商业基础设施水平">'比较法-商业'!$B$112:$M$112</definedName>
    <definedName name="商业建筑结构" localSheetId="48">'[1]比较法-商业'!$B$105:$M$105</definedName>
    <definedName name="商业建筑结构" localSheetId="47">'[1]比较法-商业'!$B$105:$M$105</definedName>
    <definedName name="商业建筑结构">'比较法-商业'!$B$105:$M$105</definedName>
    <definedName name="商业交易情况" localSheetId="48">'[1]比较法-商业'!$A$61:$M$61</definedName>
    <definedName name="商业交易情况" localSheetId="47">'[1]比较法-商业'!$A$61:$M$61</definedName>
    <definedName name="商业交易情况">'比较法-商业'!$A$61:$M$61</definedName>
    <definedName name="商业街名称" localSheetId="48">[1]修正!$C$71:$C$138</definedName>
    <definedName name="商业街名称" localSheetId="47">[1]修正!$C$71:$C$138</definedName>
    <definedName name="商业街名称">修正!$C$71:$C$138</definedName>
    <definedName name="商业进深比" localSheetId="48">'[1]比较法-商业'!$B$120:$M$120</definedName>
    <definedName name="商业进深比" localSheetId="47">'[1]比较法-商业'!$B$120:$M$120</definedName>
    <definedName name="商业进深比">'比较法-商业'!$B$120:$M$120</definedName>
    <definedName name="商业类型" localSheetId="48">'[1]比较法-商业'!$B$100:$M$100</definedName>
    <definedName name="商业类型" localSheetId="47">'[1]比较法-商业'!$B$100:$M$100</definedName>
    <definedName name="商业类型">'比较法-商业'!$B$100:$M$100</definedName>
    <definedName name="商业临街状况" localSheetId="48">'[1]比较法-商业'!$B$86:$M$86</definedName>
    <definedName name="商业临街状况" localSheetId="47">'[1]比较法-商业'!$B$86:$M$86</definedName>
    <definedName name="商业临街状况">'比较法-商业'!$B$86:$M$86</definedName>
    <definedName name="商业楼层" localSheetId="48">'[1]比较法-商业'!$B$92:$M$92</definedName>
    <definedName name="商业楼层" localSheetId="47">'[1]比较法-商业'!$B$92:$M$92</definedName>
    <definedName name="商业楼层">'比较法-商业'!$B$92:$M$92</definedName>
    <definedName name="商业内部装修" localSheetId="48">'[1]比较法-商业'!$B$122:$M$122</definedName>
    <definedName name="商业内部装修" localSheetId="47">'[1]比较法-商业'!$B$122:$M$122</definedName>
    <definedName name="商业内部装修">'比较法-商业'!$B$122:$M$122</definedName>
    <definedName name="商业人流量" localSheetId="48">'[1]比较法-商业'!$B$90:$M$90</definedName>
    <definedName name="商业人流量" localSheetId="47">'[1]比较法-商业'!$B$90:$M$90</definedName>
    <definedName name="商业人流量">'比较法-商业'!$B$90:$M$90</definedName>
    <definedName name="商业业态" localSheetId="48">'[1]比较法-商业'!$B$114:$M$114</definedName>
    <definedName name="商业业态" localSheetId="47">'[1]比较法-商业'!$B$114:$M$114</definedName>
    <definedName name="商业业态">'比较法-商业'!$B$114:$M$114</definedName>
    <definedName name="商业用途" localSheetId="48">'[1]比较法-商业'!$B$63:$M$63</definedName>
    <definedName name="商业用途" localSheetId="4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7">'[1]比较法-仓储'!$B$89:$M$89</definedName>
    <definedName name="是否封闭">'比较法-仓储'!$B$89:$M$89</definedName>
    <definedName name="是否直接入户" localSheetId="48">'[1]比较法-车位'!$B$95:$M$95</definedName>
    <definedName name="是否直接入户" localSheetId="47">'[1]比较法-车位'!$B$95:$M$95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7">'[1]土地比较法-工业'!$B$97:$M$97</definedName>
    <definedName name="套工道路等级">'土地比较法-工业'!$B$97:$M$97</definedName>
    <definedName name="套工地质条件" localSheetId="48">'[1]土地比较法-工业'!$B$114:$M$114</definedName>
    <definedName name="套工地质条件" localSheetId="47">'[1]土地比较法-工业'!$B$114:$M$114</definedName>
    <definedName name="套工地质条件">'土地比较法-工业'!$B$114:$M$114</definedName>
    <definedName name="套工交易情况" localSheetId="48">'[1]土地比较法-住宅、综合'!$A$72:$M$72</definedName>
    <definedName name="套工交易情况" localSheetId="47">'[1]土地比较法-住宅、综合'!$A$72:$M$72</definedName>
    <definedName name="套工交易情况">'土地比较法-住宅、综合'!$A$72:$M$72</definedName>
    <definedName name="套工土地级别" localSheetId="48">'[1]土地比较法-工业'!$B$99:$M$99</definedName>
    <definedName name="套工土地级别" localSheetId="47">'[1]土地比较法-工业'!$B$99:$M$99</definedName>
    <definedName name="套工土地级别">'土地比较法-工业'!$B$99:$M$99</definedName>
    <definedName name="套工用途" localSheetId="48">'[1]土地比较法-工业'!$B$70:$M$70</definedName>
    <definedName name="套工用途" localSheetId="47">'[1]土地比较法-工业'!$B$70:$M$70</definedName>
    <definedName name="套工用途">'土地比较法-工业'!$B$70:$M$70</definedName>
    <definedName name="套工宗地开发程度" localSheetId="48">'[1]土地比较法-工业'!$B$112:$M$112</definedName>
    <definedName name="套工宗地开发程度" localSheetId="47">'[1]土地比较法-工业'!$B$112:$M$112</definedName>
    <definedName name="套工宗地开发程度">'土地比较法-工业'!$B$112:$M$112</definedName>
    <definedName name="套工宗地形状" localSheetId="48">'[1]土地比较法-工业'!$B$110:$M$110</definedName>
    <definedName name="套工宗地形状" localSheetId="47">'[1]土地比较法-工业'!$B$110:$M$110</definedName>
    <definedName name="套工宗地形状">'土地比较法-工业'!$B$110:$M$110</definedName>
    <definedName name="套综道路等级" localSheetId="48">'[1]土地比较法-住宅、综合'!$B$105:$M$105</definedName>
    <definedName name="套综道路等级" localSheetId="47">'[1]土地比较法-住宅、综合'!$B$105:$M$105</definedName>
    <definedName name="套综道路等级">'土地比较法-住宅、综合'!$B$105:$M$105</definedName>
    <definedName name="套综工程地质条件" localSheetId="48">'[1]土地比较法-住宅、综合'!$B$124:$M$124</definedName>
    <definedName name="套综工程地质条件" localSheetId="47">'[1]土地比较法-住宅、综合'!$B$124:$M$124</definedName>
    <definedName name="套综工程地质条件">'土地比较法-住宅、综合'!$B$124:$M$124</definedName>
    <definedName name="套综交易情况" localSheetId="48">'[1]土地比较法-住宅、综合'!$A$72:$M$72</definedName>
    <definedName name="套综交易情况" localSheetId="47">'[1]土地比较法-住宅、综合'!$A$72:$M$72</definedName>
    <definedName name="套综交易情况">'土地比较法-住宅、综合'!$A$72:$M$72</definedName>
    <definedName name="套综临街宽度及深度" localSheetId="48">'[1]土地比较法-住宅、综合'!$B$120:$M$120</definedName>
    <definedName name="套综临街宽度及深度" localSheetId="47">'[1]土地比较法-住宅、综合'!$B$120:$M$120</definedName>
    <definedName name="套综临街宽度及深度">'土地比较法-住宅、综合'!$B$120:$M$120</definedName>
    <definedName name="套综土地级别" localSheetId="48">'[1]土地比较法-住宅、综合'!$B$107:$M$107</definedName>
    <definedName name="套综土地级别" localSheetId="47">'[1]土地比较法-住宅、综合'!$B$107:$M$107</definedName>
    <definedName name="套综土地级别">'土地比较法-住宅、综合'!$B$107:$M$107</definedName>
    <definedName name="套综用途" localSheetId="48">'[1]土地比较法-住宅、综合'!$B$74:$M$74</definedName>
    <definedName name="套综用途" localSheetId="47">'[1]土地比较法-住宅、综合'!$B$74:$M$74</definedName>
    <definedName name="套综用途">'土地比较法-住宅、综合'!$B$74:$M$74</definedName>
    <definedName name="套综宗地内开发程度" localSheetId="48">'[1]土地比较法-住宅、综合'!$B$122:$M$122</definedName>
    <definedName name="套综宗地内开发程度" localSheetId="47">'[1]土地比较法-住宅、综合'!$B$122:$M$122</definedName>
    <definedName name="套综宗地内开发程度">'土地比较法-住宅、综合'!$B$122:$M$122</definedName>
    <definedName name="套综宗地形状" localSheetId="48">'[1]土地比较法-住宅、综合'!$B$118:$M$118</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8">[1]定义!$E$2:$E$4</definedName>
    <definedName name="位置" localSheetId="47">[1]定义!$E$2:$E$4</definedName>
    <definedName name="位置">定义!$E$2:$E$4</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48">'[1]数据-汇总表'!$C$17:$C$26</definedName>
    <definedName name="项目类型" localSheetId="23">'[3]数据-汇总表'!$C$17:$C$26</definedName>
    <definedName name="项目类型" localSheetId="47">'[1]数据-汇总表'!$C$17:$C$26</definedName>
    <definedName name="项目类型">'数据-汇总表'!$C$17:$C$26</definedName>
    <definedName name="写字楼等级" localSheetId="48">'[1]比较法-办公'!$B$113:$M$113</definedName>
    <definedName name="写字楼等级" localSheetId="47">'[1]比较法-办公'!$B$113:$M$113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48">[1]典型户型修正!$17:$17</definedName>
    <definedName name="一修多修正项8" localSheetId="47">[1]典型户型修正!$17:$17</definedName>
    <definedName name="一修多修正项8">典型户型修正!$17:$17</definedName>
    <definedName name="用途明细" localSheetId="48">[1]定义!$A$1:$A$50</definedName>
    <definedName name="用途明细" localSheetId="47">[1]定义!$A$1:$A$50</definedName>
    <definedName name="用途明细">定义!$A$1:$A$50</definedName>
    <definedName name="有无电梯" localSheetId="48">'[1]比较法-仓储'!$B$84:$M$84</definedName>
    <definedName name="有无电梯" localSheetId="47">'[1]比较法-仓储'!$B$84:$M$84</definedName>
    <definedName name="有无电梯">'比较法-仓储'!$B$84:$M$84</definedName>
    <definedName name="主用途" localSheetId="48">[1]定义!$F$1:$F$12</definedName>
    <definedName name="主用途" localSheetId="47">[1]定义!$F$1:$F$12</definedName>
    <definedName name="主用途">定义!$F$1:$F$12</definedName>
    <definedName name="住宅朝向" localSheetId="48">'[1]比较法-住宅'!$B$88:$M$88</definedName>
    <definedName name="住宅朝向" localSheetId="47">'[1]比较法-住宅'!$B$88:$M$88</definedName>
    <definedName name="住宅朝向">'比较法-住宅'!$B$88:$M$88</definedName>
    <definedName name="住宅房型" localSheetId="48">'[1]比较法-住宅'!$B$118:$M$118</definedName>
    <definedName name="住宅房型" localSheetId="47">'[1]比较法-住宅'!$B$118:$M$118</definedName>
    <definedName name="住宅房型">'比较法-住宅'!$B$118:$M$118</definedName>
    <definedName name="住宅公共部分装修" localSheetId="48">'[1]比较法-住宅'!$B$109:$M$109</definedName>
    <definedName name="住宅公共部分装修" localSheetId="47">'[1]比较法-住宅'!$B$109:$M$109</definedName>
    <definedName name="住宅公共部分装修">'比较法-住宅'!$B$109:$M$109</definedName>
    <definedName name="住宅基础设施水平" localSheetId="48">'[1]比较法-住宅'!$B$116:$M$116</definedName>
    <definedName name="住宅基础设施水平" localSheetId="47">'[1]比较法-住宅'!$B$116:$M$116</definedName>
    <definedName name="住宅基础设施水平">'比较法-住宅'!$B$116:$M$116</definedName>
    <definedName name="住宅建筑结构" localSheetId="48">'[1]比较法-住宅'!$B$105:$M$105</definedName>
    <definedName name="住宅建筑结构" localSheetId="47">'[1]比较法-住宅'!$B$105:$M$105</definedName>
    <definedName name="住宅建筑结构">'比较法-住宅'!$B$105:$M$105</definedName>
    <definedName name="住宅建筑类型" localSheetId="48">'[1]比较法-住宅'!$B$100:$M$100</definedName>
    <definedName name="住宅建筑类型" localSheetId="47">'[1]比较法-住宅'!$B$100:$M$100</definedName>
    <definedName name="住宅建筑类型">'比较法-住宅'!$B$100:$M$100</definedName>
    <definedName name="住宅建筑品质" localSheetId="48">'[1]比较法-住宅'!$B$107:$M$107</definedName>
    <definedName name="住宅建筑品质" localSheetId="47">'[1]比较法-住宅'!$B$107:$M$107</definedName>
    <definedName name="住宅建筑品质">'比较法-住宅'!$B$107:$M$107</definedName>
    <definedName name="住宅交易情况" localSheetId="48">'[1]比较法-住宅'!$A$61:$M$61</definedName>
    <definedName name="住宅交易情况" localSheetId="47">'[1]比较法-住宅'!$A$61:$M$61</definedName>
    <definedName name="住宅交易情况">'比较法-住宅'!$A$61:$M$61</definedName>
    <definedName name="住宅楼层" localSheetId="48">'[1]比较法-住宅'!$B$86:$M$86</definedName>
    <definedName name="住宅楼层" localSheetId="47">'[1]比较法-住宅'!$B$86:$M$86</definedName>
    <definedName name="住宅楼层">'比较法-住宅'!$B$86:$M$86</definedName>
    <definedName name="住宅内部装修" localSheetId="48">'[1]比较法-住宅'!$B$122:$M$122</definedName>
    <definedName name="住宅内部装修" localSheetId="47">'[1]比较法-住宅'!$B$122:$M$122</definedName>
    <definedName name="住宅内部装修">'比较法-住宅'!$B$122:$M$122</definedName>
    <definedName name="住宅物业管理" localSheetId="48">'[1]比较法-住宅'!$B$114:$M$114</definedName>
    <definedName name="住宅物业管理" localSheetId="47">'[1]比较法-住宅'!$B$114:$M$114</definedName>
    <definedName name="住宅物业管理">'比较法-住宅'!$B$114:$M$114</definedName>
    <definedName name="住宅用途" localSheetId="48">'[1]比较法-住宅'!$B$63:$M$63</definedName>
    <definedName name="住宅用途" localSheetId="47">'[1]比较法-住宅'!$B$63:$M$63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7" i="80" l="1"/>
  <c r="J6" i="80"/>
  <c r="J5" i="80"/>
  <c r="J4" i="80"/>
  <c r="J3" i="80"/>
  <c r="J2" i="80"/>
  <c r="N75" i="82" l="1"/>
  <c r="N40" i="82"/>
  <c r="N5" i="82"/>
  <c r="C94" i="9"/>
  <c r="I91" i="9"/>
  <c r="C88" i="9"/>
  <c r="H27" i="83" l="1"/>
  <c r="H26" i="83"/>
  <c r="H25" i="83"/>
  <c r="H24" i="83"/>
  <c r="H23" i="83"/>
  <c r="H22" i="83"/>
  <c r="B22" i="83"/>
  <c r="H21" i="83"/>
  <c r="H20" i="83"/>
  <c r="H19" i="83"/>
  <c r="H18" i="83"/>
  <c r="H17" i="83"/>
  <c r="H16" i="83"/>
  <c r="H15" i="83"/>
  <c r="B14" i="83"/>
  <c r="H14" i="83" s="1"/>
  <c r="H13" i="83"/>
  <c r="H12" i="83"/>
  <c r="B12" i="83"/>
  <c r="H11" i="83"/>
  <c r="B10" i="83"/>
  <c r="H10" i="83" s="1"/>
  <c r="H9" i="83"/>
  <c r="H8" i="83"/>
  <c r="H7" i="83"/>
  <c r="H6" i="83"/>
  <c r="B6" i="83"/>
  <c r="H28" i="83" l="1"/>
  <c r="H29" i="83" s="1"/>
  <c r="B28" i="83"/>
  <c r="G44" i="43" l="1"/>
  <c r="D42" i="43"/>
  <c r="D40" i="43"/>
  <c r="D33" i="43"/>
  <c r="C30" i="37" l="1"/>
  <c r="I7" i="37"/>
  <c r="G7" i="37"/>
  <c r="E7" i="37"/>
  <c r="G19" i="6"/>
  <c r="F19" i="6"/>
  <c r="A3" i="3"/>
  <c r="K14" i="3"/>
  <c r="K13" i="3"/>
  <c r="I14" i="3"/>
  <c r="I13" i="3"/>
  <c r="C8" i="80"/>
  <c r="E7" i="80"/>
  <c r="D7" i="80"/>
  <c r="K6" i="80"/>
  <c r="E6" i="80"/>
  <c r="D6" i="80"/>
  <c r="E5" i="80"/>
  <c r="D5" i="80" s="1"/>
  <c r="E4" i="80"/>
  <c r="D4" i="80"/>
  <c r="D3" i="80"/>
  <c r="K2" i="80"/>
  <c r="E2" i="80"/>
  <c r="E8" i="80" s="1"/>
  <c r="D2" i="80"/>
  <c r="J8" i="80" l="1"/>
  <c r="N6" i="1" s="1"/>
  <c r="Y6" i="1" s="1"/>
  <c r="D8" i="80"/>
  <c r="D10" i="80" s="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D51" i="71"/>
  <c r="C40" i="71"/>
  <c r="T40" i="71" s="1"/>
  <c r="D39" i="71"/>
  <c r="C32" i="71"/>
  <c r="T32" i="71" s="1"/>
  <c r="D31" i="71"/>
  <c r="O66" i="71"/>
  <c r="O65" i="71"/>
  <c r="D32"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U21" i="37" s="1"/>
  <c r="F21" i="37"/>
  <c r="AA21" i="37" s="1"/>
  <c r="F84" i="34"/>
  <c r="H21" i="34"/>
  <c r="AB21" i="34" s="1"/>
  <c r="H21" i="33"/>
  <c r="U21" i="33" s="1"/>
  <c r="F21" i="33"/>
  <c r="E83" i="21"/>
  <c r="F83" i="21" s="1"/>
  <c r="S21" i="21"/>
  <c r="H1" i="69"/>
  <c r="W25" i="40"/>
  <c r="U25" i="40"/>
  <c r="U29" i="39"/>
  <c r="W29" i="39"/>
  <c r="W18" i="36"/>
  <c r="AB21" i="37"/>
  <c r="U21" i="34"/>
  <c r="AB21" i="33"/>
  <c r="AA21" i="33"/>
  <c r="S21" i="33"/>
  <c r="U18" i="35"/>
  <c r="AC18" i="35"/>
  <c r="W18" i="35"/>
  <c r="J21" i="37"/>
  <c r="W21" i="37" s="1"/>
  <c r="G84" i="34"/>
  <c r="J21" i="34"/>
  <c r="J21" i="33"/>
  <c r="AC21" i="33" s="1"/>
  <c r="H21" i="21"/>
  <c r="F38" i="69"/>
  <c r="E37" i="69"/>
  <c r="F36" i="69"/>
  <c r="F35" i="69"/>
  <c r="F21" i="69"/>
  <c r="F40" i="69" s="1"/>
  <c r="F20" i="69"/>
  <c r="F39" i="69" s="1"/>
  <c r="E10" i="69"/>
  <c r="E9" i="69"/>
  <c r="C7" i="69"/>
  <c r="AC21" i="37"/>
  <c r="AC21" i="34"/>
  <c r="W21" i="34"/>
  <c r="W21" i="33"/>
  <c r="AB21" i="21"/>
  <c r="U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AB31" i="37"/>
  <c r="W30" i="37"/>
  <c r="S36" i="37"/>
  <c r="AA38" i="37"/>
  <c r="U32" i="37"/>
  <c r="W38" i="37"/>
  <c r="AC35" i="37"/>
  <c r="W39" i="37"/>
  <c r="S30" i="37"/>
  <c r="S37" i="37"/>
  <c r="J17" i="37"/>
  <c r="W17" i="37" s="1"/>
  <c r="G73" i="37"/>
  <c r="F17" i="37"/>
  <c r="AA17" i="37" s="1"/>
  <c r="F75" i="37"/>
  <c r="F19" i="37"/>
  <c r="AA19" i="37" s="1"/>
  <c r="F79" i="37"/>
  <c r="F23" i="37"/>
  <c r="S23"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H63" i="37"/>
  <c r="I63" i="37" s="1"/>
  <c r="J63" i="37" s="1"/>
  <c r="K63" i="37" s="1"/>
  <c r="L63" i="37" s="1"/>
  <c r="M63" i="37" s="1"/>
  <c r="J11" i="37"/>
  <c r="AC11" i="37" s="1"/>
  <c r="H70" i="34"/>
  <c r="I70" i="34"/>
  <c r="J70" i="34" s="1"/>
  <c r="K70" i="34" s="1"/>
  <c r="L70" i="34" s="1"/>
  <c r="M70" i="34" s="1"/>
  <c r="J11" i="34"/>
  <c r="W11" i="34" s="1"/>
  <c r="AB36" i="33"/>
  <c r="W27" i="33"/>
  <c r="AC27" i="33"/>
  <c r="W25" i="33"/>
  <c r="AC25" i="33"/>
  <c r="S23" i="33"/>
  <c r="AB19" i="33"/>
  <c r="U19" i="33"/>
  <c r="AA17" i="33"/>
  <c r="S17" i="33"/>
  <c r="AB17"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38" i="67"/>
  <c r="J15" i="67"/>
  <c r="F37" i="15"/>
  <c r="M29" i="67"/>
  <c r="F7" i="15"/>
  <c r="M22" i="67"/>
  <c r="E9" i="76"/>
  <c r="M9" i="15"/>
  <c r="B11" i="76"/>
  <c r="AO13" i="1"/>
  <c r="F9" i="15"/>
  <c r="D5" i="73"/>
  <c r="B8" i="76"/>
  <c r="F26" i="67"/>
  <c r="F43" i="67"/>
  <c r="C76" i="15"/>
  <c r="F40" i="67"/>
  <c r="M26" i="15"/>
  <c r="F40" i="15"/>
  <c r="M23" i="15"/>
  <c r="M8" i="67"/>
  <c r="E10" i="76"/>
  <c r="F4" i="73"/>
  <c r="M22" i="15"/>
  <c r="E2" i="68"/>
  <c r="F13" i="15"/>
  <c r="F13" i="67"/>
  <c r="B10" i="76"/>
  <c r="M28" i="67"/>
  <c r="F42" i="15"/>
  <c r="F7" i="67"/>
  <c r="F38" i="15"/>
  <c r="F3" i="73"/>
  <c r="E7" i="76"/>
  <c r="F16" i="15"/>
  <c r="M9" i="67"/>
  <c r="F42" i="67"/>
  <c r="F43" i="15"/>
  <c r="M26" i="67"/>
  <c r="F6" i="73"/>
  <c r="F37" i="67"/>
  <c r="E13" i="76"/>
  <c r="L47" i="67"/>
  <c r="C76" i="67"/>
  <c r="M6" i="67"/>
  <c r="E11" i="76"/>
  <c r="B13" i="76"/>
  <c r="F20" i="31"/>
  <c r="B9" i="76"/>
  <c r="M8" i="15"/>
  <c r="F6" i="67"/>
  <c r="F6" i="15"/>
  <c r="M28" i="15"/>
  <c r="B7" i="76"/>
  <c r="F36" i="15"/>
  <c r="F36" i="67"/>
  <c r="E12" i="76"/>
  <c r="J15" i="15"/>
  <c r="E2" i="69"/>
  <c r="F8" i="15"/>
  <c r="L48" i="67"/>
  <c r="F16" i="67"/>
  <c r="F8" i="67"/>
  <c r="M6" i="15"/>
  <c r="F7" i="73"/>
  <c r="E8" i="76"/>
  <c r="L47" i="15"/>
  <c r="M24" i="67"/>
  <c r="F9" i="67"/>
  <c r="F26" i="15"/>
  <c r="F5" i="73"/>
  <c r="M23" i="67"/>
  <c r="M29" i="15"/>
  <c r="M24" i="15"/>
  <c r="B12" i="76"/>
  <c r="L48" i="15"/>
  <c r="M85" i="43" l="1"/>
  <c r="N85" i="43" s="1"/>
  <c r="S34" i="37"/>
  <c r="I99" i="37"/>
  <c r="J99" i="37" s="1"/>
  <c r="K99" i="37" s="1"/>
  <c r="L99" i="37" s="1"/>
  <c r="M99" i="37" s="1"/>
  <c r="J33" i="37"/>
  <c r="AC33" i="37" s="1"/>
  <c r="H33" i="37"/>
  <c r="F33" i="37"/>
  <c r="AA33" i="37" s="1"/>
  <c r="AA23" i="37"/>
  <c r="S19" i="37"/>
  <c r="S17" i="37"/>
  <c r="U30" i="37"/>
  <c r="U23" i="37"/>
  <c r="W23" i="37"/>
  <c r="U19" i="37"/>
  <c r="AC19" i="37"/>
  <c r="AB17" i="37"/>
  <c r="AC17" i="37"/>
  <c r="AC15" i="37"/>
  <c r="S15" i="37"/>
  <c r="AB35" i="37"/>
  <c r="S32" i="37"/>
  <c r="AA31" i="37"/>
  <c r="W31" i="37"/>
  <c r="AA29" i="37"/>
  <c r="C28" i="67"/>
  <c r="C40" i="11"/>
  <c r="BA5" i="3"/>
  <c r="G14" i="3"/>
  <c r="G5" i="3"/>
  <c r="B3" i="3" s="1"/>
  <c r="E13" i="3" s="1"/>
  <c r="D18" i="71"/>
  <c r="AZ321" i="3"/>
  <c r="S12" i="21"/>
  <c r="AA12" i="21"/>
  <c r="AC9" i="34"/>
  <c r="W9" i="34"/>
  <c r="AC34" i="35"/>
  <c r="W34" i="35"/>
  <c r="AB9" i="36"/>
  <c r="U9" i="36"/>
  <c r="AB14" i="37"/>
  <c r="U14" i="37"/>
  <c r="C16" i="71"/>
  <c r="D17" i="71"/>
  <c r="E15" i="71"/>
  <c r="E14" i="71" s="1"/>
  <c r="E13" i="71" s="1"/>
  <c r="E12" i="71" s="1"/>
  <c r="V16" i="71"/>
  <c r="D20" i="71"/>
  <c r="U20" i="71" s="1"/>
  <c r="T20" i="71"/>
  <c r="V20" i="71"/>
  <c r="AZ557" i="3"/>
  <c r="W12" i="34"/>
  <c r="AC12" i="34"/>
  <c r="U12" i="35"/>
  <c r="AB12" i="35"/>
  <c r="U27" i="37"/>
  <c r="AB27" i="37"/>
  <c r="G28" i="6"/>
  <c r="F29" i="6"/>
  <c r="E29" i="6" s="1"/>
  <c r="K15" i="1" s="1"/>
  <c r="AA25" i="21"/>
  <c r="U43" i="33"/>
  <c r="AA41" i="34"/>
  <c r="W29" i="33"/>
  <c r="S45" i="33"/>
  <c r="AC30" i="34"/>
  <c r="U46" i="33"/>
  <c r="AA13" i="35"/>
  <c r="AA29" i="35"/>
  <c r="B73" i="43"/>
  <c r="B79" i="43"/>
  <c r="B76" i="43"/>
  <c r="B75" i="43"/>
  <c r="F9" i="34"/>
  <c r="AA9" i="34" s="1"/>
  <c r="F12" i="34"/>
  <c r="F34" i="35"/>
  <c r="H34" i="35"/>
  <c r="J36" i="35"/>
  <c r="F23" i="36"/>
  <c r="H23" i="36"/>
  <c r="AZ399" i="3"/>
  <c r="AZ404" i="3"/>
  <c r="AZ416" i="3"/>
  <c r="AZ425" i="3"/>
  <c r="AZ432" i="3"/>
  <c r="AZ445" i="3"/>
  <c r="AZ447" i="3"/>
  <c r="AZ464" i="3"/>
  <c r="AZ467" i="3"/>
  <c r="AZ474" i="3"/>
  <c r="AZ480" i="3"/>
  <c r="AZ482" i="3"/>
  <c r="AZ486" i="3"/>
  <c r="AZ316" i="3"/>
  <c r="AZ332" i="3"/>
  <c r="A15" i="62"/>
  <c r="B61" i="72" s="1"/>
  <c r="AZ395" i="3"/>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46" i="3"/>
  <c r="AZ57" i="3"/>
  <c r="AZ62" i="3"/>
  <c r="AZ65" i="3"/>
  <c r="AZ76" i="3"/>
  <c r="AZ81" i="3"/>
  <c r="AZ90" i="3"/>
  <c r="AZ96" i="3"/>
  <c r="AZ99" i="3"/>
  <c r="AZ106" i="3"/>
  <c r="AZ112" i="3"/>
  <c r="C21" i="68"/>
  <c r="C40" i="69"/>
  <c r="S21" i="37"/>
  <c r="T64" i="71"/>
  <c r="D64" i="71"/>
  <c r="P66" i="71"/>
  <c r="P65" i="71"/>
  <c r="C26" i="71"/>
  <c r="D26" i="71" s="1"/>
  <c r="D27" i="71"/>
  <c r="D35" i="71"/>
  <c r="C36" i="71"/>
  <c r="C43" i="71"/>
  <c r="D42" i="71"/>
  <c r="C47" i="71"/>
  <c r="D47" i="71" s="1"/>
  <c r="D46" i="71"/>
  <c r="U18" i="36"/>
  <c r="F30" i="71"/>
  <c r="F31" i="71" s="1"/>
  <c r="F32" i="71" s="1"/>
  <c r="V32" i="71" s="1"/>
  <c r="Y9" i="71"/>
  <c r="Z9" i="71" s="1"/>
  <c r="Y10" i="71"/>
  <c r="Z10"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A31" i="71"/>
  <c r="X9" i="71"/>
  <c r="X10" i="71"/>
  <c r="Y39" i="71"/>
  <c r="Z39" i="71" s="1"/>
  <c r="AA39" i="71"/>
  <c r="AB9" i="71"/>
  <c r="AB24" i="71"/>
  <c r="AA23" i="71"/>
  <c r="AA22" i="71"/>
  <c r="AB21" i="71"/>
  <c r="Y18" i="71"/>
  <c r="Z18" i="71" s="1"/>
  <c r="X18" i="71"/>
  <c r="AA18" i="71"/>
  <c r="Y23" i="71"/>
  <c r="Z23" i="71" s="1"/>
  <c r="Y22" i="71"/>
  <c r="Z22" i="71" s="1"/>
  <c r="X22" i="71"/>
  <c r="X15" i="71"/>
  <c r="AA15" i="71"/>
  <c r="AB11" i="71"/>
  <c r="AB13" i="71"/>
  <c r="Y12" i="71"/>
  <c r="Z12" i="71" s="1"/>
  <c r="Y13" i="71"/>
  <c r="Z13" i="71" s="1"/>
  <c r="AA11" i="71"/>
  <c r="AA13" i="71"/>
  <c r="AA14" i="71"/>
  <c r="X11" i="71"/>
  <c r="X12" i="71"/>
  <c r="AB15" i="71"/>
  <c r="AB17" i="71"/>
  <c r="AB12" i="71"/>
  <c r="AB10" i="71"/>
  <c r="Y11" i="71"/>
  <c r="Z11" i="71" s="1"/>
  <c r="AA12" i="71"/>
  <c r="AA10" i="71"/>
  <c r="X13"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313" i="3"/>
  <c r="E438" i="3"/>
  <c r="E471" i="3"/>
  <c r="E54" i="3"/>
  <c r="E208" i="3"/>
  <c r="E357" i="3"/>
  <c r="E93" i="3"/>
  <c r="E196" i="3"/>
  <c r="E145" i="3"/>
  <c r="U6" i="3"/>
  <c r="E548" i="3"/>
  <c r="E367" i="3"/>
  <c r="E403" i="3"/>
  <c r="E71" i="3"/>
  <c r="E126" i="3"/>
  <c r="E291" i="3"/>
  <c r="AM6" i="3"/>
  <c r="E14" i="6"/>
  <c r="E63" i="39" s="1"/>
  <c r="I4" i="6"/>
  <c r="G3" i="43" s="1"/>
  <c r="F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G90" i="43" s="1"/>
  <c r="C23" i="43"/>
  <c r="O23" i="43"/>
  <c r="I18" i="43"/>
  <c r="E17" i="43" s="1"/>
  <c r="C17" i="43" s="1"/>
  <c r="C24" i="43"/>
  <c r="H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6" i="73"/>
  <c r="D7" i="73"/>
  <c r="D3" i="73"/>
  <c r="C16" i="15"/>
  <c r="D4" i="73"/>
  <c r="K86" i="43" l="1"/>
  <c r="M86" i="43"/>
  <c r="N86" i="43" s="1"/>
  <c r="K84" i="43"/>
  <c r="M84" i="43"/>
  <c r="N84" i="43" s="1"/>
  <c r="K89" i="43"/>
  <c r="M89" i="43"/>
  <c r="N89" i="43" s="1"/>
  <c r="K88" i="43"/>
  <c r="M88" i="43"/>
  <c r="N88" i="43" s="1"/>
  <c r="K87" i="43"/>
  <c r="M87" i="43"/>
  <c r="N87" i="43" s="1"/>
  <c r="K90" i="43"/>
  <c r="M90" i="43"/>
  <c r="N90" i="43" s="1"/>
  <c r="K83" i="43"/>
  <c r="M83" i="43"/>
  <c r="N83" i="43" s="1"/>
  <c r="AB33" i="37"/>
  <c r="U33" i="37"/>
  <c r="F30" i="6"/>
  <c r="K16" i="1"/>
  <c r="E29" i="3"/>
  <c r="E317" i="3"/>
  <c r="E272" i="3"/>
  <c r="E92" i="3"/>
  <c r="E546" i="3"/>
  <c r="E547" i="3"/>
  <c r="E432" i="3"/>
  <c r="E411" i="3"/>
  <c r="E379" i="3"/>
  <c r="E207" i="3"/>
  <c r="E397" i="3"/>
  <c r="E14" i="3"/>
  <c r="E257" i="3"/>
  <c r="E168" i="3"/>
  <c r="E475" i="3"/>
  <c r="W6" i="3"/>
  <c r="E529" i="3"/>
  <c r="E157" i="3"/>
  <c r="E461"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537" i="3"/>
  <c r="E288" i="3"/>
  <c r="E474" i="3"/>
  <c r="E532" i="3"/>
  <c r="E224" i="3"/>
  <c r="E306" i="3"/>
  <c r="E136" i="3"/>
  <c r="E122"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50" i="3"/>
  <c r="E571" i="3"/>
  <c r="E562" i="3"/>
  <c r="E457" i="3"/>
  <c r="E527" i="3"/>
  <c r="E458" i="3"/>
  <c r="E573" i="3"/>
  <c r="E519" i="3"/>
  <c r="E193" i="3"/>
  <c r="E45" i="3"/>
  <c r="E99" i="3"/>
  <c r="E511" i="3"/>
  <c r="E314" i="3"/>
  <c r="E85" i="3"/>
  <c r="E453" i="3"/>
  <c r="E253"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6" i="3"/>
  <c r="E460" i="3"/>
  <c r="E436" i="3"/>
  <c r="E90" i="3"/>
  <c r="E131" i="3"/>
  <c r="E155" i="3"/>
  <c r="E297" i="3"/>
  <c r="E348" i="3"/>
  <c r="E378" i="3"/>
  <c r="E504" i="3"/>
  <c r="E110" i="3"/>
  <c r="E462" i="3"/>
  <c r="E446" i="3"/>
  <c r="E79" i="3"/>
  <c r="E96" i="3"/>
  <c r="E78" i="3"/>
  <c r="E129" i="3"/>
  <c r="E190" i="3"/>
  <c r="E174" i="3"/>
  <c r="E220" i="3"/>
  <c r="E275" i="3"/>
  <c r="E235" i="3"/>
  <c r="E299" i="3"/>
  <c r="E339" i="3"/>
  <c r="E325" i="3"/>
  <c r="E392" i="3"/>
  <c r="AQ6" i="3"/>
  <c r="E35" i="3"/>
  <c r="E86" i="3"/>
  <c r="E34" i="3"/>
  <c r="E49" i="3"/>
  <c r="E206" i="3"/>
  <c r="E232" i="3"/>
  <c r="E251" i="3"/>
  <c r="E340" i="3"/>
  <c r="E364" i="3"/>
  <c r="E102" i="3"/>
  <c r="E80" i="3"/>
  <c r="E113" i="3"/>
  <c r="E158" i="3"/>
  <c r="E287" i="3"/>
  <c r="E265" i="3"/>
  <c r="E365" i="3"/>
  <c r="E524" i="3"/>
  <c r="E101" i="3"/>
  <c r="E165" i="3"/>
  <c r="E244" i="3"/>
  <c r="E149" i="3"/>
  <c r="E167" i="3"/>
  <c r="E141" i="3"/>
  <c r="E312" i="3"/>
  <c r="AD6" i="3"/>
  <c r="E542" i="3"/>
  <c r="E552" i="3"/>
  <c r="E421" i="3"/>
  <c r="E464" i="3"/>
  <c r="E487" i="3"/>
  <c r="E398" i="3"/>
  <c r="E416" i="3"/>
  <c r="E459" i="3"/>
  <c r="E374" i="3"/>
  <c r="E500" i="3"/>
  <c r="E582" i="3"/>
  <c r="E413" i="3"/>
  <c r="E520" i="3"/>
  <c r="E39" i="3"/>
  <c r="E57" i="3"/>
  <c r="E187" i="3"/>
  <c r="E240" i="3"/>
  <c r="E259" i="3"/>
  <c r="E375" i="3"/>
  <c r="E58" i="3"/>
  <c r="E488" i="3"/>
  <c r="E521" i="3"/>
  <c r="E18" i="3"/>
  <c r="E38" i="3"/>
  <c r="E100" i="3"/>
  <c r="E170" i="3"/>
  <c r="E137" i="3"/>
  <c r="E194" i="3"/>
  <c r="E234" i="3"/>
  <c r="E219" i="3"/>
  <c r="E324" i="3"/>
  <c r="E383" i="3"/>
  <c r="E342" i="3"/>
  <c r="E522" i="3"/>
  <c r="E52" i="3"/>
  <c r="E36" i="3"/>
  <c r="E112" i="3"/>
  <c r="E123" i="3"/>
  <c r="E147" i="3"/>
  <c r="E289" i="3"/>
  <c r="E370" i="3"/>
  <c r="AF6" i="3"/>
  <c r="E50" i="3"/>
  <c r="E20" i="3"/>
  <c r="E62" i="3"/>
  <c r="E176" i="3"/>
  <c r="E218" i="3"/>
  <c r="E308" i="3"/>
  <c r="E326" i="3"/>
  <c r="E22" i="3"/>
  <c r="E83" i="3"/>
  <c r="K1" i="73"/>
  <c r="B15" i="71"/>
  <c r="B14" i="71" s="1"/>
  <c r="B13" i="71" s="1"/>
  <c r="B12" i="71" s="1"/>
  <c r="S16" i="71"/>
  <c r="F66" i="71"/>
  <c r="Q67" i="71"/>
  <c r="D43" i="71"/>
  <c r="C44" i="71"/>
  <c r="U39" i="40"/>
  <c r="AB39" i="40"/>
  <c r="AB38" i="40"/>
  <c r="U38" i="40"/>
  <c r="AB23" i="36"/>
  <c r="U23" i="36"/>
  <c r="AC36" i="35"/>
  <c r="W36" i="35"/>
  <c r="AA34" i="35"/>
  <c r="S34" i="35"/>
  <c r="T36" i="71"/>
  <c r="D36" i="71"/>
  <c r="AC38" i="40"/>
  <c r="W38" i="40"/>
  <c r="AA23" i="36"/>
  <c r="S23" i="36"/>
  <c r="AB34" i="35"/>
  <c r="U34" i="35"/>
  <c r="S12" i="34"/>
  <c r="AA12" i="34"/>
  <c r="E11" i="71"/>
  <c r="E10" i="71" s="1"/>
  <c r="E9" i="71" s="1"/>
  <c r="E8" i="71" s="1"/>
  <c r="E7" i="71" s="1"/>
  <c r="E6" i="71" s="1"/>
  <c r="E5" i="71" s="1"/>
  <c r="V12" i="71"/>
  <c r="C15" i="71"/>
  <c r="T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J83" i="43" l="1"/>
  <c r="D83" i="43"/>
  <c r="D90" i="43"/>
  <c r="J90" i="43"/>
  <c r="D87" i="43"/>
  <c r="J87" i="43"/>
  <c r="D88" i="43"/>
  <c r="J88" i="43"/>
  <c r="D89" i="43"/>
  <c r="J89" i="43"/>
  <c r="D84" i="43"/>
  <c r="J84" i="43"/>
  <c r="D86" i="43"/>
  <c r="J86" i="43"/>
  <c r="B40" i="1"/>
  <c r="L36" i="43" s="1"/>
  <c r="P36" i="43" s="1"/>
  <c r="D15" i="71"/>
  <c r="C14" i="71"/>
  <c r="Q66" i="71"/>
  <c r="Q65" i="71"/>
  <c r="B11" i="71"/>
  <c r="B10" i="71" s="1"/>
  <c r="B9" i="71" s="1"/>
  <c r="B8" i="71" s="1"/>
  <c r="B7" i="71" s="1"/>
  <c r="B6" i="71" s="1"/>
  <c r="B5" i="71" s="1"/>
  <c r="S12" i="71"/>
  <c r="E65" i="39"/>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83" i="43" l="1"/>
  <c r="B81" i="43" s="1"/>
  <c r="C28" i="43" s="1"/>
  <c r="D116" i="43"/>
  <c r="F25" i="12"/>
  <c r="C26" i="12" s="1"/>
  <c r="D25" i="12" s="1"/>
  <c r="L37" i="43"/>
  <c r="M37" i="43" s="1"/>
  <c r="F22" i="68"/>
  <c r="F41" i="68" s="1"/>
  <c r="F24" i="67"/>
  <c r="C24" i="67" s="1"/>
  <c r="F24" i="15"/>
  <c r="C24" i="15" s="1"/>
  <c r="F22" i="11"/>
  <c r="C23" i="11" s="1"/>
  <c r="F22" i="69"/>
  <c r="F41" i="69" s="1"/>
  <c r="O36" i="43"/>
  <c r="N36" i="43"/>
  <c r="M36" i="43"/>
  <c r="Q36" i="43"/>
  <c r="D14" i="71"/>
  <c r="C13" i="71"/>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26" i="68" l="1"/>
  <c r="D22" i="68" s="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C37" i="43"/>
  <c r="C39" i="43"/>
  <c r="C38" i="43"/>
  <c r="N37" i="43"/>
  <c r="C44" i="11"/>
  <c r="D41" i="11" s="1"/>
  <c r="Q37" i="43"/>
  <c r="C44" i="68"/>
  <c r="D41" i="68" s="1"/>
  <c r="O37" i="43"/>
  <c r="C26" i="11"/>
  <c r="D22" i="11" s="1"/>
  <c r="C24" i="11"/>
  <c r="C25" i="11"/>
  <c r="C44" i="69"/>
  <c r="D41" i="69" s="1"/>
  <c r="C26" i="69"/>
  <c r="D22" i="69" s="1"/>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8" i="43" l="1"/>
  <c r="G38" i="43"/>
  <c r="I38" i="43" s="1"/>
  <c r="G37" i="43"/>
  <c r="I37" i="43" s="1"/>
  <c r="E37" i="43"/>
  <c r="G41" i="43"/>
  <c r="I41" i="43" s="1"/>
  <c r="E41" i="43"/>
  <c r="G39" i="43"/>
  <c r="I39" i="43" s="1"/>
  <c r="E39" i="43"/>
  <c r="C34" i="43"/>
  <c r="E34" i="43" s="1"/>
  <c r="E33" i="43"/>
  <c r="E42" i="43"/>
  <c r="G42" i="43"/>
  <c r="I42" i="43" s="1"/>
  <c r="G40" i="43"/>
  <c r="I40" i="43" s="1"/>
  <c r="E40"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1" i="43" l="1"/>
  <c r="C30" i="43"/>
  <c r="C21" i="12"/>
  <c r="C22" i="12" s="1"/>
  <c r="C30" i="12" s="1"/>
  <c r="C28" i="12" s="1"/>
  <c r="C10" i="71"/>
  <c r="D11"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E6" i="76"/>
  <c r="C39" i="68" l="1"/>
  <c r="C43" i="68" s="1"/>
  <c r="C91" i="9"/>
  <c r="E2" i="76"/>
  <c r="B2" i="43"/>
  <c r="C6" i="68" s="1"/>
  <c r="C27" i="12"/>
  <c r="C25" i="12" s="1"/>
  <c r="C32" i="12" s="1"/>
  <c r="B2" i="12" s="1"/>
  <c r="B3" i="12" s="1"/>
  <c r="D10" i="71"/>
  <c r="C9" i="7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B6" i="76"/>
  <c r="M21" i="67"/>
  <c r="F35" i="67"/>
  <c r="F35" i="15"/>
  <c r="C92" i="9" l="1"/>
  <c r="C7" i="68"/>
  <c r="C5"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7" i="71"/>
  <c r="C6"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C39" i="15" l="1"/>
  <c r="Q69" i="15" s="1"/>
  <c r="Q68" i="15" s="1"/>
  <c r="H34" i="15"/>
  <c r="C31" i="68"/>
  <c r="C52" i="68" s="1"/>
  <c r="B2" i="68" s="1"/>
  <c r="C5" i="71"/>
  <c r="D5" i="71" s="1"/>
  <c r="M24" i="43" s="1"/>
  <c r="D6"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C19" i="9"/>
  <c r="D2" i="36"/>
  <c r="D2" i="35"/>
  <c r="D2" i="37"/>
  <c r="L51" i="15"/>
  <c r="D2" i="34"/>
  <c r="C40" i="15" l="1"/>
  <c r="C46" i="15" s="1"/>
  <c r="C102" i="9"/>
  <c r="C21" i="9"/>
  <c r="B3" i="68"/>
  <c r="C57" i="68"/>
  <c r="C56" i="68" s="1"/>
  <c r="Q57" i="67"/>
  <c r="Q62" i="67" s="1"/>
  <c r="Q66" i="67"/>
  <c r="Q75" i="67" s="1"/>
  <c r="B3" i="67"/>
  <c r="L57" i="15"/>
  <c r="L60" i="15" s="1"/>
  <c r="Q57" i="15" s="1"/>
  <c r="Q67" i="15"/>
  <c r="B2" i="36"/>
  <c r="B3" i="36" s="1"/>
  <c r="B2" i="35"/>
  <c r="B3" i="35" s="1"/>
  <c r="M3" i="35"/>
  <c r="B2" i="37"/>
  <c r="B3" i="37" s="1"/>
  <c r="B2" i="34"/>
  <c r="B3" i="34" s="1"/>
  <c r="C83" i="15"/>
  <c r="C82" i="15" s="1"/>
  <c r="W7" i="39"/>
  <c r="AC7" i="39"/>
  <c r="V47" i="39" s="1"/>
  <c r="I47" i="39" s="1"/>
  <c r="E47" i="39"/>
  <c r="R48" i="39"/>
  <c r="U7" i="39"/>
  <c r="AB7" i="39"/>
  <c r="T47" i="39" s="1"/>
  <c r="G47" i="39" s="1"/>
  <c r="J7" i="40"/>
  <c r="F7" i="40"/>
  <c r="H7" i="40"/>
  <c r="AO7" i="1"/>
  <c r="D34" i="9"/>
  <c r="AO12" i="1"/>
  <c r="AO8" i="1"/>
  <c r="D35" i="9"/>
  <c r="AO11" i="1"/>
  <c r="C20" i="9"/>
  <c r="AO10" i="1"/>
  <c r="AO9" i="1"/>
  <c r="C43" i="15" l="1"/>
  <c r="Q56" i="15"/>
  <c r="Q65" i="15"/>
  <c r="Q47" i="15"/>
  <c r="Q53" i="15" s="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L6" i="80" l="1"/>
  <c r="D14" i="74"/>
  <c r="G14" i="74" s="1"/>
  <c r="G21" i="9"/>
  <c r="L2" i="80"/>
  <c r="D103" i="9"/>
  <c r="G20" i="9"/>
  <c r="C32" i="9" s="1"/>
  <c r="C35" i="9" s="1"/>
  <c r="C34" i="9" s="1"/>
  <c r="C42" i="40"/>
  <c r="C43" i="40"/>
  <c r="E47" i="40"/>
  <c r="F47" i="40" s="1"/>
  <c r="E46" i="40"/>
  <c r="F46" i="40" s="1"/>
  <c r="I47" i="40"/>
  <c r="J47" i="40" s="1"/>
  <c r="L8" i="80"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G118" i="9" s="1"/>
  <c r="G4" i="52" s="1"/>
  <c r="B52" i="72" s="1"/>
  <c r="D118" i="9"/>
  <c r="D4" i="52" s="1"/>
  <c r="B47" i="72" s="1"/>
  <c r="H118" i="9"/>
  <c r="C104" i="9" s="1"/>
  <c r="H101" i="9" l="1"/>
  <c r="M48" i="9" s="1"/>
  <c r="I118" i="9"/>
  <c r="C105" i="9" s="1"/>
  <c r="F119" i="9"/>
  <c r="F5" i="52" s="1"/>
  <c r="B53" i="72" s="1"/>
  <c r="D119" i="9"/>
  <c r="D5" i="52" s="1"/>
  <c r="B49" i="72" s="1"/>
  <c r="F4" i="52"/>
  <c r="B51" i="72" s="1"/>
  <c r="E118" i="9"/>
  <c r="E4" i="52" s="1"/>
  <c r="B48" i="72" s="1"/>
  <c r="H102" i="9"/>
  <c r="I4" i="52"/>
  <c r="H4" i="52"/>
  <c r="D45" i="9"/>
  <c r="H119" i="9"/>
  <c r="H5" i="52" s="1"/>
  <c r="D5" i="53" l="1"/>
  <c r="B20" i="72" s="1"/>
  <c r="H109" i="9"/>
  <c r="H107" i="9"/>
  <c r="D13" i="53" s="1"/>
  <c r="D124" i="9"/>
  <c r="M49" i="9"/>
  <c r="H110" i="9"/>
  <c r="D16" i="53"/>
  <c r="D55" i="9"/>
  <c r="M53" i="9" s="1"/>
  <c r="D52" i="9"/>
  <c r="C78" i="9"/>
  <c r="C73" i="9" s="1"/>
  <c r="D53" i="9"/>
  <c r="D48" i="9" s="1"/>
  <c r="M52" i="9" s="1"/>
  <c r="C85" i="9"/>
  <c r="C93" i="9"/>
  <c r="C86" i="9" s="1"/>
  <c r="C72" i="9"/>
  <c r="C64" i="9"/>
  <c r="C63" i="9" s="1"/>
  <c r="C67" i="9" s="1"/>
  <c r="C68" i="9" s="1"/>
  <c r="D54" i="9" s="1"/>
  <c r="C5" i="74"/>
  <c r="D7" i="53"/>
  <c r="B21" i="72" s="1"/>
  <c r="C79" i="9" l="1"/>
  <c r="H108" i="9"/>
  <c r="D6" i="53"/>
  <c r="B22" i="72" s="1"/>
  <c r="D122" i="9"/>
  <c r="D123" i="9" s="1"/>
  <c r="D9" i="52" s="1"/>
  <c r="C80" i="9"/>
  <c r="E80" i="9" s="1"/>
  <c r="E81" i="9" s="1"/>
  <c r="C95" i="9"/>
  <c r="C6" i="74"/>
  <c r="D15" i="53"/>
  <c r="B31" i="72" s="1"/>
  <c r="B34" i="72"/>
  <c r="D17" i="53"/>
  <c r="B36" i="72" s="1"/>
  <c r="L66" i="9"/>
  <c r="M66" i="9" s="1"/>
  <c r="L64" i="9"/>
  <c r="M64" i="9" s="1"/>
  <c r="L68" i="9"/>
  <c r="M68" i="9" s="1"/>
  <c r="L65" i="9"/>
  <c r="M65" i="9" s="1"/>
  <c r="L67" i="9"/>
  <c r="M67" i="9" s="1"/>
  <c r="L63" i="9"/>
  <c r="M63" i="9" s="1"/>
  <c r="D8" i="52"/>
  <c r="B30" i="72"/>
  <c r="D14" i="53"/>
  <c r="B32" i="72" s="1"/>
  <c r="D18" i="53"/>
  <c r="B35" i="72" s="1"/>
  <c r="C7" i="74"/>
  <c r="D10" i="52"/>
  <c r="D125" i="9"/>
  <c r="D11" i="52" s="1"/>
  <c r="M69" i="9" l="1"/>
  <c r="N69" i="9" s="1"/>
  <c r="C81" i="9"/>
  <c r="C96" i="9"/>
  <c r="E96" i="9" s="1"/>
  <c r="E97" i="9" s="1"/>
  <c r="C97" i="9" l="1"/>
  <c r="D58" i="9" s="1"/>
  <c r="D56" i="9" s="1"/>
  <c r="M54" i="9" s="1"/>
  <c r="N57" i="9" s="1"/>
  <c r="P57" i="9" l="1"/>
  <c r="N58" i="9"/>
  <c r="N59" i="9"/>
  <c r="N60" i="9" l="1"/>
  <c r="M2" i="80"/>
  <c r="N61" i="9"/>
  <c r="M6" i="80"/>
  <c r="M8"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<sst xmlns="http://schemas.openxmlformats.org/spreadsheetml/2006/main" count="7969" uniqueCount="3501">
  <si>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</si>
  <si>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</si>
  <si>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</si>
  <si>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</si>
  <si>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</si>
  <si>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</si>
  <si>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</si>
  <si>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</si>
  <si>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</si>
  <si>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</si>
  <si>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</si>
  <si>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</si>
  <si>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</si>
  <si>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</si>
  <si>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</si>
  <si>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</si>
  <si>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</si>
  <si>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</si>
  <si>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</si>
  <si>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</si>
  <si>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</si>
  <si>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</si>
  <si>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</si>
  <si>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</si>
  <si>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</si>
  <si>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</si>
  <si>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</si>
  <si>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</si>
  <si>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</si>
  <si>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</si>
  <si>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</si>
  <si>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</si>
  <si>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</si>
  <si>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</si>
  <si>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</si>
  <si>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</si>
  <si>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</si>
  <si>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</si>
  <si>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</si>
  <si>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</si>
  <si>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</si>
  <si>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</si>
  <si>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</si>
  <si>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</si>
  <si>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</si>
  <si>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</si>
  <si>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</si>
  <si>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</si>
  <si>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</si>
  <si>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</si>
  <si>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</si>
  <si>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</si>
  <si>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</si>
  <si>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</si>
  <si>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</si>
  <si>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</si>
  <si>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</si>
  <si>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</si>
  <si>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</si>
  <si>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</si>
  <si>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</si>
  <si>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</si>
  <si>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</si>
  <si>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</si>
  <si>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</si>
  <si>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</si>
  <si>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</si>
  <si>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</si>
  <si>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</si>
  <si>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</si>
  <si>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</si>
  <si>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</si>
  <si>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</si>
  <si>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</si>
  <si>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</si>
  <si>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</si>
  <si>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</si>
  <si>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</si>
  <si>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</si>
  <si>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</si>
  <si>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</si>
  <si>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</si>
  <si>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</si>
  <si>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</si>
  <si>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</si>
  <si>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</si>
  <si>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</si>
  <si>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</si>
  <si>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</si>
  <si>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</si>
  <si>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</si>
  <si>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</si>
  <si>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</si>
  <si>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</si>
  <si>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</si>
  <si>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</si>
  <si>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</si>
  <si>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</si>
  <si>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</si>
  <si>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</si>
  <si>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</si>
  <si>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</si>
  <si>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</si>
  <si>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</si>
  <si>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</si>
  <si>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</si>
  <si>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</si>
  <si>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</si>
  <si>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</si>
  <si>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</si>
  <si>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</si>
  <si>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</si>
  <si>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</si>
  <si>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</si>
  <si>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</si>
  <si>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</si>
  <si>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</si>
  <si>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</si>
  <si>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</si>
  <si>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</si>
  <si>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</si>
  <si>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</si>
  <si>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</si>
  <si>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</si>
  <si>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</si>
  <si>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</si>
  <si>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</si>
  <si>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</si>
  <si>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</si>
  <si>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</si>
  <si>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</si>
  <si>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</si>
  <si>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</si>
  <si>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</si>
  <si>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</si>
  <si>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</si>
  <si>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</si>
  <si>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</si>
  <si>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</si>
  <si>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</si>
  <si>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</si>
  <si>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</si>
  <si>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</si>
  <si>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</si>
  <si>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</si>
  <si>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</si>
  <si>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</si>
  <si>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</si>
  <si>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</si>
  <si>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</si>
  <si>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</si>
  <si>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</si>
  <si>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</si>
  <si>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</si>
  <si>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</si>
  <si>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</si>
  <si>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</si>
  <si>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</si>
  <si>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</si>
  <si>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</si>
  <si>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</si>
  <si>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</si>
  <si>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</si>
  <si>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</si>
  <si>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</si>
  <si>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</si>
  <si>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</si>
  <si>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</si>
  <si>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</si>
  <si>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</si>
  <si>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</si>
  <si>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</si>
  <si>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</si>
  <si>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</si>
  <si>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</si>
  <si>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</si>
  <si>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</si>
  <si>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</si>
  <si>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</si>
  <si>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</si>
  <si>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</si>
  <si>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</si>
  <si>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</si>
  <si>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</si>
  <si>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</si>
  <si>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</si>
  <si>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</si>
  <si>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</si>
  <si>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</si>
  <si>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</si>
  <si>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</si>
  <si>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</si>
  <si>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</si>
  <si>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</si>
  <si>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</si>
  <si>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</si>
  <si>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</si>
  <si>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</si>
  <si>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</si>
  <si>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</si>
  <si>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</si>
  <si>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</si>
  <si>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</si>
  <si>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</si>
  <si>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</si>
  <si>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</si>
  <si>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</si>
  <si>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</si>
  <si>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</si>
  <si>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</si>
  <si>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</si>
  <si>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</si>
  <si>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</si>
  <si>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</si>
  <si>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</si>
  <si>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</si>
  <si>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</si>
  <si>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</si>
  <si>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</si>
  <si>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</si>
  <si>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</si>
  <si>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</si>
  <si>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</si>
  <si>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</si>
  <si>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</si>
  <si>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</si>
  <si>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</si>
  <si>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</si>
  <si>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</si>
  <si>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</si>
  <si>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</si>
  <si>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</si>
  <si>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</si>
  <si>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</si>
  <si>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</si>
  <si>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</si>
  <si>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</si>
  <si>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</si>
  <si>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</si>
  <si>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</si>
  <si>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</si>
  <si>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</si>
  <si>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</si>
  <si>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</si>
  <si>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</si>
  <si>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</si>
  <si>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</si>
  <si>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</si>
  <si>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</si>
  <si>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</si>
  <si>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</si>
  <si>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</si>
  <si>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</si>
  <si>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</si>
  <si>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</si>
  <si>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</si>
  <si>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</si>
  <si>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</si>
  <si>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</si>
  <si>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</si>
  <si>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</si>
  <si>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</si>
  <si>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</si>
  <si>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</si>
  <si>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</si>
  <si>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</si>
  <si>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</si>
  <si>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</si>
  <si>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</si>
  <si>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</si>
  <si>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</si>
  <si>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</si>
  <si>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</si>
  <si>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</si>
  <si>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</si>
  <si>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</si>
  <si>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</si>
  <si>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</si>
  <si>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</si>
  <si>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</si>
  <si>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</si>
  <si>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</si>
  <si>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</si>
  <si>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</si>
  <si>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</si>
  <si>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</si>
  <si>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</si>
  <si>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</si>
  <si>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</si>
  <si>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</si>
  <si>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</si>
  <si>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</si>
  <si>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</si>
  <si>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</si>
  <si>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</si>
  <si>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</si>
  <si>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</si>
  <si>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</si>
  <si>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</si>
  <si>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</si>
  <si>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</si>
  <si>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</si>
  <si>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</si>
  <si>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</si>
  <si>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</si>
  <si>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</si>
  <si>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</si>
  <si>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</si>
  <si>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</si>
  <si>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</si>
  <si>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</si>
  <si>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</si>
  <si>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</si>
  <si>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</si>
  <si>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</si>
  <si>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</si>
  <si>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</si>
  <si>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</si>
  <si>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</si>
  <si>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</si>
  <si>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</si>
  <si>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</si>
  <si>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</si>
  <si>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</si>
  <si>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</si>
  <si>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</si>
  <si>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</si>
  <si>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</si>
  <si>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</si>
  <si>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</si>
  <si>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</si>
  <si>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</si>
  <si>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</si>
  <si>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</si>
  <si>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</si>
  <si>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</si>
  <si>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</si>
  <si>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</si>
  <si>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</si>
  <si>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</si>
  <si>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</si>
  <si>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</si>
  <si>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</si>
  <si>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</si>
  <si>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</si>
  <si>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</si>
  <si>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</si>
  <si>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</si>
  <si>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</si>
  <si>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</si>
  <si>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</si>
  <si>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</si>
  <si>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</si>
  <si>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</si>
  <si>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</si>
  <si>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</si>
  <si>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</si>
  <si>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</si>
  <si>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</si>
  <si>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</si>
  <si>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</si>
  <si>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</si>
  <si>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</si>
  <si>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</si>
  <si>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</si>
  <si>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</si>
  <si>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</si>
  <si>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</si>
  <si>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</si>
  <si>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</si>
  <si>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</si>
  <si>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</si>
  <si>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</si>
  <si>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</si>
  <si>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</si>
  <si>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</si>
  <si>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</si>
  <si>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</si>
  <si>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</si>
  <si>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</si>
  <si>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</si>
  <si>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</si>
  <si>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</si>
  <si>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</si>
  <si>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</si>
  <si>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</si>
  <si>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</si>
  <si>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</si>
  <si>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</si>
  <si>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</si>
  <si>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</si>
  <si>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</si>
  <si>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</si>
  <si>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</si>
  <si>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</si>
  <si>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</si>
  <si>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</si>
  <si>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</si>
  <si>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</si>
  <si>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</si>
  <si>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</si>
  <si>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</si>
  <si>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</si>
  <si>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</si>
  <si>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</si>
  <si>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</si>
  <si>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</si>
  <si>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</si>
  <si>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</si>
  <si>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</si>
  <si>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</si>
  <si>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</si>
  <si>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</si>
  <si>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</si>
  <si>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</si>
  <si>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</si>
  <si>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</si>
  <si>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</si>
  <si>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</si>
  <si>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</si>
  <si>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</si>
  <si>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</si>
  <si>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</si>
  <si>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</si>
  <si>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</si>
  <si>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</si>
  <si>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</si>
  <si>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</si>
  <si>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</si>
  <si>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</si>
  <si>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</si>
  <si>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</si>
  <si>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</si>
  <si>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</si>
  <si>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</si>
  <si>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</si>
  <si>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</si>
  <si>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</si>
  <si>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</si>
  <si>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</si>
  <si>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</si>
  <si>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</si>
  <si>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</si>
  <si>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</si>
  <si>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</si>
  <si>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</si>
  <si>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</si>
  <si>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</si>
  <si>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</si>
  <si>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</si>
  <si>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</si>
  <si>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</si>
  <si>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</si>
  <si>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</si>
  <si>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</si>
  <si>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</si>
  <si>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</si>
  <si>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</si>
  <si>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</si>
  <si>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</si>
  <si>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</si>
  <si>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</si>
  <si>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</si>
  <si>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</si>
  <si>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</si>
  <si>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</si>
  <si>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</si>
  <si>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</si>
  <si>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</si>
  <si>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</si>
  <si>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</si>
  <si>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</si>
  <si>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</si>
  <si>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</si>
  <si>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</si>
  <si>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</si>
  <si>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</si>
  <si>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</si>
  <si>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</si>
  <si>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</si>
  <si>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</si>
  <si>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</si>
  <si>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</si>
  <si>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</si>
  <si>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</si>
  <si>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</si>
  <si>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</si>
  <si>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</si>
  <si>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</si>
  <si>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</si>
  <si>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</si>
  <si>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</si>
  <si>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</si>
  <si>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</si>
  <si>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</si>
  <si>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</si>
  <si>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</si>
  <si>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</si>
  <si>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</si>
  <si>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</si>
  <si>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</si>
  <si>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</si>
  <si>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</si>
  <si>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</si>
  <si>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</si>
  <si>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</si>
  <si>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</si>
  <si>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</si>
  <si>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</si>
  <si>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</si>
  <si>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</si>
  <si>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</si>
  <si>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</si>
  <si>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</si>
  <si>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</si>
  <si>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</si>
  <si>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</si>
  <si>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</si>
  <si>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</si>
  <si>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</si>
  <si>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</si>
  <si>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</si>
  <si>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</si>
  <si>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</si>
  <si>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</si>
  <si>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</si>
  <si>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</si>
  <si>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</si>
  <si>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</si>
  <si>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</si>
  <si>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</si>
  <si>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</si>
  <si>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</si>
  <si>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</si>
  <si>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</si>
  <si>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</si>
  <si>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</si>
  <si>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</si>
  <si>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</si>
  <si>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</si>
  <si>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</si>
  <si>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</si>
  <si>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</si>
  <si>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</si>
  <si>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</si>
  <si>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</si>
  <si>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</si>
  <si>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</si>
  <si>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</si>
  <si>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</si>
  <si>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</si>
  <si>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</si>
  <si>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</si>
  <si>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</si>
  <si>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</si>
  <si>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</si>
  <si>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</si>
  <si>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</si>
  <si>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</si>
  <si>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</si>
  <si>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</si>
  <si>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</si>
  <si>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</si>
  <si>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</si>
  <si>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</si>
  <si>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</si>
  <si>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</si>
  <si>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</si>
  <si>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</si>
  <si>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</si>
  <si>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</si>
  <si>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</si>
  <si>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</si>
  <si>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</si>
  <si>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</si>
  <si>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</si>
  <si>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</si>
  <si>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</si>
  <si>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</si>
  <si>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</si>
  <si>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</si>
  <si>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</si>
  <si>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</si>
  <si>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</si>
  <si>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</si>
  <si>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</si>
  <si>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</si>
  <si>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</si>
  <si>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</si>
  <si>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</si>
  <si>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</si>
  <si>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</si>
  <si>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</si>
  <si>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</si>
  <si>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</si>
  <si>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</si>
  <si>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</si>
  <si>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</si>
  <si>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</si>
  <si>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</si>
  <si>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</si>
  <si>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</si>
  <si>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</si>
  <si>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</si>
  <si>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</si>
  <si>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</si>
  <si>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</si>
  <si>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</si>
  <si>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</si>
  <si>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</si>
  <si>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</si>
  <si>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</si>
  <si>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</si>
  <si>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</si>
  <si>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</si>
  <si>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</si>
  <si>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</si>
  <si>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</si>
  <si>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</si>
  <si>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</si>
  <si>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</si>
  <si>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</si>
  <si>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</si>
  <si>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</si>
  <si>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</si>
  <si>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</si>
  <si>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</si>
  <si>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</si>
  <si>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</si>
  <si>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</si>
  <si>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</si>
  <si>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</si>
  <si>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</si>
  <si>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</si>
  <si>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</si>
  <si>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</si>
  <si>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</si>
  <si>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</si>
  <si>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</si>
  <si>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</si>
  <si>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</si>
  <si>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</si>
  <si>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</si>
  <si>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</si>
  <si>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</si>
  <si>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</si>
  <si>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</si>
  <si>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</si>
  <si>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</si>
  <si>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</si>
  <si>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</si>
  <si>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</si>
  <si>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</si>
  <si>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</si>
  <si>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</si>
  <si>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</si>
  <si>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</si>
  <si>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</si>
  <si>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</si>
  <si>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</si>
  <si>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</si>
  <si>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</si>
  <si>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</si>
  <si>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</si>
  <si>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</si>
  <si>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</si>
  <si>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</si>
  <si>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</si>
  <si>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</si>
  <si>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</si>
  <si>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</si>
  <si>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</si>
  <si>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</si>
  <si>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</si>
  <si>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</si>
  <si>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</si>
  <si>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</si>
  <si>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</si>
  <si>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</si>
  <si>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</si>
  <si>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</si>
  <si>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</si>
  <si>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</si>
  <si>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</si>
  <si>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</si>
  <si>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</si>
  <si>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</si>
  <si>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</si>
  <si>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</si>
  <si>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</si>
  <si>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</si>
  <si>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</si>
  <si>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</si>
  <si>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</si>
  <si>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</si>
  <si>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</si>
  <si>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</si>
  <si>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</si>
  <si>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</si>
  <si>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</si>
  <si>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</si>
  <si>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</si>
  <si>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</si>
  <si>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</si>
  <si>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</si>
  <si>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</si>
  <si>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</si>
  <si>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</si>
  <si>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</si>
  <si>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</si>
  <si>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</si>
  <si>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</si>
  <si>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</si>
  <si>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</si>
  <si>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</si>
  <si>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</si>
  <si>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</si>
  <si>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</si>
  <si>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</si>
  <si>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</si>
  <si>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</si>
  <si>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</si>
  <si>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</si>
  <si>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</si>
  <si>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</si>
  <si>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</si>
  <si>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</si>
  <si>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</si>
  <si>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</si>
  <si>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</si>
  <si>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</si>
  <si>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</si>
  <si>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</si>
  <si>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</si>
  <si>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</si>
  <si>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</si>
  <si>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</si>
  <si>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</si>
  <si>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</si>
  <si>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</si>
  <si>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</si>
  <si>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</si>
  <si>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</si>
  <si>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</si>
  <si>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</si>
  <si>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</si>
  <si>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</si>
  <si>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</si>
  <si>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</si>
  <si>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</si>
  <si>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</si>
  <si>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</si>
  <si>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</si>
  <si>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</si>
  <si>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</si>
  <si>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</si>
  <si>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</si>
  <si>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</si>
  <si>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</si>
  <si>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</si>
  <si>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</si>
  <si>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</si>
  <si>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</si>
  <si>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</si>
  <si>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</si>
  <si>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</si>
  <si>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</si>
  <si>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</si>
  <si>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</si>
  <si>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</si>
  <si>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</si>
  <si>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</si>
  <si>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</si>
  <si>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</si>
  <si>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</si>
  <si>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</si>
  <si>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</si>
  <si>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</si>
  <si>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</si>
  <si>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</si>
  <si>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</si>
  <si>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</si>
  <si>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</si>
  <si>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</si>
  <si>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</si>
  <si>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</si>
  <si>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</si>
  <si>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</si>
  <si>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</si>
  <si>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</si>
  <si>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</si>
  <si>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</si>
  <si>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</si>
  <si>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</si>
  <si>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</si>
  <si>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</si>
  <si>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</si>
  <si>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</si>
  <si>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</si>
  <si>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</si>
  <si>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</si>
  <si>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</si>
  <si>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</si>
  <si>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</si>
  <si>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</si>
  <si>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</si>
  <si>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</si>
  <si>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</si>
  <si>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</si>
  <si>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</si>
  <si>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</si>
  <si>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</si>
  <si>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</si>
  <si>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</si>
  <si>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</si>
  <si>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</si>
  <si>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</si>
  <si>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</si>
  <si>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</si>
  <si>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</si>
  <si>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</si>
  <si>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</si>
  <si>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</si>
  <si>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</si>
  <si>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</si>
  <si>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</si>
  <si>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</si>
  <si>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</si>
  <si>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</si>
  <si>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</si>
  <si>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</si>
  <si>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</si>
  <si>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</si>
  <si>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</si>
  <si>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</si>
  <si>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</si>
  <si>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</si>
  <si>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</si>
  <si>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</si>
  <si>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</si>
  <si>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</si>
  <si>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</si>
  <si>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</si>
  <si>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</si>
  <si>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</si>
  <si>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</si>
  <si>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</si>
  <si>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</si>
  <si>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</si>
  <si>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</si>
  <si>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</si>
  <si>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</si>
  <si>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</si>
  <si>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</si>
  <si>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</si>
  <si>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</si>
  <si>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</si>
  <si>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</si>
  <si>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</si>
  <si>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</si>
  <si>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</si>
  <si>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</si>
  <si>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</si>
  <si>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</si>
  <si>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</si>
  <si>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</si>
  <si>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</si>
  <si>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</si>
  <si>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</si>
  <si>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</si>
  <si>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</si>
  <si>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</si>
  <si>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</si>
  <si>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</si>
  <si>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</si>
  <si>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</si>
  <si>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</si>
  <si>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</si>
  <si>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</si>
  <si>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</si>
  <si>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</si>
  <si>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</si>
  <si>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</si>
  <si>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</si>
  <si>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</si>
  <si>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</si>
  <si>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</si>
  <si>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</si>
  <si>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</si>
  <si>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</si>
  <si>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</si>
  <si>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</si>
  <si>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</si>
  <si>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</si>
  <si>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</si>
  <si>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</si>
  <si>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</si>
  <si>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</si>
  <si>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</si>
  <si>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</si>
  <si>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</si>
  <si>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</si>
  <si>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</si>
  <si>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</si>
  <si>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</si>
  <si>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</si>
  <si>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</si>
  <si>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</si>
  <si>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</si>
  <si>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</si>
  <si>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</si>
  <si>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</si>
  <si>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</si>
  <si>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</si>
  <si>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</si>
  <si>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</si>
  <si>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</si>
  <si>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</si>
  <si>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</si>
  <si>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</si>
  <si>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</si>
  <si>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</si>
  <si>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</si>
  <si>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</si>
  <si>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</si>
  <si>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</si>
  <si>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</si>
  <si>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</si>
  <si>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</si>
  <si>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</si>
  <si>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</si>
  <si>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</si>
  <si>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</si>
  <si>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</si>
  <si>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</si>
  <si>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</si>
  <si>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</si>
  <si>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</si>
  <si>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</si>
  <si>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</si>
  <si>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</si>
  <si>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</si>
  <si>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</si>
  <si>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</si>
  <si>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</si>
  <si>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</si>
  <si>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</si>
  <si>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</si>
  <si>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</si>
  <si>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</si>
  <si>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</si>
  <si>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</si>
  <si>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</si>
  <si>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</si>
  <si>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</si>
  <si>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</si>
  <si>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</si>
  <si>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</si>
  <si>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</si>
  <si>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</si>
  <si>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</si>
  <si>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</si>
  <si>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</si>
  <si>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</si>
  <si>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</si>
  <si>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</si>
  <si>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</si>
  <si>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</si>
  <si>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</si>
  <si>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</si>
  <si>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</si>
  <si>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</si>
  <si>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</si>
  <si>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</si>
  <si>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</si>
  <si>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</si>
  <si>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</si>
  <si>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</si>
  <si>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</si>
  <si>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</si>
  <si>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</si>
  <si>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</si>
  <si>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</si>
  <si>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</si>
  <si>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</si>
  <si>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</si>
  <si>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</si>
  <si>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</si>
  <si>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</si>
  <si>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</si>
  <si>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</si>
  <si>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</si>
  <si>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</si>
  <si>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</si>
  <si>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</si>
  <si>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</si>
  <si>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</si>
  <si>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</si>
  <si>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</si>
  <si>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</si>
  <si>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</si>
  <si>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</si>
  <si>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</si>
  <si>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</si>
  <si>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</si>
  <si>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</si>
  <si>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</si>
  <si>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</si>
  <si>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</si>
  <si>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</si>
  <si>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</si>
  <si>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</si>
  <si>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</si>
  <si>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</si>
  <si>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</si>
  <si>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</si>
  <si>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</si>
  <si>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</si>
  <si>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</si>
  <si>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</si>
  <si>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</si>
  <si>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</si>
  <si>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</si>
  <si>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</si>
  <si>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</si>
  <si>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</si>
  <si>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</si>
  <si>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</si>
  <si>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</si>
  <si>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</si>
  <si>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</si>
  <si>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</si>
  <si>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</si>
  <si>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</si>
  <si>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</si>
  <si>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</si>
  <si>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</si>
  <si>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</si>
  <si>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</si>
  <si>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</si>
  <si>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</si>
  <si>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</si>
  <si>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</si>
  <si>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</si>
  <si>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</si>
  <si>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</si>
  <si>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</si>
  <si>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</si>
  <si>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</si>
  <si>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</si>
  <si>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</si>
  <si>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</si>
  <si>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</si>
  <si>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</si>
  <si>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</si>
  <si>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</si>
  <si>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</si>
  <si>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</si>
  <si>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</si>
  <si>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</si>
  <si>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</si>
  <si>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</si>
  <si>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</si>
  <si>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</si>
  <si>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</si>
  <si>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</si>
  <si>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</si>
  <si>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</si>
  <si>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</si>
  <si>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</si>
  <si>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</si>
  <si>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</si>
  <si>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</si>
  <si>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</si>
  <si>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</si>
  <si>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</si>
  <si>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</si>
  <si>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</si>
  <si>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</si>
  <si>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</si>
  <si>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</si>
  <si>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</si>
  <si>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</si>
  <si>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</si>
  <si>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</si>
  <si>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</si>
  <si>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</si>
  <si>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</si>
  <si>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</si>
  <si>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</si>
  <si>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</si>
  <si>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</si>
  <si>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</si>
  <si>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</si>
  <si>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</si>
  <si>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</si>
  <si>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</si>
  <si>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</si>
  <si>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</si>
  <si>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</si>
  <si>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</si>
  <si>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</si>
  <si>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</si>
  <si>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</si>
  <si>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</si>
  <si>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</si>
  <si>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</si>
  <si>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</si>
  <si>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</si>
  <si>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</si>
  <si>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</si>
  <si>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</si>
  <si>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</si>
  <si>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</si>
  <si>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</si>
  <si>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</si>
  <si>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</si>
  <si>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</si>
  <si>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</si>
  <si>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</si>
  <si>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</si>
  <si>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</si>
  <si>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</si>
  <si>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</si>
  <si>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</si>
  <si>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</si>
  <si>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</si>
  <si>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</si>
  <si>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</si>
  <si>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</si>
  <si>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</si>
  <si>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</si>
  <si>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</si>
  <si>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</si>
  <si>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</si>
  <si>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</si>
  <si>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</si>
  <si>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</si>
  <si>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</si>
  <si>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</si>
  <si>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</si>
  <si>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</si>
  <si>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</si>
  <si>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</si>
  <si>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</si>
  <si>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</si>
  <si>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</si>
  <si>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</si>
  <si>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</si>
  <si>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</si>
  <si>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</si>
  <si>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</si>
  <si>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</si>
  <si>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</si>
  <si>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</si>
  <si>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</si>
  <si>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</si>
  <si>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</si>
  <si>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</si>
  <si>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</si>
  <si>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</si>
  <si>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</si>
  <si>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</si>
  <si>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</si>
  <si>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</si>
  <si>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</si>
  <si>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</si>
  <si>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</si>
  <si>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</si>
  <si>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</si>
  <si>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</si>
  <si>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</si>
  <si>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</si>
  <si>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</si>
  <si>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</si>
  <si>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</si>
  <si>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</si>
  <si>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</si>
  <si>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</si>
  <si>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</si>
  <si>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</si>
  <si>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</si>
  <si>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</si>
  <si>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</si>
  <si>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</si>
  <si>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</si>
  <si>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</si>
  <si>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</si>
  <si>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</si>
  <si>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</si>
  <si>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</si>
  <si>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</si>
  <si>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</si>
  <si>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</si>
  <si>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</si>
  <si>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</si>
  <si>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</si>
  <si>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</si>
  <si>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</si>
  <si>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</si>
  <si>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</si>
  <si>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</si>
  <si>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</si>
  <si>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</si>
  <si>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</si>
  <si>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</si>
  <si>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</si>
  <si>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</si>
  <si>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</si>
  <si>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</si>
  <si>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</si>
  <si>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</si>
  <si>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</si>
  <si>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</si>
  <si>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</si>
  <si>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</si>
  <si>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</si>
  <si>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</si>
  <si>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</si>
  <si>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</si>
  <si>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</si>
  <si>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</si>
  <si>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</si>
  <si>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</si>
  <si>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</si>
  <si>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</si>
  <si>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</si>
  <si>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</si>
  <si>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</si>
  <si>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</si>
  <si>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</si>
  <si>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</si>
  <si>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</si>
  <si>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</si>
  <si>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</si>
  <si>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</si>
  <si>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</si>
  <si>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</si>
  <si>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</si>
  <si>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</si>
  <si>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</si>
  <si>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</si>
  <si>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</si>
  <si>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</si>
  <si>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</si>
  <si>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</si>
  <si>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</si>
  <si>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</si>
  <si>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</si>
  <si>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</si>
  <si>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</si>
  <si>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</si>
  <si>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</si>
  <si>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</si>
  <si>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</si>
  <si>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</si>
  <si>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</si>
  <si>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</si>
  <si>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</si>
  <si>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</si>
  <si>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</si>
  <si>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</si>
  <si>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</si>
  <si>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</si>
  <si>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</si>
  <si>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</si>
  <si>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</si>
  <si>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</si>
  <si>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</si>
  <si>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</si>
  <si>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</si>
  <si>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</si>
  <si>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</si>
  <si>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</si>
  <si>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</si>
  <si>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</si>
  <si>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</si>
  <si>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</si>
  <si>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</si>
  <si>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</si>
  <si>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</si>
  <si>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</si>
  <si>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</si>
  <si>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</si>
  <si>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</si>
  <si>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</si>
  <si>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</si>
  <si>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</si>
  <si>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</si>
  <si>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</si>
  <si>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</si>
  <si>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</si>
  <si>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</si>
  <si>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</si>
  <si>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</si>
  <si>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</si>
  <si>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</si>
  <si>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</si>
  <si>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</si>
  <si>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</si>
  <si>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</si>
  <si>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</si>
  <si>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</si>
  <si>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</si>
  <si>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</si>
  <si>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</si>
  <si>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</si>
  <si>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</si>
  <si>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</si>
  <si>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</si>
  <si>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</si>
  <si>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</si>
  <si>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</si>
  <si>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</si>
  <si>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</si>
  <si>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</si>
  <si>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</si>
  <si>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</si>
  <si>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</si>
  <si>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</si>
  <si>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</si>
  <si>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</si>
  <si>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</si>
  <si>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</si>
  <si>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</si>
  <si>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</si>
  <si>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</si>
  <si>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</si>
  <si>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</si>
  <si>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</si>
  <si>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</si>
  <si>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</si>
  <si>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</si>
  <si>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</si>
  <si>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</si>
  <si>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</si>
  <si>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</si>
  <si>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</si>
  <si>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</si>
  <si>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</si>
  <si>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</si>
  <si>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</si>
  <si>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</si>
  <si>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</si>
  <si>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</si>
  <si>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</si>
  <si>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</si>
  <si>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</si>
  <si>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</si>
  <si>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</si>
  <si>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</si>
  <si>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</si>
  <si>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</si>
  <si>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</si>
  <si>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</si>
  <si>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</si>
  <si>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</si>
  <si>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</si>
  <si>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</si>
  <si>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</si>
  <si>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</si>
  <si>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</si>
  <si>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</si>
  <si>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</si>
  <si>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</si>
  <si>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</si>
  <si>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</si>
  <si>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</si>
  <si>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</si>
  <si>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</si>
  <si>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</si>
  <si>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</si>
  <si>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</si>
  <si>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</si>
  <si>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</si>
  <si>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</si>
  <si>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</si>
  <si>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</si>
  <si>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</si>
  <si>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</si>
  <si>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</si>
  <si>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</si>
  <si>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</si>
  <si>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</si>
  <si>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</si>
  <si>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</si>
  <si>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</si>
  <si>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</si>
  <si>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</si>
  <si>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</si>
  <si>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</si>
  <si>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</si>
  <si>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</si>
  <si>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</si>
  <si>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</si>
  <si>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</si>
  <si>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</si>
  <si>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</si>
  <si>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</si>
  <si>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</si>
  <si>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</si>
  <si>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</si>
  <si>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</si>
  <si>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</si>
  <si>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</si>
  <si>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</si>
  <si>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</si>
  <si>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</si>
  <si>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</si>
  <si>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</si>
  <si>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</si>
  <si>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</si>
  <si>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</si>
  <si>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</si>
  <si>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</si>
  <si>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</si>
  <si>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</si>
  <si>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</si>
  <si>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</si>
  <si>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</si>
  <si>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</si>
  <si>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</si>
  <si>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</si>
  <si>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</si>
  <si>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</si>
  <si>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</si>
  <si>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</si>
  <si>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</si>
  <si>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</si>
  <si>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</si>
  <si>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</si>
  <si>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</si>
  <si>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</si>
  <si>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</si>
  <si>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</si>
  <si>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</si>
  <si>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</si>
  <si>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</si>
  <si>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</si>
  <si>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</si>
  <si>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</si>
  <si>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</si>
  <si>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</si>
  <si>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</si>
  <si>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</si>
  <si>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</si>
  <si>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</si>
  <si>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</si>
  <si>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</si>
  <si>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</si>
  <si>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</si>
  <si>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</si>
  <si>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</si>
  <si>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</si>
  <si>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</si>
  <si>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</si>
  <si>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</si>
  <si>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</si>
  <si>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</si>
  <si>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</si>
  <si>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</si>
  <si>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</si>
  <si>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</si>
  <si>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</si>
  <si>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</si>
  <si>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</si>
  <si>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</si>
  <si>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</si>
  <si>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</si>
  <si>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</si>
  <si>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</si>
  <si>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</si>
  <si>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</si>
  <si>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</si>
  <si>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</si>
  <si>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</si>
  <si>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</si>
  <si>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</si>
  <si>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</si>
  <si>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</si>
  <si>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</si>
  <si>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</si>
  <si>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</si>
  <si>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</si>
  <si>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</si>
  <si>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</si>
  <si>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</si>
  <si>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</si>
  <si>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</si>
  <si>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</si>
  <si>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</si>
  <si>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</si>
  <si>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</si>
  <si>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</si>
  <si>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</si>
  <si>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</si>
  <si>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</si>
  <si>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</si>
  <si>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</si>
  <si>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</si>
  <si>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</si>
  <si>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</si>
  <si>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</si>
  <si>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</si>
  <si>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</si>
  <si>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</si>
  <si>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</si>
  <si>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</si>
  <si>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</si>
  <si>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</si>
  <si>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</si>
  <si>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</si>
  <si>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</si>
  <si>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</si>
  <si>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</si>
  <si>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</si>
  <si>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</si>
  <si>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</si>
  <si>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</si>
  <si>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</si>
  <si>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</si>
  <si>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</si>
  <si>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</si>
  <si>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</si>
  <si>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</si>
  <si>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</si>
  <si>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</si>
  <si>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</si>
  <si>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</si>
  <si>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</si>
  <si>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</si>
  <si>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</si>
  <si>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</si>
  <si>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</si>
  <si>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</si>
  <si>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</si>
  <si>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</si>
  <si>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</si>
  <si>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</si>
  <si>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</si>
  <si>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</si>
  <si>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</si>
  <si>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</si>
  <si>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</si>
  <si>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</si>
  <si>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</si>
  <si>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</si>
  <si>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</si>
  <si>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</si>
  <si>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</si>
  <si>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</si>
  <si>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</si>
  <si>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</si>
  <si>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</si>
  <si>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</si>
  <si>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</si>
  <si>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</si>
  <si>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</si>
  <si>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</si>
  <si>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</si>
  <si>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</si>
  <si>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</si>
  <si>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</si>
  <si>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</si>
  <si>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</si>
  <si>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</si>
  <si>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</si>
  <si>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</si>
  <si>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</si>
  <si>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</si>
  <si>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</si>
  <si>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</si>
  <si>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</si>
  <si>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</si>
  <si>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</si>
  <si>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</si>
  <si>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</si>
  <si>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</si>
  <si>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</si>
  <si>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</si>
  <si>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</si>
  <si>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</si>
  <si>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</si>
  <si>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</si>
  <si>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</si>
  <si>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</si>
  <si>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</si>
  <si>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</si>
  <si>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</si>
  <si>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</si>
  <si>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</si>
  <si>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</si>
  <si>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</si>
  <si>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</si>
  <si>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</si>
  <si>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</si>
  <si>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</si>
  <si>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</si>
  <si>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</si>
  <si>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</si>
  <si>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</si>
  <si>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</si>
  <si>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</si>
  <si>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</si>
  <si>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</si>
  <si>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</si>
  <si>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</si>
  <si>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</si>
  <si>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</si>
  <si>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</si>
  <si>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</si>
  <si>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</si>
  <si>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</si>
  <si>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</si>
  <si>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</si>
  <si>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</si>
  <si>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</si>
  <si>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</si>
  <si>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</si>
  <si>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</si>
  <si>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</si>
  <si>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</si>
  <si>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</si>
  <si>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</si>
  <si>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</si>
  <si>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</si>
  <si>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</si>
  <si>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</si>
  <si>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</si>
  <si>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</si>
  <si>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</si>
  <si>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</si>
  <si>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</si>
  <si>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</si>
  <si>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</si>
  <si>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</si>
  <si>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</si>
  <si>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</si>
  <si>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</si>
  <si>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</si>
  <si>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</si>
  <si>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</si>
  <si>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</si>
  <si>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</si>
  <si>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</si>
  <si>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</si>
  <si>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</si>
  <si>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</si>
  <si>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</si>
  <si>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</si>
  <si>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</si>
  <si>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</si>
  <si>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</si>
  <si>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</si>
  <si>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</si>
  <si>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</si>
  <si>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</si>
  <si>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</si>
  <si>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</si>
  <si>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</si>
  <si>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</si>
  <si>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</si>
  <si>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</si>
  <si>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</si>
  <si>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</si>
  <si>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</si>
  <si>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</si>
  <si>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</si>
  <si>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</si>
  <si>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</si>
  <si>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</si>
  <si>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</si>
  <si>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</si>
  <si>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</si>
  <si>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</si>
  <si>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</si>
  <si>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</si>
  <si>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</si>
  <si>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</si>
  <si>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</si>
  <si>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</si>
  <si>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</si>
  <si>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</si>
  <si>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</si>
  <si>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</si>
  <si>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</si>
  <si>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</si>
  <si>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</si>
  <si>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</si>
  <si>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</si>
  <si>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</si>
  <si>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</si>
  <si>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</si>
  <si>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</si>
  <si>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</si>
  <si>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</si>
  <si>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</si>
  <si>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</si>
  <si>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</si>
  <si>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</si>
  <si>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</si>
  <si>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</si>
  <si>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</si>
  <si>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</si>
  <si>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</si>
  <si>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</si>
  <si>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</si>
  <si>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</si>
  <si>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</si>
  <si>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</si>
  <si>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</si>
  <si>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</si>
  <si>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</si>
  <si>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</si>
  <si>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</si>
  <si>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</si>
  <si>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</si>
  <si>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</si>
  <si>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</si>
  <si>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</si>
  <si>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</si>
  <si>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</si>
  <si>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</si>
  <si>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</si>
  <si>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</si>
  <si>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</si>
  <si>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</si>
  <si>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</si>
  <si>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</si>
  <si>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</si>
  <si>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</si>
  <si>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</si>
  <si>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</si>
  <si>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</si>
  <si>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</si>
  <si>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</si>
  <si>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</si>
  <si>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</si>
  <si>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</si>
  <si>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</si>
  <si>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</si>
  <si>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</si>
  <si>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</si>
  <si>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</si>
  <si>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</si>
  <si>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</si>
  <si>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</si>
  <si>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</si>
  <si>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</si>
  <si>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</si>
  <si>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</si>
  <si>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</si>
  <si>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</si>
  <si>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</si>
  <si>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</si>
  <si>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</si>
  <si>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</si>
  <si>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</si>
  <si>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</si>
  <si>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</si>
  <si>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</si>
  <si>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</si>
  <si>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</si>
  <si>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</si>
  <si>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</si>
  <si>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</si>
  <si>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</si>
  <si>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</si>
  <si>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</si>
  <si>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</si>
  <si>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</si>
  <si>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</si>
  <si>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</si>
  <si>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</si>
  <si>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</si>
  <si>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</si>
  <si>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</si>
  <si>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</si>
  <si>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</si>
  <si>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</si>
  <si>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</si>
  <si>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</si>
  <si>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</si>
  <si>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</si>
  <si>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</si>
  <si>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</si>
  <si>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</si>
  <si>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</si>
  <si>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</si>
  <si>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</si>
  <si>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</si>
  <si>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</si>
  <si>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</si>
  <si>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</si>
  <si>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</si>
  <si>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</si>
  <si>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</si>
  <si>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</si>
  <si>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</si>
  <si>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</si>
  <si>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</si>
  <si>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</si>
  <si>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</si>
  <si>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</si>
  <si>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</si>
  <si>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</si>
  <si>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</si>
  <si>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</si>
  <si>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</si>
  <si>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</si>
  <si>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</si>
  <si>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</si>
  <si>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</si>
  <si>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</si>
  <si>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</si>
  <si>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</si>
  <si>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</si>
  <si>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</si>
  <si>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</si>
  <si>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</si>
  <si>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</si>
  <si>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</si>
  <si>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</si>
  <si>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</si>
  <si>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</si>
  <si>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</si>
  <si>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</si>
  <si>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</si>
  <si>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</si>
  <si>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</si>
  <si>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</si>
  <si>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</si>
  <si>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</si>
  <si>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</si>
  <si>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</si>
  <si>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</si>
  <si>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</si>
  <si>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</si>
  <si>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</si>
  <si>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</si>
  <si>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</si>
  <si>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</si>
  <si>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</si>
  <si>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</si>
  <si>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</si>
  <si>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</si>
  <si>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</si>
  <si>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</si>
  <si>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</si>
  <si>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</si>
  <si>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</si>
  <si>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</si>
  <si>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</si>
  <si>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</si>
  <si>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</si>
  <si>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</si>
  <si>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</si>
  <si>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</si>
  <si>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</si>
  <si>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</si>
  <si>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</si>
  <si>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</si>
  <si>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</si>
  <si>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</si>
  <si>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</si>
  <si>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</si>
  <si>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</si>
  <si>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</si>
  <si>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</si>
  <si>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</si>
  <si>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</si>
  <si>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</si>
  <si>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</si>
  <si>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</si>
  <si>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</si>
  <si>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</si>
  <si>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</si>
  <si>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</si>
  <si>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</si>
  <si>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</si>
  <si>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</si>
  <si>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</si>
  <si>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</si>
  <si>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</si>
  <si>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</si>
  <si>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</si>
  <si>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</si>
  <si>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</si>
  <si>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</si>
  <si>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</si>
  <si>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</si>
  <si>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</si>
  <si>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</si>
  <si>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</si>
  <si>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</si>
  <si>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</si>
  <si>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</si>
  <si>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</si>
  <si>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</si>
  <si>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</si>
  <si>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</si>
  <si>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</si>
  <si>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</si>
  <si>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</si>
  <si>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</si>
  <si>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</si>
  <si>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</si>
  <si>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</si>
  <si>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</si>
  <si>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</si>
  <si>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</si>
  <si>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</si>
  <si>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</si>
  <si>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</si>
  <si>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</si>
  <si>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</si>
  <si>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</si>
  <si>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</si>
  <si>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</si>
  <si>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</si>
  <si>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</si>
  <si>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</si>
  <si>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</si>
  <si>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</si>
  <si>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</si>
  <si>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</si>
  <si>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</si>
  <si>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</si>
  <si>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</si>
  <si>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</si>
  <si>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</si>
  <si>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</si>
  <si>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</si>
  <si>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</si>
  <si>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</si>
  <si>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</si>
  <si>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</si>
  <si>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</si>
  <si>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</si>
  <si>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</si>
  <si>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</si>
  <si>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</si>
  <si>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</si>
  <si>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</si>
  <si>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</si>
  <si>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</si>
  <si>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</si>
  <si>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</si>
  <si>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</si>
  <si>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</si>
  <si>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</si>
  <si>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</si>
  <si>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</si>
  <si>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</si>
  <si>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</si>
  <si>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</si>
  <si>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</si>
  <si>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</si>
  <si>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</si>
  <si>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</si>
  <si>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</si>
  <si>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</si>
  <si>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</si>
  <si>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</si>
  <si>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</si>
  <si>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</si>
  <si>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</si>
  <si>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</si>
  <si>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</si>
  <si>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</si>
  <si>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</si>
  <si>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</si>
  <si>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</si>
  <si>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</si>
  <si>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</si>
  <si>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</si>
  <si>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</si>
  <si>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</si>
  <si>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</si>
  <si>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</si>
  <si>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</si>
  <si>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</si>
  <si>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</si>
  <si>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</si>
  <si>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</si>
  <si>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</si>
  <si>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</si>
  <si>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</si>
  <si>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</si>
  <si>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</si>
  <si>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</si>
  <si>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</si>
  <si>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</si>
  <si>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</si>
  <si>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</si>
  <si>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</si>
  <si>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</si>
  <si>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</si>
  <si>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</si>
  <si>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</si>
  <si>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</si>
  <si>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</si>
  <si>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</si>
  <si>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</si>
  <si>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</si>
  <si>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</si>
  <si>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</si>
  <si>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</si>
  <si>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</si>
  <si>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</si>
  <si>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</si>
  <si>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</si>
  <si>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</si>
  <si>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</si>
  <si>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</si>
  <si>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</si>
  <si>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</si>
  <si>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</si>
  <si>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</si>
  <si>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</si>
  <si>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</si>
  <si>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</si>
  <si>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</si>
  <si>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</si>
  <si>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</si>
  <si>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</si>
  <si>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</si>
  <si>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</si>
  <si>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</si>
  <si>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</si>
  <si>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</si>
  <si>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</si>
  <si>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</si>
  <si>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</si>
  <si>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</si>
  <si>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</si>
  <si>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</si>
  <si>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</si>
  <si>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</si>
  <si>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</si>
  <si>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</si>
  <si>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</si>
  <si>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</si>
  <si>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</si>
  <si>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</si>
  <si>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</si>
  <si>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</si>
  <si>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</si>
  <si>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</si>
  <si>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</si>
  <si>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</si>
  <si>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</si>
  <si>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</si>
  <si>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</si>
  <si>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</si>
  <si>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</si>
  <si>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</si>
  <si>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</si>
  <si>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</si>
  <si>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</si>
  <si>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</si>
  <si>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</si>
  <si>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</si>
  <si>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</si>
  <si>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</si>
  <si>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</si>
  <si>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</si>
  <si>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</si>
  <si>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</si>
  <si>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</si>
  <si>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</si>
  <si>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</si>
  <si>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</si>
  <si>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</si>
  <si>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</si>
  <si>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</si>
  <si>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</si>
  <si>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</si>
  <si>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</si>
  <si>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</si>
  <si>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</si>
  <si>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</si>
  <si>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</si>
  <si>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</si>
  <si>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</si>
  <si>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</si>
  <si>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</si>
  <si>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</si>
  <si>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</si>
  <si>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</si>
  <si>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</si>
  <si>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</si>
  <si>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</si>
  <si>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</si>
  <si>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</si>
  <si>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</si>
  <si>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</si>
  <si>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</si>
  <si>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</si>
  <si>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</si>
  <si>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</si>
  <si>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</si>
  <si>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</si>
  <si>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</si>
  <si>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</si>
  <si>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</si>
  <si>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</si>
  <si>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</si>
  <si>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</si>
  <si>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</si>
  <si>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</si>
  <si>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</si>
  <si>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</si>
  <si>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</si>
  <si>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</si>
  <si>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</si>
  <si>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</si>
  <si>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</si>
  <si>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</si>
  <si>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</si>
  <si>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</si>
  <si>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</si>
  <si>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</si>
  <si>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</si>
  <si>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</si>
  <si>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</si>
  <si>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</si>
  <si>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</si>
  <si>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</si>
  <si>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</si>
  <si>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</si>
  <si>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</si>
  <si>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</si>
  <si>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</si>
  <si>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</si>
  <si>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</si>
  <si>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</si>
  <si>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</si>
  <si>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</si>
  <si>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</si>
  <si>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</si>
  <si>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</si>
  <si>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</si>
  <si>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</si>
  <si>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</si>
  <si>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</si>
  <si>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</si>
  <si>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</si>
  <si>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</si>
  <si>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</si>
  <si>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</si>
  <si>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</si>
  <si>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</si>
  <si>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</si>
  <si>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</si>
  <si>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</si>
  <si>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</si>
  <si>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</si>
  <si>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</si>
  <si>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</si>
  <si>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</si>
  <si>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</si>
  <si>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</si>
  <si>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</si>
  <si>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</si>
  <si>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</si>
  <si>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</si>
  <si>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</si>
  <si>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</si>
  <si>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</si>
  <si>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</si>
  <si>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</si>
  <si>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</si>
  <si>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</si>
  <si>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</si>
  <si>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</si>
  <si>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</si>
  <si>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</si>
  <si>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</si>
  <si>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</si>
  <si>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</si>
  <si>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</si>
  <si>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</si>
  <si>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</si>
  <si>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</si>
  <si>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</si>
  <si>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</si>
  <si>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</si>
  <si>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</si>
  <si>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</si>
  <si>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</si>
  <si>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</si>
  <si>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</si>
  <si>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</si>
  <si>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</si>
  <si>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</si>
  <si>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</si>
  <si>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</si>
  <si>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</si>
  <si>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</si>
  <si>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</si>
  <si>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</si>
  <si>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</si>
  <si>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</si>
  <si>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</si>
  <si>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</si>
  <si>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</si>
  <si>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</si>
  <si>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</si>
  <si>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</si>
  <si>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</si>
  <si>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</si>
  <si>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</si>
  <si>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</si>
  <si>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</si>
  <si>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</si>
  <si>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</si>
  <si>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</si>
  <si>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</si>
  <si>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</si>
  <si>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</si>
  <si>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</si>
  <si>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</si>
  <si>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</si>
  <si>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</si>
  <si>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</si>
  <si>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</si>
  <si>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</si>
  <si>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</si>
  <si>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</si>
  <si>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</si>
  <si>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</si>
  <si>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</si>
  <si>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</si>
  <si>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</si>
  <si>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</si>
  <si>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</si>
  <si>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</si>
  <si>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</si>
  <si>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</si>
  <si>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</si>
  <si>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</si>
  <si>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</si>
  <si>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</si>
  <si>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</si>
  <si>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</si>
  <si>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</si>
  <si>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</si>
  <si>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</si>
  <si>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</si>
  <si>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</si>
  <si>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</si>
  <si>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</si>
  <si>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</si>
  <si>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</si>
  <si>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</si>
  <si>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</si>
  <si>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</si>
  <si>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</si>
  <si>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</si>
  <si>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</si>
  <si>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</si>
  <si>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</si>
  <si>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</si>
  <si>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</si>
  <si>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</si>
  <si>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</si>
  <si>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</si>
  <si>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</si>
  <si>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</si>
  <si>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</si>
  <si>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</si>
  <si>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</si>
  <si>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</si>
  <si>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</si>
  <si>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</si>
  <si>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</si>
  <si>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</si>
  <si>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</si>
  <si>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</si>
  <si>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</si>
  <si>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</si>
  <si>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</si>
  <si>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</si>
  <si>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</si>
  <si>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</si>
  <si>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</si>
  <si>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</si>
  <si>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</si>
  <si>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</si>
  <si>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</si>
  <si>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</si>
  <si>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</si>
  <si>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</si>
  <si>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</si>
  <si>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</si>
  <si>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</si>
  <si>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</si>
  <si>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</si>
  <si>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</si>
  <si>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</si>
  <si>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</si>
  <si>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</si>
  <si>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</si>
  <si>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</si>
  <si>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</si>
  <si>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</si>
  <si>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</si>
  <si>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</si>
  <si>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</si>
  <si>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</si>
  <si>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</si>
  <si>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</si>
  <si>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</si>
  <si>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</si>
  <si>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</si>
  <si>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</si>
  <si>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</si>
  <si>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</si>
  <si>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</si>
  <si>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</si>
  <si>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</si>
  <si>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</si>
  <si>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</si>
  <si>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</si>
  <si>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</si>
  <si>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</si>
  <si>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</si>
  <si>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</si>
  <si>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</si>
  <si>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</si>
  <si>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</si>
  <si>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</si>
  <si>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</si>
  <si>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</si>
  <si>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</si>
  <si>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</si>
  <si>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</si>
  <si>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</si>
  <si>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</si>
  <si>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</si>
  <si>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</si>
  <si>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</si>
  <si>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</si>
  <si>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</si>
  <si>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</si>
  <si>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</si>
  <si>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</si>
  <si>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</si>
  <si>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</si>
  <si>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</si>
  <si>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</si>
  <si>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</si>
  <si>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</si>
  <si>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</si>
  <si>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</si>
  <si>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</si>
  <si>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</si>
  <si>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</si>
  <si>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</si>
  <si>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</si>
  <si>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</si>
  <si>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</si>
  <si>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</si>
  <si>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</si>
  <si>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</si>
  <si>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</si>
  <si>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</si>
  <si>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</si>
  <si>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</si>
  <si>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</si>
  <si>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</si>
  <si>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</si>
  <si>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</si>
  <si>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</si>
  <si>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</si>
  <si>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</si>
  <si>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</si>
  <si>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</si>
  <si>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</si>
  <si>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</si>
  <si>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</si>
  <si>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</si>
  <si>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</si>
  <si>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</si>
  <si>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</si>
  <si>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</si>
  <si>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</si>
  <si>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</si>
  <si>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</si>
  <si>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</si>
  <si>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</si>
  <si>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</si>
  <si>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</si>
  <si>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</si>
  <si>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</si>
  <si>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</si>
  <si>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</si>
  <si>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</si>
  <si>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</si>
  <si>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</si>
  <si>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</si>
  <si>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</si>
  <si>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</si>
  <si>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</si>
  <si>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</si>
  <si>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</si>
  <si>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</si>
  <si>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</si>
  <si>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</si>
  <si>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</si>
  <si>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</si>
  <si>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</si>
  <si>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</si>
  <si>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</si>
  <si>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</si>
  <si>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</si>
  <si>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</si>
  <si>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</si>
  <si>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</si>
  <si>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</si>
  <si>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</si>
  <si>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</si>
  <si>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</si>
  <si>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</si>
  <si>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</si>
  <si>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</si>
  <si>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</si>
  <si>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</si>
  <si>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</si>
  <si>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</si>
  <si>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</si>
  <si>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</si>
  <si>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</si>
  <si>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</si>
  <si>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</si>
  <si>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</si>
  <si>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</si>
  <si>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</si>
  <si>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</si>
  <si>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</si>
  <si>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</si>
  <si>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</si>
  <si>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</si>
  <si>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</si>
  <si>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</si>
  <si>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</si>
  <si>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</si>
  <si>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</si>
  <si>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</si>
  <si>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</si>
  <si>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</si>
  <si>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</si>
  <si>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</si>
  <si>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</si>
  <si>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</si>
  <si>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</si>
  <si>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</si>
  <si>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</si>
  <si>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</si>
  <si>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</si>
  <si>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</si>
  <si>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</si>
  <si>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</si>
  <si>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</si>
  <si>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</si>
  <si>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</si>
  <si>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</si>
  <si>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</si>
  <si>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</si>
  <si>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</si>
  <si>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</si>
  <si>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</si>
  <si>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</si>
  <si>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</si>
  <si>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</si>
  <si>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</si>
  <si>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</si>
  <si>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</si>
  <si>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</si>
  <si>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</si>
  <si>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</si>
  <si>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</si>
  <si>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</si>
  <si>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</si>
  <si>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</si>
  <si>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</si>
  <si>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</si>
  <si>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</si>
  <si>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</si>
  <si>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</si>
  <si>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</si>
  <si>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</si>
  <si>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</si>
  <si>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</si>
  <si>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</si>
  <si>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</si>
  <si>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</si>
  <si>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</si>
  <si>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</si>
  <si>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</si>
  <si>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</si>
  <si>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</si>
  <si>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</si>
  <si>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</si>
  <si>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</si>
  <si>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</si>
  <si>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</si>
  <si>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</si>
  <si>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</si>
  <si>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</si>
  <si>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</si>
  <si>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</si>
  <si>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</si>
  <si>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</si>
  <si>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</si>
  <si>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</si>
  <si>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</si>
  <si>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</si>
  <si>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</si>
  <si>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</si>
  <si>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</si>
  <si>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</si>
  <si>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</si>
  <si>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</si>
  <si>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</si>
  <si>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</si>
  <si>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</si>
  <si>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</si>
  <si>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</si>
  <si>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</si>
  <si>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</si>
  <si>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</si>
  <si>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</si>
  <si>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</si>
  <si>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</si>
  <si>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</si>
  <si>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</si>
  <si>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</si>
  <si>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</si>
  <si>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</si>
  <si>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</si>
  <si>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</si>
  <si>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</si>
  <si>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</si>
  <si>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</si>
  <si>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</si>
  <si>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</si>
  <si>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</si>
  <si>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</si>
  <si>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</si>
  <si>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</si>
  <si>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</si>
  <si>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</si>
  <si>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</si>
  <si>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</si>
  <si>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</si>
  <si>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</si>
  <si>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</si>
  <si>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</si>
  <si>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</si>
  <si>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</si>
  <si>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</si>
  <si>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</si>
  <si>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</si>
  <si>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</si>
  <si>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</si>
  <si>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</si>
  <si>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</si>
  <si>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</si>
  <si>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</si>
  <si>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</si>
  <si>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</si>
  <si>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</si>
  <si>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</si>
  <si>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</si>
  <si>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</si>
  <si>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</si>
  <si>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</si>
  <si>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</si>
  <si>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</si>
  <si>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</si>
  <si>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</si>
  <si>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</si>
  <si>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</si>
  <si>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</si>
  <si>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</si>
  <si>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</si>
  <si>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</si>
  <si>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</si>
  <si>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</si>
  <si>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</si>
  <si>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</si>
  <si>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</si>
  <si>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</si>
  <si>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</si>
  <si>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</si>
  <si>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</si>
  <si>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</si>
  <si>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</si>
  <si>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</si>
  <si>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</si>
  <si>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</si>
  <si>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</si>
  <si>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</si>
  <si>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</si>
  <si>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</si>
  <si>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</si>
  <si>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</si>
  <si>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</si>
  <si>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</si>
  <si>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</si>
  <si>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</si>
  <si>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</si>
  <si>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</si>
  <si>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</si>
  <si>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</si>
  <si>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</si>
  <si>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</si>
  <si>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</si>
  <si>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</si>
  <si>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</si>
  <si>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</si>
  <si>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</si>
  <si>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</si>
  <si>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</si>
  <si>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</si>
  <si>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</si>
  <si>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</si>
  <si>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</si>
  <si>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</si>
  <si>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</si>
  <si>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</si>
  <si>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</si>
  <si>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</si>
  <si>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</si>
  <si>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</si>
  <si>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</si>
  <si>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</si>
  <si>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</si>
  <si>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</si>
  <si>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</si>
  <si>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</si>
  <si>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</si>
  <si>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</si>
  <si>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</si>
  <si>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</si>
  <si>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</si>
  <si>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</si>
  <si>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</si>
  <si>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</si>
  <si>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</si>
  <si>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</si>
  <si>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</si>
  <si>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</si>
  <si>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</si>
  <si>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</si>
  <si>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</si>
  <si>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</si>
  <si>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</si>
  <si>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</si>
  <si>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</si>
  <si>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</si>
  <si>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</si>
  <si>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</si>
  <si>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</si>
  <si>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</si>
  <si>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</si>
  <si>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</si>
  <si>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</si>
  <si>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</si>
  <si>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</si>
  <si>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</si>
  <si>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</si>
  <si>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</si>
  <si>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</si>
  <si>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</si>
  <si>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</si>
  <si>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</si>
  <si>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</si>
  <si>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</si>
  <si>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</si>
  <si>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</si>
  <si>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</si>
  <si>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</si>
  <si>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</si>
  <si>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</si>
  <si>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</si>
  <si>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</si>
  <si>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</si>
  <si>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</si>
  <si>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</si>
  <si>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</si>
  <si>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</si>
  <si>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</si>
  <si>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</si>
  <si>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</si>
  <si>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</si>
  <si>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</si>
  <si>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</si>
  <si>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</si>
  <si>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</si>
  <si>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</si>
  <si>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</si>
  <si>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</si>
  <si>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</si>
  <si>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</si>
  <si>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</si>
  <si>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</si>
  <si>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</si>
  <si>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</si>
  <si>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</si>
  <si>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</si>
  <si>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</si>
  <si>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</si>
  <si>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</si>
  <si>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</si>
  <si>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</si>
  <si>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</si>
  <si>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</si>
  <si>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</si>
  <si>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</si>
  <si>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</si>
  <si>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</si>
  <si>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</si>
  <si>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</si>
  <si>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</si>
  <si>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</si>
  <si>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</si>
  <si>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</si>
  <si>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</si>
  <si>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</si>
  <si>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</si>
  <si>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</si>
  <si>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</si>
  <si>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</si>
  <si>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</si>
  <si>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</si>
  <si>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</si>
  <si>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</si>
  <si>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</si>
  <si>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</si>
  <si>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</si>
  <si>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</si>
  <si>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</si>
  <si>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</si>
  <si>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</si>
  <si>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</si>
  <si>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</si>
  <si>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</si>
  <si>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</si>
  <si>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</si>
  <si>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</si>
  <si>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</si>
  <si>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</si>
  <si>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</si>
  <si>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</si>
  <si>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</si>
  <si>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</si>
  <si>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</si>
  <si>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</si>
  <si>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</si>
  <si>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</si>
  <si>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</si>
  <si>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</si>
  <si>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</si>
  <si>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</si>
  <si>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</si>
  <si>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</si>
  <si>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</si>
  <si>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</si>
  <si>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</si>
  <si>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</si>
  <si>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</si>
  <si>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</si>
  <si>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</si>
  <si>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</si>
  <si>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</si>
  <si>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</si>
  <si>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</si>
  <si>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</si>
  <si>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</si>
  <si>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</si>
  <si>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</si>
  <si>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</si>
  <si>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</si>
  <si>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</si>
  <si>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</si>
  <si>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</si>
  <si>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</si>
  <si>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</si>
  <si>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</si>
  <si>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</si>
  <si>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</si>
  <si>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</si>
  <si>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</si>
  <si>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</si>
  <si>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</si>
  <si>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</si>
  <si>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</si>
  <si>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</si>
  <si>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</si>
  <si>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</si>
  <si>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</si>
  <si>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</si>
  <si>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</si>
  <si>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</si>
  <si>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</si>
  <si>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</si>
  <si>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</si>
  <si>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</si>
  <si>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</si>
  <si>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</si>
  <si>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</si>
  <si>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</si>
  <si>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</si>
  <si>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</si>
  <si>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</si>
  <si>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</si>
  <si>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</si>
  <si>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</si>
  <si>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</si>
  <si>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</si>
  <si>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</si>
  <si>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</si>
  <si>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</si>
  <si>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</si>
  <si>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</si>
  <si>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</si>
  <si>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</si>
  <si>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</si>
  <si>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</si>
  <si>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</si>
  <si>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</si>
  <si>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</si>
  <si>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</si>
  <si>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</si>
  <si>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</si>
  <si>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</si>
  <si>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</si>
  <si>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</si>
  <si>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</si>
  <si>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</si>
  <si>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</si>
  <si>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</si>
  <si>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</si>
  <si>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</si>
  <si>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</si>
  <si>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</si>
  <si>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</si>
  <si>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</si>
  <si>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</si>
  <si>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</si>
  <si>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</si>
  <si>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</si>
  <si>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</si>
  <si>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</si>
  <si>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</si>
  <si>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</si>
  <si>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</si>
  <si>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</si>
  <si>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</si>
  <si>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</si>
  <si>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</si>
  <si>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</si>
  <si>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</si>
  <si>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</si>
  <si>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</si>
  <si>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</si>
  <si>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</si>
  <si>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</si>
  <si>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</si>
  <si>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</si>
  <si>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</si>
  <si>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</si>
  <si>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</si>
  <si>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</si>
  <si>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</si>
  <si>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</si>
  <si>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</si>
  <si>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</si>
  <si>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</si>
  <si>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</si>
  <si>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</si>
  <si>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</si>
  <si>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</si>
  <si>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</si>
  <si>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</si>
  <si>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</si>
  <si>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</si>
  <si>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</si>
  <si>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</si>
  <si>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</si>
  <si>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</si>
  <si>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</si>
  <si>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</si>
  <si>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</si>
  <si>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</si>
  <si>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</si>
  <si>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</si>
  <si>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</si>
  <si>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</si>
  <si>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</si>
  <si>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</si>
  <si>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</si>
  <si>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</si>
  <si>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</si>
  <si>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</si>
  <si>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</si>
  <si>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</si>
  <si>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</si>
  <si>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</si>
  <si>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</si>
  <si>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</si>
  <si>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</si>
  <si>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</si>
  <si>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</si>
  <si>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</si>
  <si>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</si>
  <si>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</si>
  <si>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</si>
  <si>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</si>
  <si>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</si>
  <si>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</si>
  <si>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</si>
  <si>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</si>
  <si>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</si>
  <si>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</si>
  <si>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</si>
  <si>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</si>
  <si>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</si>
  <si>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</si>
  <si>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</si>
  <si>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</si>
  <si>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</si>
  <si>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</si>
  <si>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</si>
  <si>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</si>
  <si>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</si>
  <si>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</si>
  <si>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</si>
  <si>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</si>
  <si>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</si>
  <si>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</si>
  <si>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</si>
  <si>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</si>
  <si>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</si>
  <si>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</si>
  <si>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</si>
  <si>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</si>
  <si>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</si>
  <si>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</si>
  <si>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</si>
  <si>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</si>
  <si>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</si>
  <si>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</si>
  <si>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</si>
  <si>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</si>
  <si>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</si>
  <si>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</si>
  <si>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</si>
  <si>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</si>
  <si>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</si>
  <si>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</si>
  <si>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</si>
  <si>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</si>
  <si>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</si>
  <si>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</si>
  <si>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</si>
  <si>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</si>
  <si>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</si>
  <si>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</si>
  <si>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</si>
  <si>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</si>
  <si>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</si>
  <si>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</si>
  <si>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</si>
  <si>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</si>
  <si>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</si>
  <si>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</si>
  <si>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</si>
  <si>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</si>
  <si>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</si>
  <si>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</si>
  <si>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</si>
  <si>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</si>
  <si>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</si>
  <si>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</si>
  <si>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</si>
  <si>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</si>
  <si>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</si>
  <si>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</si>
  <si>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</si>
  <si>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</si>
  <si>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</si>
  <si>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</si>
  <si>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</si>
  <si>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</si>
  <si>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</si>
  <si>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</si>
  <si>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</si>
  <si>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</si>
  <si>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</si>
  <si>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</si>
  <si>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</si>
  <si>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</si>
  <si>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</si>
  <si>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</si>
  <si>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</si>
  <si>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</si>
  <si>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</si>
  <si>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</si>
  <si>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</si>
  <si>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</si>
  <si>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</si>
  <si>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</si>
  <si>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</si>
  <si>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</si>
  <si>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</si>
  <si>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</si>
  <si>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</si>
  <si>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</si>
  <si>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</si>
  <si>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</si>
  <si>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</si>
  <si>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</si>
  <si>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</si>
  <si>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</si>
  <si>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</si>
  <si>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</si>
  <si>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</si>
  <si>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</si>
  <si>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</si>
  <si>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</si>
  <si>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</si>
  <si>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</si>
  <si>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</si>
  <si>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</si>
  <si>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</si>
  <si>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</si>
  <si>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</si>
  <si>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</si>
  <si>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</si>
  <si>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</si>
  <si>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</si>
  <si>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</si>
  <si>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</si>
  <si>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</si>
  <si>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</si>
  <si>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</si>
  <si>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</si>
  <si>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</si>
  <si>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</si>
  <si>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</si>
  <si>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</si>
  <si>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</si>
  <si>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</si>
  <si>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</si>
  <si>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</si>
  <si>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</si>
  <si>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</si>
  <si>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</si>
  <si>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</si>
  <si>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</si>
  <si>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</si>
  <si>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</si>
  <si>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</si>
  <si>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</si>
  <si>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</si>
  <si>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</si>
  <si>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</si>
  <si>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</si>
  <si>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</si>
  <si>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</si>
  <si>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</si>
  <si>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</si>
  <si>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</si>
  <si>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</si>
  <si>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</si>
  <si>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</si>
  <si>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</si>
  <si>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</si>
  <si>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</si>
  <si>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</si>
  <si>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</si>
  <si>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</si>
  <si>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</si>
  <si>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</si>
  <si>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</si>
  <si>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</si>
  <si>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</si>
  <si>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</si>
  <si>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</si>
  <si>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</si>
  <si>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</si>
  <si>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</si>
  <si>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</si>
  <si>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</si>
  <si>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</si>
  <si>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</si>
  <si>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</si>
  <si>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</si>
  <si>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</si>
  <si>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</si>
  <si>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</si>
  <si>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</si>
  <si>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</si>
  <si>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</si>
  <si>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</si>
  <si>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</si>
  <si>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</si>
  <si>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</si>
  <si>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</si>
  <si>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</si>
  <si>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</si>
  <si>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</si>
  <si>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</si>
  <si>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</si>
  <si>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</si>
  <si>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</si>
  <si>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</si>
  <si>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</si>
  <si>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</si>
  <si>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</si>
  <si>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</si>
  <si>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</si>
  <si>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</si>
  <si>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</si>
  <si>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</si>
  <si>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</si>
  <si>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</si>
  <si>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</si>
  <si>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</si>
  <si>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</si>
  <si>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</si>
  <si>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</si>
  <si>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</si>
  <si>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</si>
  <si>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</si>
  <si>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</si>
  <si>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</si>
  <si>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</si>
  <si>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</si>
  <si>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</si>
  <si>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</si>
  <si>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</si>
  <si>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</si>
  <si>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</si>
  <si>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</si>
  <si>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</si>
  <si>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</si>
  <si>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</si>
  <si>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</si>
  <si>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</si>
  <si>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</si>
  <si>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</si>
  <si>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</si>
  <si>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</si>
  <si>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</si>
  <si>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</si>
  <si>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</si>
  <si>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</si>
  <si>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</si>
  <si>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</si>
  <si>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</si>
  <si>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</si>
  <si>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</si>
  <si>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</si>
  <si>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</si>
  <si>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</si>
  <si>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</si>
  <si>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</si>
  <si>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</si>
  <si>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</si>
  <si>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</si>
  <si>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</si>
  <si>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</si>
  <si>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</si>
  <si>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</si>
  <si>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</si>
  <si>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</si>
  <si>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</si>
  <si>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</si>
  <si>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</si>
  <si>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</si>
  <si>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</si>
  <si>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</si>
  <si>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</si>
  <si>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</si>
  <si>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</si>
  <si>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</si>
  <si>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</si>
  <si>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</si>
  <si>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</si>
  <si>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</si>
  <si>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</si>
  <si>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</si>
  <si>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</si>
  <si>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</si>
  <si>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</si>
  <si>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</si>
  <si>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</si>
  <si>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</si>
  <si>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</si>
  <si>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</si>
  <si>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</si>
  <si>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</si>
  <si>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</si>
  <si>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</si>
  <si>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</si>
  <si>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</si>
  <si>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</si>
  <si>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</si>
  <si>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</si>
  <si>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</si>
  <si>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</si>
  <si>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</si>
  <si>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</si>
  <si>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</si>
  <si>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</si>
  <si>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</si>
  <si>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</si>
  <si>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</si>
  <si>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</si>
  <si>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</si>
  <si>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</si>
  <si>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</si>
  <si>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</si>
  <si>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</si>
  <si>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</si>
  <si>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</si>
  <si>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</si>
  <si>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</si>
  <si>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</si>
  <si>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</si>
  <si>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</si>
  <si>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</si>
  <si>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</si>
  <si>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</si>
  <si>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</si>
  <si>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</si>
  <si>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</si>
  <si>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</si>
  <si>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</si>
  <si>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</si>
  <si>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</si>
  <si>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</si>
  <si>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</si>
  <si>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</si>
  <si>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</si>
  <si>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</si>
  <si>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</si>
  <si>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</si>
  <si>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</si>
  <si>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</si>
  <si>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</si>
  <si>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</si>
  <si>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</si>
  <si>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</si>
  <si>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</si>
  <si>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</si>
  <si>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</si>
  <si>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</si>
  <si>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</si>
  <si>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</si>
  <si>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</si>
  <si>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</si>
  <si>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</si>
  <si>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</si>
  <si>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</si>
  <si>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</si>
  <si>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</si>
  <si>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</si>
  <si>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</si>
  <si>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</si>
  <si>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</si>
  <si>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</si>
  <si>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</si>
  <si>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</si>
  <si>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</si>
  <si>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</si>
  <si>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</si>
  <si>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</si>
  <si>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</si>
  <si>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</si>
  <si>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</si>
  <si>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</si>
  <si>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</si>
  <si>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</si>
  <si>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</si>
  <si>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</si>
  <si>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</si>
  <si>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</si>
  <si>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</si>
  <si>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</si>
  <si>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</si>
  <si>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</si>
  <si>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</si>
  <si>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</si>
  <si>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</si>
  <si>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</si>
  <si>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</si>
  <si>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</si>
  <si>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</si>
  <si>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</si>
  <si>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</si>
  <si>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</si>
  <si>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</si>
  <si>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</si>
  <si>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</si>
  <si>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</si>
  <si>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</si>
  <si>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</si>
  <si>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</si>
  <si>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</si>
  <si>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</si>
  <si>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</si>
  <si>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</si>
  <si>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</si>
  <si>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</si>
  <si>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</si>
  <si>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</si>
  <si>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</si>
  <si>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</si>
  <si>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</si>
  <si>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</si>
  <si>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</si>
  <si>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</si>
  <si>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</si>
  <si>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</si>
  <si>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</si>
  <si>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</si>
  <si>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</si>
  <si>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</si>
  <si>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</si>
  <si>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</si>
  <si>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</si>
  <si>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</si>
  <si>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</si>
  <si>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</si>
  <si>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</si>
  <si>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</si>
  <si>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</si>
  <si>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</si>
  <si>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</si>
  <si>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</si>
  <si>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</si>
  <si>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</si>
  <si>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</si>
  <si>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</si>
  <si>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</si>
  <si>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</si>
  <si>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</si>
  <si>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</si>
  <si>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</si>
  <si>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</si>
  <si>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</si>
  <si>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</si>
  <si>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</si>
  <si>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</si>
  <si>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</si>
  <si>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</si>
  <si>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</si>
  <si>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</si>
  <si>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</si>
  <si>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</si>
  <si>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</si>
  <si>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</si>
  <si>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</si>
  <si>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</si>
  <si>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</si>
  <si>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</si>
  <si>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</si>
  <si>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</si>
  <si>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</si>
  <si>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已注销及未注销</t>
  </si>
  <si>
    <t>房地产抵押价值</t>
  </si>
  <si>
    <t>北京市</t>
  </si>
  <si>
    <t>企业</t>
  </si>
  <si>
    <t>序号</t>
    <phoneticPr fontId="134" type="noConversion"/>
  </si>
  <si>
    <t>楼（幢）号</t>
  </si>
  <si>
    <t>建筑面积</t>
  </si>
  <si>
    <t>地上建筑面积</t>
    <phoneticPr fontId="134" type="noConversion"/>
  </si>
  <si>
    <t>地下建筑面积</t>
  </si>
  <si>
    <t>总层数</t>
    <phoneticPr fontId="134" type="noConversion"/>
  </si>
  <si>
    <t>规划用途</t>
  </si>
  <si>
    <t>建成年代</t>
    <phoneticPr fontId="134" type="noConversion"/>
  </si>
  <si>
    <t>成新</t>
    <phoneticPr fontId="134" type="noConversion"/>
  </si>
  <si>
    <t>两本权证面积</t>
    <phoneticPr fontId="134" type="noConversion"/>
  </si>
  <si>
    <t>总价</t>
    <phoneticPr fontId="134" type="noConversion"/>
  </si>
  <si>
    <t>净值</t>
    <phoneticPr fontId="134" type="noConversion"/>
  </si>
  <si>
    <t>1号楼、2号楼、8号楼、100幢</t>
  </si>
  <si>
    <t>5（-1）</t>
    <phoneticPr fontId="134" type="noConversion"/>
  </si>
  <si>
    <t>系统配套厂房、云服务中心、车库、库房</t>
    <phoneticPr fontId="134" type="noConversion"/>
  </si>
  <si>
    <t>3号楼</t>
  </si>
  <si>
    <t>厂房</t>
    <phoneticPr fontId="134" type="noConversion"/>
  </si>
  <si>
    <t>4号楼</t>
  </si>
  <si>
    <t>5（-1）</t>
    <phoneticPr fontId="134" type="noConversion"/>
  </si>
  <si>
    <t>总试工厂</t>
    <phoneticPr fontId="134" type="noConversion"/>
  </si>
  <si>
    <t>9号楼</t>
  </si>
  <si>
    <t>研发生产楼</t>
    <phoneticPr fontId="134" type="noConversion"/>
  </si>
  <si>
    <t>10号楼</t>
  </si>
  <si>
    <t>6（-1）</t>
    <phoneticPr fontId="134" type="noConversion"/>
  </si>
  <si>
    <t>检测及配套中心</t>
    <phoneticPr fontId="134" type="noConversion"/>
  </si>
  <si>
    <t>11号楼</t>
  </si>
  <si>
    <t>中试楼</t>
    <phoneticPr fontId="134" type="noConversion"/>
  </si>
  <si>
    <t>合计</t>
  </si>
  <si>
    <t>土地面积</t>
    <phoneticPr fontId="134" type="noConversion"/>
  </si>
  <si>
    <t>容积率</t>
    <phoneticPr fontId="134" type="noConversion"/>
  </si>
  <si>
    <r>
      <t>1</t>
    </r>
    <r>
      <rPr>
        <sz val="10"/>
        <color indexed="8"/>
        <rFont val="宋体"/>
        <family val="3"/>
        <charset val="134"/>
      </rPr>
      <t>、</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4</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t>
    </r>
    <r>
      <rPr>
        <sz val="10"/>
        <color indexed="8"/>
        <rFont val="Arial"/>
        <family val="2"/>
      </rPr>
      <t>100</t>
    </r>
    <phoneticPr fontId="3" type="noConversion"/>
  </si>
  <si>
    <r>
      <t>10</t>
    </r>
    <r>
      <rPr>
        <sz val="10"/>
        <color indexed="8"/>
        <rFont val="宋体"/>
        <family val="3"/>
        <charset val="134"/>
      </rPr>
      <t>、</t>
    </r>
    <r>
      <rPr>
        <sz val="10"/>
        <color indexed="8"/>
        <rFont val="Arial"/>
        <family val="2"/>
      </rPr>
      <t>11</t>
    </r>
    <phoneticPr fontId="3" type="noConversion"/>
  </si>
  <si>
    <t>地上</t>
  </si>
  <si>
    <t>地下</t>
  </si>
  <si>
    <t>是</t>
  </si>
  <si>
    <t>工业</t>
    <phoneticPr fontId="7" type="noConversion"/>
  </si>
  <si>
    <t>成新度</t>
  </si>
  <si>
    <t>收益法</t>
  </si>
  <si>
    <t>押一</t>
  </si>
  <si>
    <t>钢混</t>
  </si>
  <si>
    <t>生产用房</t>
  </si>
  <si>
    <t>否</t>
  </si>
  <si>
    <t>项目模式</t>
  </si>
  <si>
    <t>租金</t>
  </si>
  <si>
    <t>德为科技园区</t>
    <phoneticPr fontId="3" type="noConversion"/>
  </si>
  <si>
    <t>九城科创园</t>
    <phoneticPr fontId="3" type="noConversion"/>
  </si>
  <si>
    <t>博电能源互联网创新园</t>
    <phoneticPr fontId="3" type="noConversion"/>
  </si>
  <si>
    <t>挂牌</t>
  </si>
  <si>
    <t>挂牌</t>
    <phoneticPr fontId="31" type="noConversion"/>
  </si>
  <si>
    <t>砖混</t>
  </si>
  <si>
    <t>砖木</t>
  </si>
  <si>
    <t>精装修</t>
  </si>
  <si>
    <t>普通装修</t>
  </si>
  <si>
    <t>简单装修</t>
  </si>
  <si>
    <t>普通</t>
  </si>
  <si>
    <t>无</t>
  </si>
  <si>
    <t>六通</t>
  </si>
  <si>
    <t>五通</t>
  </si>
  <si>
    <t>正常</t>
  </si>
  <si>
    <t>工业</t>
    <phoneticPr fontId="31" type="noConversion"/>
  </si>
  <si>
    <t>较好</t>
  </si>
  <si>
    <t>办公研发用房</t>
  </si>
  <si>
    <t>办公研发用房</t>
    <phoneticPr fontId="31" type="noConversion"/>
  </si>
  <si>
    <t>估价对象容积率</t>
  </si>
  <si>
    <t>不临65条商业街</t>
  </si>
  <si>
    <t>与级别开发程度一致</t>
  </si>
  <si>
    <t>一般</t>
  </si>
  <si>
    <t>Ⅵ-BDA东</t>
  </si>
  <si>
    <t>未包含在土地购买价格中</t>
  </si>
  <si>
    <t>全部缴纳</t>
  </si>
  <si>
    <t>已包含在土地取得成本中</t>
  </si>
  <si>
    <t>现房</t>
  </si>
  <si>
    <t>项目全部</t>
  </si>
  <si>
    <t>成本法</t>
  </si>
  <si>
    <t>楼号</t>
  </si>
  <si>
    <t>出租面积</t>
  </si>
  <si>
    <t>客户名称</t>
  </si>
  <si>
    <t>出租单价</t>
  </si>
  <si>
    <t>租赁起始日</t>
  </si>
  <si>
    <t>租赁到期日</t>
  </si>
  <si>
    <t>备注</t>
    <phoneticPr fontId="134" type="noConversion"/>
  </si>
  <si>
    <t>（元/天/㎡）</t>
  </si>
  <si>
    <t>1&amp;2&amp;3</t>
  </si>
  <si>
    <t>奕斯伟</t>
  </si>
  <si>
    <t>4#</t>
  </si>
  <si>
    <t>深瑞达</t>
  </si>
  <si>
    <t>2.6~3.1</t>
    <phoneticPr fontId="134" type="noConversion"/>
  </si>
  <si>
    <t>8#</t>
  </si>
  <si>
    <t>悦商</t>
  </si>
  <si>
    <t>年涨幅6%</t>
  </si>
  <si>
    <t>9#</t>
  </si>
  <si>
    <t>义翘神州</t>
  </si>
  <si>
    <t>10#</t>
  </si>
  <si>
    <t>欣奕华&amp;奕斯伟</t>
  </si>
  <si>
    <t>四层</t>
  </si>
  <si>
    <t>北京欣奕华机器人科技有限公司</t>
  </si>
  <si>
    <t>合肥欣奕华智能机器有限公司</t>
  </si>
  <si>
    <t>展厅</t>
    <phoneticPr fontId="134" type="noConversion"/>
  </si>
  <si>
    <t>三层</t>
  </si>
  <si>
    <t>阜阳欣奕华材料科技有限公司</t>
  </si>
  <si>
    <t>北京欣奕华航空科技有限公司</t>
    <phoneticPr fontId="134" type="noConversion"/>
  </si>
  <si>
    <t>五层实验室</t>
  </si>
  <si>
    <t>浙江欣奕华智能科技有限公司</t>
  </si>
  <si>
    <t>二层西侧实验室</t>
  </si>
  <si>
    <t>六层</t>
  </si>
  <si>
    <t>北京奕斯伟计算技术有限公司</t>
    <phoneticPr fontId="134" type="noConversion"/>
  </si>
  <si>
    <t>11#</t>
  </si>
  <si>
    <t>1层</t>
  </si>
  <si>
    <t>超弦存储</t>
  </si>
  <si>
    <t>2层</t>
  </si>
  <si>
    <t>3层</t>
  </si>
  <si>
    <t>4层</t>
  </si>
  <si>
    <t>5层</t>
  </si>
  <si>
    <t>摩根诺里</t>
  </si>
  <si>
    <t>已租部分合计</t>
  </si>
  <si>
    <t>情况3</t>
  </si>
  <si>
    <t>自行开发建设</t>
  </si>
  <si>
    <t>非个人房产</t>
  </si>
  <si>
    <t>出让金+开发费</t>
  </si>
  <si>
    <t>企业提供（在右侧录入）</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</si>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</sst>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3" tint="0.39997558519241921"/>
      <name val="宋体"/>
      <family val="3"/>
      <charset val="134"/>
      <scheme val="minor"/>
    </font>
    <font>
      <sz val="11"/>
      <color theme="1"/>
      <name val="Microsoft YaHei UI"/>
      <family val="2"/>
      <charset val="134"/>
    </font>
    <font>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9" fontId="95" fillId="0" borderId="0" applyFont="0" applyFill="0" applyBorder="0" applyAlignment="0" applyProtection="0">
      <alignment vertical="center"/>
    </xf>
    <xf numFmtId="176" fontId="159"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Font="1" applyBorder="1" applyAlignment="1">
      <alignment horizontal="left" vertical="center"/>
    </xf>
    <xf numFmtId="177" fontId="95" fillId="0" borderId="1" xfId="0" applyNumberFormat="1" applyFont="1" applyBorder="1" applyAlignment="1">
      <alignment horizontal="left" vertical="center"/>
    </xf>
    <xf numFmtId="177" fontId="95" fillId="0" borderId="58" xfId="0" applyNumberFormat="1" applyFont="1" applyFill="1" applyBorder="1" applyAlignment="1">
      <alignment horizontal="left" vertical="center"/>
    </xf>
    <xf numFmtId="177" fontId="95" fillId="0" borderId="0" xfId="0" applyNumberFormat="1" applyFont="1" applyFill="1" applyBorder="1" applyAlignment="1">
      <alignment horizontal="left" vertical="center"/>
    </xf>
    <xf numFmtId="0" fontId="269" fillId="0" borderId="1" xfId="0" applyFont="1" applyBorder="1" applyAlignment="1">
      <alignment horizontal="left" vertical="center"/>
    </xf>
    <xf numFmtId="177" fontId="269" fillId="0" borderId="1" xfId="0" applyNumberFormat="1" applyFont="1" applyBorder="1" applyAlignment="1">
      <alignment horizontal="left" vertical="center" wrapText="1"/>
    </xf>
    <xf numFmtId="177" fontId="269" fillId="0" borderId="1" xfId="0" applyNumberFormat="1" applyFont="1" applyBorder="1" applyAlignment="1">
      <alignment horizontal="left" vertical="center"/>
    </xf>
    <xf numFmtId="177" fontId="269" fillId="16" borderId="1" xfId="0" applyNumberFormat="1" applyFont="1" applyFill="1" applyBorder="1" applyAlignment="1">
      <alignment horizontal="left" vertical="center"/>
    </xf>
    <xf numFmtId="186" fontId="269" fillId="0" borderId="1" xfId="0" applyNumberFormat="1" applyFont="1" applyBorder="1" applyAlignment="1">
      <alignment horizontal="left" vertical="center"/>
    </xf>
    <xf numFmtId="0" fontId="269" fillId="0" borderId="0" xfId="0" applyFont="1">
      <alignment vertical="center"/>
    </xf>
    <xf numFmtId="0" fontId="270" fillId="0" borderId="1" xfId="0" applyFont="1" applyBorder="1" applyAlignment="1">
      <alignment horizontal="left" vertical="center"/>
    </xf>
    <xf numFmtId="177" fontId="270" fillId="0" borderId="1" xfId="0" applyNumberFormat="1" applyFont="1" applyBorder="1" applyAlignment="1">
      <alignment horizontal="left" vertical="center"/>
    </xf>
    <xf numFmtId="177" fontId="270" fillId="16" borderId="1" xfId="0" applyNumberFormat="1" applyFont="1" applyFill="1" applyBorder="1" applyAlignment="1">
      <alignment horizontal="left" vertical="center"/>
    </xf>
    <xf numFmtId="186" fontId="270" fillId="0" borderId="1" xfId="0" applyNumberFormat="1" applyFont="1" applyBorder="1" applyAlignment="1">
      <alignment horizontal="left" vertical="center"/>
    </xf>
    <xf numFmtId="0" fontId="270" fillId="0" borderId="0" xfId="0" applyFont="1">
      <alignment vertical="center"/>
    </xf>
    <xf numFmtId="0" fontId="0" fillId="0" borderId="1" xfId="0" applyBorder="1" applyAlignment="1">
      <alignment horizontal="left" vertical="center"/>
    </xf>
    <xf numFmtId="177" fontId="95" fillId="16" borderId="1" xfId="0" applyNumberFormat="1" applyFont="1" applyFill="1" applyBorder="1" applyAlignment="1">
      <alignment horizontal="left" vertical="center"/>
    </xf>
    <xf numFmtId="10" fontId="0" fillId="0" borderId="0" xfId="17" applyNumberFormat="1" applyFont="1">
      <alignment vertical="center"/>
    </xf>
    <xf numFmtId="0" fontId="0" fillId="0" borderId="1" xfId="0" applyBorder="1">
      <alignment vertical="center"/>
    </xf>
    <xf numFmtId="177" fontId="95"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3" fontId="95" fillId="0" borderId="0" xfId="18">
      <alignment vertical="center"/>
    </xf>
    <xf numFmtId="0" fontId="99" fillId="5" borderId="1" xfId="0" applyNumberFormat="1" applyFont="1" applyFill="1" applyBorder="1" applyAlignment="1" applyProtection="1">
      <alignment horizontal="left" vertical="center" wrapText="1"/>
      <protection locked="0"/>
    </xf>
    <xf numFmtId="0" fontId="159" fillId="12" borderId="0" xfId="12" applyFill="1"/>
    <xf numFmtId="176" fontId="0" fillId="12" borderId="0" xfId="20" applyFont="1" applyFill="1" applyAlignment="1"/>
    <xf numFmtId="0" fontId="159" fillId="0" borderId="0" xfId="12"/>
    <xf numFmtId="0" fontId="271" fillId="12" borderId="176" xfId="12" applyFont="1" applyFill="1" applyBorder="1"/>
    <xf numFmtId="176" fontId="271" fillId="12" borderId="176" xfId="20" applyFont="1" applyFill="1" applyBorder="1" applyAlignment="1"/>
    <xf numFmtId="0" fontId="180" fillId="12" borderId="176" xfId="12" applyFont="1" applyFill="1" applyBorder="1" applyAlignment="1">
      <alignment horizontal="right" vertical="center"/>
    </xf>
    <xf numFmtId="176" fontId="272" fillId="12" borderId="178" xfId="20" applyFont="1" applyFill="1" applyBorder="1" applyAlignment="1">
      <alignment horizontal="center" vertical="center" wrapText="1"/>
    </xf>
    <xf numFmtId="176" fontId="272" fillId="12" borderId="180" xfId="20" applyFont="1" applyFill="1" applyBorder="1" applyAlignment="1">
      <alignment horizontal="center" vertical="center" wrapText="1"/>
    </xf>
    <xf numFmtId="0" fontId="272" fillId="12" borderId="179" xfId="12" applyFont="1" applyFill="1" applyBorder="1" applyAlignment="1">
      <alignment horizontal="left" vertical="center"/>
    </xf>
    <xf numFmtId="176" fontId="272" fillId="12" borderId="180" xfId="20" applyFont="1" applyFill="1" applyBorder="1" applyAlignment="1">
      <alignment horizontal="right" vertical="center"/>
    </xf>
    <xf numFmtId="0" fontId="272" fillId="12" borderId="180" xfId="12" applyFont="1" applyFill="1" applyBorder="1" applyAlignment="1">
      <alignment horizontal="left" vertical="center"/>
    </xf>
    <xf numFmtId="14" fontId="272" fillId="12" borderId="180" xfId="12" applyNumberFormat="1" applyFont="1" applyFill="1" applyBorder="1" applyAlignment="1">
      <alignment horizontal="right" vertical="center"/>
    </xf>
    <xf numFmtId="9" fontId="272" fillId="12" borderId="180" xfId="12" applyNumberFormat="1" applyFont="1" applyFill="1" applyBorder="1" applyAlignment="1">
      <alignment horizontal="right" vertical="center"/>
    </xf>
    <xf numFmtId="0" fontId="0" fillId="0" borderId="0" xfId="20" applyNumberFormat="1" applyFont="1" applyAlignment="1"/>
    <xf numFmtId="176" fontId="0" fillId="0" borderId="0" xfId="20" applyFont="1" applyAlignment="1"/>
    <xf numFmtId="176" fontId="0" fillId="0" borderId="0" xfId="20" applyNumberFormat="1" applyFont="1" applyAlignment="1"/>
    <xf numFmtId="176" fontId="271" fillId="12" borderId="180" xfId="20" applyFont="1" applyFill="1" applyBorder="1" applyAlignment="1"/>
    <xf numFmtId="0" fontId="271" fillId="12" borderId="180" xfId="12" applyFont="1" applyFill="1" applyBorder="1"/>
    <xf numFmtId="0" fontId="272" fillId="5" borderId="179" xfId="12" applyFont="1" applyFill="1" applyBorder="1" applyAlignment="1">
      <alignment horizontal="left" vertical="center"/>
    </xf>
    <xf numFmtId="176" fontId="272" fillId="5" borderId="180" xfId="20" applyFont="1" applyFill="1" applyBorder="1" applyAlignment="1">
      <alignment horizontal="right" vertical="center"/>
    </xf>
    <xf numFmtId="0" fontId="272" fillId="5" borderId="180" xfId="12" applyFont="1" applyFill="1" applyBorder="1" applyAlignment="1">
      <alignment horizontal="left" vertical="center"/>
    </xf>
    <xf numFmtId="0" fontId="272" fillId="12" borderId="180" xfId="12" applyFont="1" applyFill="1" applyBorder="1" applyAlignment="1">
      <alignment horizontal="right" vertical="center"/>
    </xf>
    <xf numFmtId="0" fontId="272" fillId="22" borderId="179" xfId="12" applyFont="1" applyFill="1" applyBorder="1" applyAlignment="1">
      <alignment horizontal="right" vertical="center"/>
    </xf>
    <xf numFmtId="176" fontId="272" fillId="22" borderId="180" xfId="20" applyFont="1" applyFill="1" applyBorder="1" applyAlignment="1">
      <alignment horizontal="right" vertical="center"/>
    </xf>
    <xf numFmtId="14" fontId="272" fillId="22" borderId="180" xfId="12" applyNumberFormat="1" applyFont="1" applyFill="1" applyBorder="1" applyAlignment="1">
      <alignment horizontal="right" vertical="center"/>
    </xf>
    <xf numFmtId="9" fontId="272" fillId="22" borderId="180" xfId="12" applyNumberFormat="1" applyFont="1" applyFill="1" applyBorder="1" applyAlignment="1">
      <alignment horizontal="right" vertical="center"/>
    </xf>
    <xf numFmtId="176" fontId="0" fillId="22" borderId="0" xfId="20" applyFont="1" applyFill="1" applyAlignment="1"/>
    <xf numFmtId="0" fontId="159" fillId="22" borderId="0" xfId="12" applyFill="1"/>
    <xf numFmtId="0" fontId="272" fillId="12" borderId="179" xfId="12" applyFont="1" applyFill="1" applyBorder="1" applyAlignment="1">
      <alignment horizontal="right" vertical="center"/>
    </xf>
    <xf numFmtId="14" fontId="271" fillId="12" borderId="180" xfId="12" applyNumberFormat="1" applyFont="1" applyFill="1" applyBorder="1"/>
    <xf numFmtId="0" fontId="272" fillId="22" borderId="180" xfId="12" applyFont="1" applyFill="1" applyBorder="1" applyAlignment="1">
      <alignment horizontal="left" vertical="center"/>
    </xf>
    <xf numFmtId="0" fontId="0" fillId="0" borderId="0" xfId="0" applyBorder="1">
      <alignment vertical="center"/>
    </xf>
    <xf numFmtId="0" fontId="95" fillId="0" borderId="0" xfId="0" applyFont="1" applyBorder="1" applyAlignment="1">
      <alignment horizontal="left" vertical="center"/>
    </xf>
    <xf numFmtId="177" fontId="95" fillId="0" borderId="0" xfId="0" applyNumberFormat="1" applyFont="1" applyBorder="1" applyAlignment="1">
      <alignment horizontal="left" vertical="center"/>
    </xf>
    <xf numFmtId="0" fontId="0" fillId="0" borderId="0" xfId="0" applyBorder="1" applyAlignment="1">
      <alignment horizontal="left" vertical="center"/>
    </xf>
    <xf numFmtId="177" fontId="95" fillId="0" borderId="0" xfId="0" applyNumberFormat="1" applyFont="1" applyBorder="1" applyAlignment="1">
      <alignment horizontal="left" vertical="center" wrapText="1"/>
    </xf>
    <xf numFmtId="10" fontId="95" fillId="0" borderId="0" xfId="17" applyNumberFormat="1" applyFont="1" applyBorder="1" applyAlignment="1">
      <alignment horizontal="left" vertical="center"/>
    </xf>
    <xf numFmtId="0" fontId="95" fillId="0" borderId="0" xfId="18" applyNumberFormat="1">
      <alignment vertical="center"/>
    </xf>
    <xf numFmtId="10" fontId="44" fillId="9" borderId="1" xfId="0" applyNumberFormat="1" applyFont="1" applyFill="1" applyBorder="1" applyAlignment="1" applyProtection="1">
      <alignment horizontal="center" vertical="center"/>
      <protection locked="0"/>
    </xf>
    <xf numFmtId="182" fontId="44" fillId="9" borderId="1" xfId="0" applyNumberFormat="1" applyFont="1" applyFill="1" applyBorder="1" applyAlignment="1" applyProtection="1">
      <alignment vertical="center"/>
      <protection locked="0"/>
    </xf>
    <xf numFmtId="10" fontId="269" fillId="16" borderId="0" xfId="17" applyNumberFormat="1" applyFont="1" applyFill="1">
      <alignment vertical="center"/>
    </xf>
    <xf numFmtId="10" fontId="270" fillId="16" borderId="0" xfId="17" applyNumberFormat="1" applyFont="1" applyFill="1">
      <alignment vertical="center"/>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269" fillId="0" borderId="35" xfId="0" applyNumberFormat="1" applyFont="1" applyBorder="1" applyAlignment="1">
      <alignment horizontal="center" vertical="center"/>
    </xf>
    <xf numFmtId="0" fontId="269" fillId="0" borderId="35" xfId="0" applyFont="1" applyBorder="1" applyAlignment="1">
      <alignment horizontal="center" vertical="center"/>
    </xf>
    <xf numFmtId="0" fontId="269" fillId="0" borderId="1" xfId="0" applyFont="1" applyBorder="1" applyAlignment="1">
      <alignment horizontal="center" vertical="center"/>
    </xf>
    <xf numFmtId="0" fontId="0" fillId="0" borderId="1" xfId="0" applyBorder="1" applyAlignment="1">
      <alignment horizontal="center" vertical="center"/>
    </xf>
    <xf numFmtId="177" fontId="270" fillId="0" borderId="35" xfId="0" applyNumberFormat="1" applyFont="1" applyBorder="1" applyAlignment="1">
      <alignment horizontal="center" vertical="center"/>
    </xf>
    <xf numFmtId="0" fontId="270" fillId="0" borderId="35" xfId="0" applyFont="1" applyBorder="1" applyAlignment="1">
      <alignment horizontal="center" vertical="center"/>
    </xf>
    <xf numFmtId="0" fontId="270" fillId="0" borderId="1" xfId="0" applyFont="1" applyBorder="1" applyAlignment="1">
      <alignment horizontal="center" vertical="center"/>
    </xf>
    <xf numFmtId="0" fontId="272" fillId="12" borderId="177" xfId="12" applyFont="1" applyFill="1" applyBorder="1" applyAlignment="1">
      <alignment horizontal="center" vertical="center" wrapText="1"/>
    </xf>
    <xf numFmtId="0" fontId="272" fillId="12" borderId="179" xfId="12" applyFont="1" applyFill="1" applyBorder="1" applyAlignment="1">
      <alignment horizontal="center" vertical="center" wrapText="1"/>
    </xf>
    <xf numFmtId="0" fontId="272" fillId="12" borderId="177" xfId="12" applyFont="1" applyFill="1" applyBorder="1" applyAlignment="1">
      <alignment horizontal="center" vertical="center"/>
    </xf>
    <xf numFmtId="0" fontId="272" fillId="12" borderId="179" xfId="12" applyFont="1" applyFill="1" applyBorder="1" applyAlignment="1">
      <alignment horizontal="center" vertical="center"/>
    </xf>
    <xf numFmtId="176" fontId="272" fillId="12" borderId="177" xfId="20" applyFont="1" applyFill="1" applyBorder="1" applyAlignment="1">
      <alignment horizontal="center" vertical="center"/>
    </xf>
    <xf numFmtId="176" fontId="272" fillId="12" borderId="179" xfId="20" applyFont="1" applyFill="1" applyBorder="1" applyAlignment="1">
      <alignment horizontal="center" vertical="center"/>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84202</xdr:colOff>
      <xdr:row>39</xdr:row>
      <xdr:rowOff>25131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402" cy="6711681"/>
        </a:xfrm>
        <a:prstGeom prst="rect">
          <a:avLst/>
        </a:prstGeom>
      </xdr:spPr>
    </xdr:pic>
    <xdr:clientData/>
  </xdr:twoCellAnchor>
  <xdr:twoCellAnchor>
    <xdr:from>
      <xdr:col>5</xdr:col>
      <xdr:colOff>104775</xdr:colOff>
      <xdr:row>11</xdr:row>
      <xdr:rowOff>19050</xdr:rowOff>
    </xdr:from>
    <xdr:to>
      <xdr:col>5</xdr:col>
      <xdr:colOff>514350</xdr:colOff>
      <xdr:row>13</xdr:row>
      <xdr:rowOff>66675</xdr:rowOff>
    </xdr:to>
    <xdr:sp macro="" textlink="">
      <xdr:nvSpPr>
        <xdr:cNvPr id="3" name="五角星 2"/>
        <xdr:cNvSpPr/>
      </xdr:nvSpPr>
      <xdr:spPr>
        <a:xfrm>
          <a:off x="3533775" y="1905000"/>
          <a:ext cx="409575" cy="390525"/>
        </a:xfrm>
        <a:prstGeom prst="star5">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171451</xdr:colOff>
      <xdr:row>4</xdr:row>
      <xdr:rowOff>114300</xdr:rowOff>
    </xdr:from>
    <xdr:to>
      <xdr:col>8</xdr:col>
      <xdr:colOff>190500</xdr:colOff>
      <xdr:row>6</xdr:row>
      <xdr:rowOff>28575</xdr:rowOff>
    </xdr:to>
    <xdr:sp macro="" textlink="">
      <xdr:nvSpPr>
        <xdr:cNvPr id="4" name="矩形标注 3"/>
        <xdr:cNvSpPr/>
      </xdr:nvSpPr>
      <xdr:spPr>
        <a:xfrm>
          <a:off x="4972051" y="8001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a:t>
          </a:r>
          <a:r>
            <a:rPr lang="zh-CN" altLang="en-US" sz="1000"/>
            <a:t>元左右</a:t>
          </a:r>
        </a:p>
      </xdr:txBody>
    </xdr:sp>
    <xdr:clientData/>
  </xdr:twoCellAnchor>
  <xdr:twoCellAnchor>
    <xdr:from>
      <xdr:col>9</xdr:col>
      <xdr:colOff>342900</xdr:colOff>
      <xdr:row>4</xdr:row>
      <xdr:rowOff>9525</xdr:rowOff>
    </xdr:from>
    <xdr:to>
      <xdr:col>10</xdr:col>
      <xdr:colOff>361949</xdr:colOff>
      <xdr:row>5</xdr:row>
      <xdr:rowOff>95250</xdr:rowOff>
    </xdr:to>
    <xdr:sp macro="" textlink="">
      <xdr:nvSpPr>
        <xdr:cNvPr id="5" name="矩形标注 4"/>
        <xdr:cNvSpPr/>
      </xdr:nvSpPr>
      <xdr:spPr>
        <a:xfrm>
          <a:off x="6515100" y="695325"/>
          <a:ext cx="704849" cy="257175"/>
        </a:xfrm>
        <a:prstGeom prst="wedgeRectCallout">
          <a:avLst>
            <a:gd name="adj1" fmla="val -72247"/>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8</xdr:col>
      <xdr:colOff>409575</xdr:colOff>
      <xdr:row>14</xdr:row>
      <xdr:rowOff>123825</xdr:rowOff>
    </xdr:from>
    <xdr:to>
      <xdr:col>9</xdr:col>
      <xdr:colOff>428624</xdr:colOff>
      <xdr:row>16</xdr:row>
      <xdr:rowOff>38100</xdr:rowOff>
    </xdr:to>
    <xdr:sp macro="" textlink="">
      <xdr:nvSpPr>
        <xdr:cNvPr id="6" name="矩形标注 5"/>
        <xdr:cNvSpPr/>
      </xdr:nvSpPr>
      <xdr:spPr>
        <a:xfrm>
          <a:off x="5895975" y="2524125"/>
          <a:ext cx="704849" cy="257175"/>
        </a:xfrm>
        <a:prstGeom prst="wedgeRectCallout">
          <a:avLst>
            <a:gd name="adj1" fmla="val 27753"/>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10</xdr:col>
      <xdr:colOff>209550</xdr:colOff>
      <xdr:row>13</xdr:row>
      <xdr:rowOff>0</xdr:rowOff>
    </xdr:from>
    <xdr:to>
      <xdr:col>11</xdr:col>
      <xdr:colOff>314325</xdr:colOff>
      <xdr:row>14</xdr:row>
      <xdr:rowOff>85725</xdr:rowOff>
    </xdr:to>
    <xdr:sp macro="" textlink="">
      <xdr:nvSpPr>
        <xdr:cNvPr id="7" name="矩形标注 6"/>
        <xdr:cNvSpPr/>
      </xdr:nvSpPr>
      <xdr:spPr>
        <a:xfrm>
          <a:off x="7067550" y="2228850"/>
          <a:ext cx="790575" cy="257175"/>
        </a:xfrm>
        <a:prstGeom prst="wedgeRectCallout">
          <a:avLst>
            <a:gd name="adj1" fmla="val -33058"/>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a:t>
          </a:r>
          <a:r>
            <a:rPr lang="zh-CN" altLang="en-US" sz="1000"/>
            <a:t>元左右</a:t>
          </a:r>
        </a:p>
      </xdr:txBody>
    </xdr:sp>
    <xdr:clientData/>
  </xdr:twoCellAnchor>
  <xdr:twoCellAnchor>
    <xdr:from>
      <xdr:col>11</xdr:col>
      <xdr:colOff>76200</xdr:colOff>
      <xdr:row>9</xdr:row>
      <xdr:rowOff>28575</xdr:rowOff>
    </xdr:from>
    <xdr:to>
      <xdr:col>12</xdr:col>
      <xdr:colOff>95249</xdr:colOff>
      <xdr:row>10</xdr:row>
      <xdr:rowOff>114300</xdr:rowOff>
    </xdr:to>
    <xdr:sp macro="" textlink="">
      <xdr:nvSpPr>
        <xdr:cNvPr id="8" name="矩形标注 7"/>
        <xdr:cNvSpPr/>
      </xdr:nvSpPr>
      <xdr:spPr>
        <a:xfrm>
          <a:off x="7620000" y="15716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2-3</a:t>
          </a:r>
          <a:r>
            <a:rPr lang="zh-CN" altLang="en-US" sz="1000"/>
            <a:t>元</a:t>
          </a:r>
        </a:p>
      </xdr:txBody>
    </xdr:sp>
    <xdr:clientData/>
  </xdr:twoCellAnchor>
  <xdr:twoCellAnchor>
    <xdr:from>
      <xdr:col>11</xdr:col>
      <xdr:colOff>142875</xdr:colOff>
      <xdr:row>17</xdr:row>
      <xdr:rowOff>85725</xdr:rowOff>
    </xdr:from>
    <xdr:to>
      <xdr:col>12</xdr:col>
      <xdr:colOff>161924</xdr:colOff>
      <xdr:row>19</xdr:row>
      <xdr:rowOff>0</xdr:rowOff>
    </xdr:to>
    <xdr:sp macro="" textlink="">
      <xdr:nvSpPr>
        <xdr:cNvPr id="9" name="矩形标注 8"/>
        <xdr:cNvSpPr/>
      </xdr:nvSpPr>
      <xdr:spPr>
        <a:xfrm>
          <a:off x="7686675" y="3000375"/>
          <a:ext cx="704849" cy="257175"/>
        </a:xfrm>
        <a:prstGeom prst="wedgeRectCallout">
          <a:avLst>
            <a:gd name="adj1" fmla="val -34409"/>
            <a:gd name="adj2" fmla="val -879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2.6</a:t>
          </a:r>
          <a:r>
            <a:rPr lang="zh-CN" altLang="en-US" sz="1000"/>
            <a:t>元左右</a:t>
          </a:r>
        </a:p>
      </xdr:txBody>
    </xdr:sp>
    <xdr:clientData/>
  </xdr:twoCellAnchor>
  <xdr:twoCellAnchor>
    <xdr:from>
      <xdr:col>10</xdr:col>
      <xdr:colOff>247650</xdr:colOff>
      <xdr:row>20</xdr:row>
      <xdr:rowOff>152400</xdr:rowOff>
    </xdr:from>
    <xdr:to>
      <xdr:col>11</xdr:col>
      <xdr:colOff>295275</xdr:colOff>
      <xdr:row>22</xdr:row>
      <xdr:rowOff>66675</xdr:rowOff>
    </xdr:to>
    <xdr:sp macro="" textlink="">
      <xdr:nvSpPr>
        <xdr:cNvPr id="10" name="矩形标注 9"/>
        <xdr:cNvSpPr/>
      </xdr:nvSpPr>
      <xdr:spPr>
        <a:xfrm>
          <a:off x="7105650" y="3581400"/>
          <a:ext cx="733425" cy="257175"/>
        </a:xfrm>
        <a:prstGeom prst="wedgeRectCallout">
          <a:avLst>
            <a:gd name="adj1" fmla="val -8734"/>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2.7</a:t>
          </a:r>
          <a:r>
            <a:rPr lang="zh-CN" altLang="en-US" sz="1000"/>
            <a:t>元左右</a:t>
          </a:r>
        </a:p>
      </xdr:txBody>
    </xdr:sp>
    <xdr:clientData/>
  </xdr:twoCellAnchor>
  <xdr:twoCellAnchor>
    <xdr:from>
      <xdr:col>9</xdr:col>
      <xdr:colOff>123825</xdr:colOff>
      <xdr:row>24</xdr:row>
      <xdr:rowOff>47625</xdr:rowOff>
    </xdr:from>
    <xdr:to>
      <xdr:col>10</xdr:col>
      <xdr:colOff>142874</xdr:colOff>
      <xdr:row>25</xdr:row>
      <xdr:rowOff>133350</xdr:rowOff>
    </xdr:to>
    <xdr:sp macro="" textlink="">
      <xdr:nvSpPr>
        <xdr:cNvPr id="11" name="矩形标注 10"/>
        <xdr:cNvSpPr/>
      </xdr:nvSpPr>
      <xdr:spPr>
        <a:xfrm>
          <a:off x="6296025" y="4162425"/>
          <a:ext cx="704849" cy="257175"/>
        </a:xfrm>
        <a:prstGeom prst="wedgeRectCallout">
          <a:avLst>
            <a:gd name="adj1" fmla="val 26402"/>
            <a:gd name="adj2" fmla="val -1064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285750</xdr:colOff>
      <xdr:row>20</xdr:row>
      <xdr:rowOff>114300</xdr:rowOff>
    </xdr:from>
    <xdr:to>
      <xdr:col>8</xdr:col>
      <xdr:colOff>304799</xdr:colOff>
      <xdr:row>22</xdr:row>
      <xdr:rowOff>28575</xdr:rowOff>
    </xdr:to>
    <xdr:sp macro="" textlink="">
      <xdr:nvSpPr>
        <xdr:cNvPr id="12" name="矩形标注 11"/>
        <xdr:cNvSpPr/>
      </xdr:nvSpPr>
      <xdr:spPr>
        <a:xfrm>
          <a:off x="5086350" y="35433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5</xdr:col>
      <xdr:colOff>123825</xdr:colOff>
      <xdr:row>25</xdr:row>
      <xdr:rowOff>57150</xdr:rowOff>
    </xdr:from>
    <xdr:to>
      <xdr:col>6</xdr:col>
      <xdr:colOff>142874</xdr:colOff>
      <xdr:row>26</xdr:row>
      <xdr:rowOff>142875</xdr:rowOff>
    </xdr:to>
    <xdr:sp macro="" textlink="">
      <xdr:nvSpPr>
        <xdr:cNvPr id="13" name="矩形标注 12"/>
        <xdr:cNvSpPr/>
      </xdr:nvSpPr>
      <xdr:spPr>
        <a:xfrm>
          <a:off x="3552825" y="43434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495300</xdr:colOff>
      <xdr:row>30</xdr:row>
      <xdr:rowOff>9525</xdr:rowOff>
    </xdr:from>
    <xdr:to>
      <xdr:col>6</xdr:col>
      <xdr:colOff>514349</xdr:colOff>
      <xdr:row>31</xdr:row>
      <xdr:rowOff>95250</xdr:rowOff>
    </xdr:to>
    <xdr:sp macro="" textlink="">
      <xdr:nvSpPr>
        <xdr:cNvPr id="14" name="矩形标注 13"/>
        <xdr:cNvSpPr/>
      </xdr:nvSpPr>
      <xdr:spPr>
        <a:xfrm>
          <a:off x="3924300" y="51530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323850</xdr:colOff>
      <xdr:row>34</xdr:row>
      <xdr:rowOff>66675</xdr:rowOff>
    </xdr:from>
    <xdr:to>
      <xdr:col>6</xdr:col>
      <xdr:colOff>342899</xdr:colOff>
      <xdr:row>35</xdr:row>
      <xdr:rowOff>152400</xdr:rowOff>
    </xdr:to>
    <xdr:sp macro="" textlink="">
      <xdr:nvSpPr>
        <xdr:cNvPr id="15" name="矩形标注 14"/>
        <xdr:cNvSpPr/>
      </xdr:nvSpPr>
      <xdr:spPr>
        <a:xfrm>
          <a:off x="3752850" y="589597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57150</xdr:colOff>
      <xdr:row>34</xdr:row>
      <xdr:rowOff>9525</xdr:rowOff>
    </xdr:from>
    <xdr:to>
      <xdr:col>8</xdr:col>
      <xdr:colOff>76199</xdr:colOff>
      <xdr:row>35</xdr:row>
      <xdr:rowOff>95250</xdr:rowOff>
    </xdr:to>
    <xdr:sp macro="" textlink="">
      <xdr:nvSpPr>
        <xdr:cNvPr id="16" name="矩形标注 15"/>
        <xdr:cNvSpPr/>
      </xdr:nvSpPr>
      <xdr:spPr>
        <a:xfrm>
          <a:off x="4857750" y="58388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530373</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9973" cy="6029325"/>
        </a:xfrm>
        <a:prstGeom prst="rect">
          <a:avLst/>
        </a:prstGeom>
      </xdr:spPr>
    </xdr:pic>
    <xdr:clientData/>
  </xdr:twoCellAnchor>
  <xdr:twoCellAnchor editAs="oneCell">
    <xdr:from>
      <xdr:col>0</xdr:col>
      <xdr:colOff>0</xdr:colOff>
      <xdr:row>34</xdr:row>
      <xdr:rowOff>142874</xdr:rowOff>
    </xdr:from>
    <xdr:to>
      <xdr:col>12</xdr:col>
      <xdr:colOff>584205</xdr:colOff>
      <xdr:row>70</xdr:row>
      <xdr:rowOff>37051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72174"/>
          <a:ext cx="8813805" cy="6066377"/>
        </a:xfrm>
        <a:prstGeom prst="rect">
          <a:avLst/>
        </a:prstGeom>
      </xdr:spPr>
    </xdr:pic>
    <xdr:clientData/>
  </xdr:twoCellAnchor>
  <xdr:twoCellAnchor editAs="oneCell">
    <xdr:from>
      <xdr:col>0</xdr:col>
      <xdr:colOff>0</xdr:colOff>
      <xdr:row>69</xdr:row>
      <xdr:rowOff>171449</xdr:rowOff>
    </xdr:from>
    <xdr:to>
      <xdr:col>12</xdr:col>
      <xdr:colOff>611883</xdr:colOff>
      <xdr:row>105</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499"/>
          <a:ext cx="8841483" cy="6085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5151;&#22320;&#20135;.%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22-1-0411&#21271;&#20140;&#24066;&#21271;&#20140;&#32463;&#27982;&#25216;&#26415;&#24320;&#21457;&#21306;&#31185;&#21019;&#21313;&#34903;18&#21495;&#38498;&#24037;&#19994;&#29992;&#25151;/F02/&#26368;&#32456;/12.6&#20134;&#24196;&#31185;&#21019;&#21313;&#34903;18&#21495;&#38498;&#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cell r="D55" t="str">
            <v>挂牌</v>
          </cell>
        </row>
        <row r="57">
          <cell r="B57" t="str">
            <v>用途</v>
          </cell>
          <cell r="C57" t="str">
            <v>工业</v>
          </cell>
        </row>
        <row r="88">
          <cell r="B88" t="str">
            <v>建筑类型</v>
          </cell>
          <cell r="C88" t="str">
            <v>工业厂房</v>
          </cell>
        </row>
        <row r="93">
          <cell r="B93" t="str">
            <v>建筑结构</v>
          </cell>
          <cell r="C93" t="str">
            <v>钢混</v>
          </cell>
          <cell r="D93" t="str">
            <v>砖混</v>
          </cell>
          <cell r="E93" t="str">
            <v>砖木</v>
          </cell>
        </row>
        <row r="95">
          <cell r="B95" t="str">
            <v>公共部分装修</v>
          </cell>
          <cell r="C95" t="str">
            <v>精装修</v>
          </cell>
          <cell r="D95" t="str">
            <v>普通装修</v>
          </cell>
          <cell r="E95" t="str">
            <v>简单装修</v>
          </cell>
        </row>
        <row r="100">
          <cell r="B100" t="str">
            <v>物业管理</v>
          </cell>
          <cell r="C100" t="str">
            <v>普通</v>
          </cell>
          <cell r="D100" t="str">
            <v>无</v>
          </cell>
        </row>
        <row r="102">
          <cell r="B102" t="str">
            <v>市政基础设施</v>
          </cell>
          <cell r="C102" t="str">
            <v>六通</v>
          </cell>
          <cell r="D102" t="str">
            <v>五通</v>
          </cell>
        </row>
        <row r="104">
          <cell r="B104" t="str">
            <v>内部装修</v>
          </cell>
          <cell r="C104" t="str">
            <v>简单装修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成本"/>
      <sheetName val="租金水平"/>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估价对象为北京市房地产，为所有。根据《国有土地使用证》[]，估价对象（分摊）出让国有建设用地使用权面积为49786平方米，建筑面积为71671.43平方米。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估价对象为北京市房地产,为开发建设的，该项目尚在开发建设中。根据《国有土地使用证》[]，估价对象（分摊）出让国有建设用地使用权面积为49786平方米，规划建筑面积为71671.43平方米。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2023年11月15日（评估专业人员实地查勘之日）</v>
      </c>
    </row>
    <row r="13" spans="1:2" s="1203" customFormat="1">
      <c r="A13" s="1201" t="s">
        <v>529</v>
      </c>
      <c r="B13" s="1202"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80297</v>
      </c>
    </row>
    <row r="21" spans="1:2" s="1203" customFormat="1">
      <c r="A21" s="1201" t="s">
        <v>537</v>
      </c>
      <c r="B21" s="1202">
        <f ca="1">'预评函-2'!D7</f>
        <v>11203</v>
      </c>
    </row>
    <row r="22" spans="1:2" s="1203" customFormat="1">
      <c r="A22" s="1201" t="s">
        <v>538</v>
      </c>
      <c r="B22" s="1202" t="str">
        <f ca="1">'预评函-2'!D6</f>
        <v>捌亿零贰佰玖拾柒万元整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80297</v>
      </c>
    </row>
    <row r="31" spans="1:2" s="1203" customFormat="1">
      <c r="A31" s="1201" t="s">
        <v>576</v>
      </c>
      <c r="B31" s="1202">
        <f ca="1">'预评函-2'!D15</f>
        <v>11203</v>
      </c>
    </row>
    <row r="32" spans="1:2" s="1203" customFormat="1">
      <c r="A32" s="1201" t="s">
        <v>543</v>
      </c>
      <c r="B32" s="1202" t="str">
        <f ca="1">'预评函-2'!D14</f>
        <v>捌亿零贰佰玖拾柒万元整</v>
      </c>
    </row>
    <row r="33" spans="1:2" s="1203" customFormat="1">
      <c r="A33" s="1201" t="s">
        <v>578</v>
      </c>
      <c r="B33" s="1202" t="str">
        <f>'预评函-2'!B16</f>
        <v>4.抵押担保权已注销时的房地产抵押价值</v>
      </c>
    </row>
    <row r="34" spans="1:2" s="1203" customFormat="1">
      <c r="A34" s="1201" t="s">
        <v>596</v>
      </c>
      <c r="B34" s="1202">
        <f ca="1">'预评函-2'!D16</f>
        <v>80297</v>
      </c>
    </row>
    <row r="35" spans="1:2" s="1203" customFormat="1">
      <c r="A35" s="1201" t="s">
        <v>577</v>
      </c>
      <c r="B35" s="1202">
        <f ca="1">'预评函-2'!D18</f>
        <v>11203</v>
      </c>
    </row>
    <row r="36" spans="1:2" s="1203" customFormat="1">
      <c r="A36" s="1201" t="s">
        <v>544</v>
      </c>
      <c r="B36" s="1202" t="str">
        <f ca="1">'预评函-2'!D17</f>
        <v>捌亿零贰佰玖拾柒万元整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71671.429999999993</v>
      </c>
    </row>
    <row r="44" spans="1:2" s="1203" customFormat="1">
      <c r="A44" s="1201" t="s">
        <v>575</v>
      </c>
      <c r="B44" s="1202" t="str">
        <f>'预评函-3'!C2</f>
        <v>(分摊)土地面积</v>
      </c>
    </row>
    <row r="45" spans="1:2" s="1203" customFormat="1">
      <c r="A45" s="1201" t="s">
        <v>547</v>
      </c>
      <c r="B45" s="1202">
        <f>'预评函-3'!C4</f>
        <v>49786</v>
      </c>
    </row>
    <row r="46" spans="1:2" s="1203" customFormat="1">
      <c r="A46" s="1201" t="s">
        <v>573</v>
      </c>
      <c r="B46" s="1202" t="str">
        <f>'预评函-3'!D2</f>
        <v>出让国有建设用地使用权价值</v>
      </c>
    </row>
    <row r="47" spans="1:2" s="1203" customFormat="1">
      <c r="A47" s="1201" t="s">
        <v>548</v>
      </c>
      <c r="B47" s="1202">
        <f ca="1">'预评函-3'!D4</f>
        <v>24410</v>
      </c>
    </row>
    <row r="48" spans="1:2" s="1203" customFormat="1">
      <c r="A48" s="1201" t="s">
        <v>549</v>
      </c>
      <c r="B48" s="1202">
        <f ca="1">'预评函-3'!E4</f>
        <v>3405</v>
      </c>
    </row>
    <row r="49" spans="1:2" s="1203" customFormat="1">
      <c r="A49" s="1201" t="s">
        <v>550</v>
      </c>
      <c r="B49" s="1202" t="str">
        <f ca="1">'预评函-3'!D5</f>
        <v>贰亿肆仟肆佰壹拾万元整</v>
      </c>
    </row>
    <row r="50" spans="1:2" s="1203" customFormat="1">
      <c r="A50" s="1201" t="s">
        <v>574</v>
      </c>
      <c r="B50" s="1202" t="str">
        <f>'预评函-3'!F2</f>
        <v>在建建筑物价值</v>
      </c>
    </row>
    <row r="51" spans="1:2" s="1203" customFormat="1">
      <c r="A51" s="1201" t="s">
        <v>551</v>
      </c>
      <c r="B51" s="1202">
        <f ca="1">'预评函-3'!F4</f>
        <v>55887</v>
      </c>
    </row>
    <row r="52" spans="1:2" s="1203" customFormat="1">
      <c r="A52" s="1201" t="s">
        <v>552</v>
      </c>
      <c r="B52" s="1202">
        <f ca="1">'预评函-3'!G4</f>
        <v>7798</v>
      </c>
    </row>
    <row r="53" spans="1:2" s="1203" customFormat="1">
      <c r="A53" s="1201" t="s">
        <v>580</v>
      </c>
      <c r="B53" s="1202" t="str">
        <f ca="1">'预评函-3'!F5</f>
        <v>伍亿伍仟捌佰捌拾柒万元整</v>
      </c>
    </row>
    <row r="54" spans="1:2" s="1203" customFormat="1">
      <c r="A54" s="1201" t="s">
        <v>598</v>
      </c>
      <c r="B54" s="1202" t="str">
        <f>'预评函-3'!A8</f>
        <v>房地产抵押价值</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4" t="s">
        <v>385</v>
      </c>
      <c r="C54" s="1551" t="s">
        <v>583</v>
      </c>
    </row>
    <row r="55" spans="1:4">
      <c r="A55" s="3563"/>
      <c r="B55" s="1554" t="s">
        <v>386</v>
      </c>
      <c r="C55" s="1551" t="s">
        <v>584</v>
      </c>
    </row>
    <row r="56" spans="1:4">
      <c r="A56" s="3563"/>
      <c r="B56" s="1554" t="s">
        <v>387</v>
      </c>
      <c r="C56" s="1551" t="s">
        <v>588</v>
      </c>
    </row>
    <row r="57" spans="1:4">
      <c r="A57" s="356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5" sqref="E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64" t="s">
        <v>2575</v>
      </c>
      <c r="J2" s="3564"/>
      <c r="K2" s="3564"/>
      <c r="L2" s="3564"/>
      <c r="M2" s="3564"/>
      <c r="N2" s="3564"/>
      <c r="O2" s="3564"/>
      <c r="P2" s="3564"/>
      <c r="Q2" s="3564"/>
      <c r="R2" s="3564"/>
    </row>
    <row r="3" spans="1:18">
      <c r="A3" s="3020" t="s">
        <v>2496</v>
      </c>
      <c r="B3" s="3021">
        <f>项目基本情况!D3</f>
        <v>45245</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3" t="str">
        <f>IF(B10="北京市","北京市",C10)&amp;F10&amp;IF(结果表!G1="在建","出让国有建设用地使用权及在建建筑物",IF(结果表!G1="土地","出让国有建设用地使用权",))&amp;B9&amp;"预评估"</f>
        <v>北京市房地产抵押价值预评估</v>
      </c>
      <c r="C1" s="3574"/>
      <c r="D1" s="3574"/>
      <c r="E1" s="3574"/>
      <c r="F1" s="3574"/>
      <c r="G1" s="3574"/>
      <c r="H1" s="3574"/>
      <c r="I1" s="357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45245</v>
      </c>
      <c r="C3" s="2374" t="s">
        <v>2171</v>
      </c>
      <c r="D3" s="2373">
        <f>B3</f>
        <v>45245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76" t="s">
        <v>2177</v>
      </c>
      <c r="E8" s="2391" t="s">
        <v>3375</v>
      </c>
      <c r="F8" s="2392"/>
      <c r="G8" s="2663"/>
      <c r="H8" s="2663"/>
      <c r="I8" s="2663"/>
      <c r="J8" s="2439"/>
      <c r="K8" s="2614"/>
      <c r="L8" s="2613"/>
      <c r="M8" s="2613"/>
      <c r="N8" s="2439"/>
      <c r="O8" s="2450"/>
      <c r="P8" s="2439"/>
      <c r="Q8" s="2439"/>
      <c r="R8" s="2439"/>
    </row>
    <row r="9" spans="1:30" ht="13.5" thickBot="1">
      <c r="A9" s="2393" t="s">
        <v>2178</v>
      </c>
      <c r="B9" s="2394" t="s">
        <v>3376</v>
      </c>
      <c r="C9" s="2395"/>
      <c r="D9" s="3577"/>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v>59257</v>
      </c>
      <c r="G13" s="856"/>
      <c r="H13" s="856">
        <v>59257</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38.380000000000003</v>
      </c>
      <c r="G15" s="2410" t="str">
        <f>IF(A13="出让",IF(G13="","",ROUNDDOWN(MIN((G13-$D$3)/365,G14),2)),G14)</f>
        <v/>
      </c>
      <c r="H15" s="2410">
        <f>IF(A13="出让",IF(H13="","",ROUNDDOWN(MIN((H13-$D$3)/365,H14),2)),H14)</f>
        <v>38.380000000000003</v>
      </c>
      <c r="I15" s="2410" t="str">
        <f>IF(A13="出让",IF(I13="","",ROUNDDOWN(MIN((I13-$D$3)/365,I14),2)),I14)</f>
        <v/>
      </c>
      <c r="J15" s="3064"/>
      <c r="K15" s="2451"/>
      <c r="L15" s="2451"/>
      <c r="M15" s="2509"/>
      <c r="N15" s="2451"/>
      <c r="O15" s="2509"/>
      <c r="P15" s="2439"/>
      <c r="Q15" s="2439"/>
      <c r="AD15" s="1745"/>
    </row>
    <row r="16" spans="1:30">
      <c r="A16" s="2400" t="s">
        <v>2193</v>
      </c>
      <c r="B16" s="3583"/>
      <c r="C16" s="3584"/>
      <c r="D16" s="3585"/>
      <c r="E16" s="2413" t="s">
        <v>2194</v>
      </c>
      <c r="F16" s="3586"/>
      <c r="G16" s="3587"/>
      <c r="H16" s="3587"/>
      <c r="I16" s="3588"/>
      <c r="J16" s="2439"/>
      <c r="K16" s="2617"/>
      <c r="L16" s="2451"/>
      <c r="M16" s="2451"/>
      <c r="N16" s="2509"/>
      <c r="O16" s="2451"/>
      <c r="P16" s="2509"/>
      <c r="Q16" s="2439"/>
      <c r="R16" s="2439"/>
    </row>
    <row r="17" spans="1:28">
      <c r="A17" s="313" t="s">
        <v>2195</v>
      </c>
      <c r="B17" s="302" t="s">
        <v>2196</v>
      </c>
      <c r="C17" s="8">
        <f>'数据-汇总表'!E3</f>
        <v>71671.429999999993</v>
      </c>
      <c r="D17" s="2322" t="s">
        <v>2197</v>
      </c>
      <c r="E17" s="3589" t="s">
        <v>2198</v>
      </c>
      <c r="F17" s="3590"/>
      <c r="G17" s="3590"/>
      <c r="H17" s="3590"/>
      <c r="I17" s="359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49786</v>
      </c>
      <c r="D18" s="1092" t="s">
        <v>2201</v>
      </c>
      <c r="E18" s="3592" t="s">
        <v>2202</v>
      </c>
      <c r="F18" s="3593"/>
      <c r="G18" s="3593"/>
      <c r="H18" s="3593"/>
      <c r="I18" s="359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9" t="s">
        <v>2206</v>
      </c>
      <c r="C20" s="3580"/>
      <c r="D20" s="3581" t="s">
        <v>2207</v>
      </c>
      <c r="E20" s="3582"/>
      <c r="F20" s="2647" t="s">
        <v>1056</v>
      </c>
      <c r="G20" s="2664"/>
      <c r="H20" s="2664"/>
      <c r="I20" s="2664"/>
      <c r="J20" s="2439"/>
      <c r="K20" s="357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7"/>
      <c r="B30" s="302" t="s">
        <v>2218</v>
      </c>
      <c r="C30" s="3568"/>
      <c r="D30" s="3569"/>
      <c r="E30" s="2664"/>
      <c r="F30" s="2664"/>
      <c r="G30" s="2664"/>
      <c r="H30" s="2664"/>
      <c r="I30" s="2664"/>
      <c r="J30" s="2439"/>
      <c r="K30" s="2616"/>
      <c r="L30" s="2613"/>
      <c r="M30" s="2613"/>
      <c r="N30" s="2439"/>
      <c r="O30" s="2450"/>
      <c r="P30" s="2439"/>
      <c r="Q30" s="2439"/>
      <c r="R30" s="2439"/>
      <c r="S30" s="2439"/>
      <c r="T30" s="2439"/>
      <c r="U30" s="2439"/>
      <c r="V30" s="2439"/>
    </row>
    <row r="31" spans="1:28">
      <c r="A31" s="357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65" t="s">
        <v>2228</v>
      </c>
      <c r="T34" s="2428" t="str">
        <f>NUMBERSTRING(7-K34,1)&amp;"通"</f>
        <v>七通</v>
      </c>
      <c r="U34" s="2439"/>
      <c r="V34" s="2439"/>
    </row>
    <row r="35" spans="1:30">
      <c r="A35" s="2429"/>
      <c r="B35" s="3572" t="s">
        <v>2229</v>
      </c>
      <c r="C35" s="3572"/>
      <c r="D35" s="3572"/>
      <c r="E35" s="357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面积!D9</f>
        <v>49786</v>
      </c>
      <c r="B3" s="11">
        <f>IF(C3="否",G5-AT5,G5)</f>
        <v>71671.429999999993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71671.429999999993</v>
      </c>
      <c r="H5" s="13">
        <f t="shared" ref="H5:AT5" si="0">SUM(H13:H656)</f>
        <v>71671.429999999993</v>
      </c>
      <c r="I5" s="13">
        <f t="shared" si="0"/>
        <v>62723.32</v>
      </c>
      <c r="J5" s="13">
        <f t="shared" si="0"/>
        <v>0</v>
      </c>
      <c r="K5" s="13">
        <f t="shared" si="0"/>
        <v>8948.11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71671.429999999993</v>
      </c>
      <c r="BA5" s="15">
        <f t="shared" si="1"/>
        <v>71671.429999999993</v>
      </c>
      <c r="BB5" s="15">
        <f t="shared" si="1"/>
        <v>62723.32</v>
      </c>
      <c r="BC5" s="15">
        <f t="shared" si="1"/>
        <v>8948.11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49786</v>
      </c>
      <c r="F6" s="13" t="s">
        <v>0</v>
      </c>
      <c r="G6" s="13" t="s">
        <v>1</v>
      </c>
      <c r="H6" s="17">
        <f>SUMIF(I$12:AB$12,"总值",I6:AB6)</f>
        <v>49786</v>
      </c>
      <c r="I6" s="13">
        <f t="shared" ref="I6:AB6" si="2">ROUND($A$3*I5/$B$3,2)</f>
        <v>43570.27</v>
      </c>
      <c r="J6" s="13">
        <f t="shared" si="2"/>
        <v>0</v>
      </c>
      <c r="K6" s="13">
        <f t="shared" si="2"/>
        <v>6215.73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49786</v>
      </c>
      <c r="AZ6" s="13" t="s">
        <v>2</v>
      </c>
      <c r="BA6" s="13">
        <f>ROUND($AY$6*BA5/$AZ$5,2)</f>
        <v>49786</v>
      </c>
      <c r="BB6" s="13">
        <f>ROUND($AY$6*BB5/$AZ$5,2)</f>
        <v>43570.27</v>
      </c>
      <c r="BC6" s="13">
        <f t="shared" ref="BC6:BH6" si="4">ROUND($AY$6*BC5/$AZ$5,2)</f>
        <v>6215.73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3409</v>
      </c>
      <c r="D13" s="1625" t="s">
        <v>3413</v>
      </c>
      <c r="E13" s="13">
        <f>IF($C$3="是",ROUND($A$3*G13/$B$3,2),ROUND($A$3*(G13-AT13)/$B$3,2))</f>
        <v>35213.57</v>
      </c>
      <c r="F13" s="29"/>
      <c r="G13" s="30">
        <f>H13+AC13+AT13</f>
        <v>50693.11</v>
      </c>
      <c r="H13" s="17">
        <f>SUMIF(I$12:AB$12,"总值",I13:AB13)</f>
        <v>50693.11</v>
      </c>
      <c r="I13" s="1626">
        <f>SUM(面积!D2:D5)</f>
        <v>44914.68</v>
      </c>
      <c r="J13" s="1626"/>
      <c r="K13" s="1626">
        <f>SUM(面积!E2:E5)</f>
        <v>5778.4299999999994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1、2、3、4、8、9、100</v>
      </c>
      <c r="AY13" s="1349">
        <f>ROUND($AY$6*AZ13/$AZ$5,2)</f>
        <v>35213.57</v>
      </c>
      <c r="AZ13" s="13">
        <f>BA13+BL13</f>
        <v>50693.11</v>
      </c>
      <c r="BA13" s="13">
        <f>SUM(BB13:BK13)</f>
        <v>50693.11</v>
      </c>
      <c r="BB13" s="13">
        <f>IF($D13="是",I13-J13,0)</f>
        <v>44914.68</v>
      </c>
      <c r="BC13" s="13">
        <f>IF($D13="是",K13-L13,0)</f>
        <v>5778.4299999999994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3410</v>
      </c>
      <c r="D14" s="1625" t="s">
        <v>3413</v>
      </c>
      <c r="E14" s="13">
        <f>IF($C$3="是",ROUND($A$3*G14/$B$3,2),ROUND($A$3*(G14-AT14)/$B$3,2))</f>
        <v>14572.43</v>
      </c>
      <c r="F14" s="29"/>
      <c r="G14" s="30">
        <f>H14+AC14+AT14</f>
        <v>20978.32</v>
      </c>
      <c r="H14" s="17">
        <f>SUMIF(I$12:AB$12,"总值",I14:AB14)</f>
        <v>20978.32</v>
      </c>
      <c r="I14" s="1626">
        <f>SUM(面积!D6:D7)</f>
        <v>17808.64</v>
      </c>
      <c r="J14" s="1626"/>
      <c r="K14" s="1626">
        <f>SUM(面积!E6:E7)</f>
        <v>3169.6800000000003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10、11</v>
      </c>
      <c r="AY14" s="1349">
        <f>ROUND($AY$6*AZ14/$AZ$5,2)</f>
        <v>14572.43</v>
      </c>
      <c r="AZ14" s="13">
        <f>BA14+BL14</f>
        <v>20978.32</v>
      </c>
      <c r="BA14" s="13">
        <f>SUM(BB14:BK14)</f>
        <v>20978.32</v>
      </c>
      <c r="BB14" s="13">
        <f>IF($D14="是",I14-J14,0)</f>
        <v>17808.64</v>
      </c>
      <c r="BC14" s="13">
        <f>IF($D14="是",K14-L14,0)</f>
        <v>3169.6800000000003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4" t="s">
        <v>1131</v>
      </c>
      <c r="B2" s="3604"/>
      <c r="C2" s="3604"/>
      <c r="D2" s="796" t="s">
        <v>1107</v>
      </c>
      <c r="E2" s="1639" t="s">
        <v>1108</v>
      </c>
      <c r="F2" s="2659"/>
      <c r="G2" s="2650"/>
      <c r="H2" s="2651"/>
      <c r="I2" s="2325" t="s">
        <v>1132</v>
      </c>
      <c r="J2" s="2659"/>
      <c r="K2" s="2659"/>
      <c r="L2" s="2659"/>
      <c r="M2" s="2659"/>
      <c r="N2" s="2661"/>
      <c r="O2" s="2659"/>
      <c r="P2" s="2659"/>
    </row>
    <row r="3" spans="1:16" ht="15.75" thickBot="1">
      <c r="A3" s="3605" t="s">
        <v>1105</v>
      </c>
      <c r="B3" s="3605"/>
      <c r="C3" s="3605"/>
      <c r="D3" s="43">
        <f>'数据-基础表'!AY6</f>
        <v>49786</v>
      </c>
      <c r="E3" s="43">
        <f>'数据-基础表'!AZ5</f>
        <v>71671.429999999993</v>
      </c>
      <c r="F3" s="2659"/>
      <c r="G3" s="1145"/>
      <c r="H3" s="1026" t="s">
        <v>1106</v>
      </c>
      <c r="I3" s="855">
        <f>ROUND('数据-基础表'!B3/'数据-基础表'!A3,2)</f>
        <v>1.44</v>
      </c>
      <c r="J3" s="2659"/>
      <c r="K3" s="2659"/>
      <c r="L3" s="2659"/>
      <c r="M3" s="2659"/>
      <c r="N3" s="2661"/>
      <c r="O3" s="2659"/>
      <c r="P3" s="2659"/>
    </row>
    <row r="4" spans="1:16" ht="15">
      <c r="A4" s="3606"/>
      <c r="B4" s="3607"/>
      <c r="C4" s="3608"/>
      <c r="D4" s="1641" t="s">
        <v>1107</v>
      </c>
      <c r="E4" s="1642" t="s">
        <v>1108</v>
      </c>
      <c r="F4" s="2659"/>
      <c r="G4" s="2652" t="s">
        <v>1133</v>
      </c>
      <c r="H4" s="1026" t="s">
        <v>1113</v>
      </c>
      <c r="I4" s="855">
        <f>ROUND(SUMIF('数据-基础表'!I9:AS9,"地上",'数据-基础表'!I5:AS5)/'数据-基础表'!A3,2)</f>
        <v>1.26</v>
      </c>
      <c r="J4" s="2659"/>
      <c r="K4" s="2659"/>
      <c r="L4" s="2659"/>
      <c r="M4" s="2659"/>
      <c r="N4" s="2661"/>
      <c r="O4" s="2659"/>
      <c r="P4" s="2659"/>
    </row>
    <row r="5" spans="1:16">
      <c r="A5" s="44" t="s">
        <v>1109</v>
      </c>
      <c r="B5" s="3609" t="s">
        <v>1110</v>
      </c>
      <c r="C5" s="3609"/>
      <c r="D5" s="45">
        <f>ROUND($D$3*E5/$E$3,2)</f>
        <v>0</v>
      </c>
      <c r="E5" s="46">
        <f>SUMIF('数据-基础表'!$11:$11,"住宅",'数据-基础表'!$5:$5)</f>
        <v>0</v>
      </c>
      <c r="F5" s="2659"/>
      <c r="G5" s="1145"/>
      <c r="H5" s="1026" t="s">
        <v>1106</v>
      </c>
      <c r="I5" s="855">
        <f>ROUND(E31/D31,2)</f>
        <v>1.44</v>
      </c>
      <c r="J5" s="2659"/>
      <c r="K5" s="2659"/>
      <c r="L5" s="2659"/>
      <c r="M5" s="2659"/>
      <c r="N5" s="2659"/>
      <c r="O5" s="2659"/>
      <c r="P5" s="2659"/>
    </row>
    <row r="6" spans="1:16" ht="15" thickBot="1">
      <c r="A6" s="1644"/>
      <c r="B6" s="3609" t="s">
        <v>1111</v>
      </c>
      <c r="C6" s="3609"/>
      <c r="D6" s="45">
        <f>ROUND($D$3*E6/$E$3,2)</f>
        <v>49786</v>
      </c>
      <c r="E6" s="46">
        <f>E3-E5</f>
        <v>71671.429999999993</v>
      </c>
      <c r="F6" s="2659"/>
      <c r="G6" s="2653" t="s">
        <v>1112</v>
      </c>
      <c r="H6" s="1146" t="s">
        <v>1113</v>
      </c>
      <c r="I6" s="2654">
        <f>ROUND(F31/D31,2)</f>
        <v>1.26</v>
      </c>
      <c r="J6" s="2659"/>
      <c r="K6" s="2659"/>
      <c r="L6" s="2659"/>
      <c r="M6" s="2659"/>
      <c r="N6" s="2659"/>
      <c r="O6" s="2659"/>
      <c r="P6" s="2659"/>
    </row>
    <row r="7" spans="1:16" ht="15.75" thickBot="1">
      <c r="A7" s="3601"/>
      <c r="B7" s="3602"/>
      <c r="C7" s="360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43570.27</v>
      </c>
      <c r="E8" s="48">
        <f>SUMIF('数据-基础表'!BB10:BK10,"地上",'数据-基础表'!BB5:BK5)</f>
        <v>62723.32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43570.27</v>
      </c>
      <c r="E16" s="50">
        <f>SUM(E8:E15)</f>
        <v>62723.32</v>
      </c>
      <c r="F16" s="2659"/>
      <c r="G16" s="2660"/>
      <c r="H16" s="1648" t="s">
        <v>1135</v>
      </c>
      <c r="I16" s="1649"/>
      <c r="J16" s="1139"/>
      <c r="K16" s="3598" t="s">
        <v>1135</v>
      </c>
      <c r="L16" s="3599"/>
      <c r="M16" s="3599"/>
      <c r="N16" s="3599"/>
      <c r="O16" s="3599"/>
      <c r="P16" s="3600"/>
    </row>
    <row r="17" spans="1:19" ht="15">
      <c r="A17" s="1650" t="s">
        <v>1136</v>
      </c>
      <c r="B17" s="1651" t="s">
        <v>1137</v>
      </c>
      <c r="C17" s="1652" t="s">
        <v>1138</v>
      </c>
      <c r="D17" s="1653" t="s">
        <v>1126</v>
      </c>
      <c r="E17" s="1654" t="s">
        <v>1127</v>
      </c>
      <c r="F17" s="1655"/>
      <c r="G17" s="1656"/>
      <c r="H17" s="1657" t="s">
        <v>1139</v>
      </c>
      <c r="I17" s="1658" t="s">
        <v>1124</v>
      </c>
      <c r="J17" s="1139"/>
      <c r="K17" s="3595" t="s">
        <v>1140</v>
      </c>
      <c r="L17" s="3596"/>
      <c r="M17" s="3597"/>
      <c r="N17" s="3595" t="s">
        <v>1141</v>
      </c>
      <c r="O17" s="3596"/>
      <c r="P17" s="359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49786</v>
      </c>
      <c r="E19" s="53">
        <f t="shared" ref="E19:E26" si="1">SUM(F19:G19)</f>
        <v>71671.429999999993</v>
      </c>
      <c r="F19" s="2795">
        <f>'数据-基础表'!I13+'数据-基础表'!I14</f>
        <v>62723.32</v>
      </c>
      <c r="G19" s="2796">
        <f>'数据-基础表'!K13+'数据-基础表'!K14</f>
        <v>8948.11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49786</v>
      </c>
      <c r="S19" s="1027">
        <f t="shared" si="5"/>
        <v>71671.429999999993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49786</v>
      </c>
      <c r="E27" s="1141">
        <f>IF(SUM(E19:E26)='数据-基础表'!BA5,SUM(E19:E26),IF(F27="地上面积有误","面积有误","地下面积有误"))</f>
        <v>71671.429999999993</v>
      </c>
      <c r="F27" s="1140">
        <f>IF(SUM(F19:F26)=E8,SUM(F19:F26),"地上面积有误")</f>
        <v>62723.32</v>
      </c>
      <c r="G27" s="1142">
        <f>SUM(G19:G26)</f>
        <v>8948.11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49786</v>
      </c>
      <c r="S27" s="1026">
        <f>IF(SUM(S19:S26)=$E$3,SUM(S19:S26),SUM(S19:S26)&amp;"误差"&amp;ROUND(SUM(S19:S26)-E3,2))</f>
        <v>71671.429999999993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49786</v>
      </c>
      <c r="E31" s="676">
        <f>E27+E30</f>
        <v>71671.429999999993</v>
      </c>
      <c r="F31" s="677">
        <f>F27+F30</f>
        <v>62723.32</v>
      </c>
      <c r="G31" s="678">
        <f>G27+G30</f>
        <v>8948.11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E6" activePane="bottomRight" state="frozen"/>
      <selection activeCell="C50" sqref="C50"/>
      <selection pane="topRight" activeCell="C50" sqref="C50"/>
      <selection pane="bottomLeft" activeCell="C50" sqref="C50"/>
      <selection pane="bottomRight" activeCell="AN25" sqref="AN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59257</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71671.429999999993</v>
      </c>
      <c r="L6" s="733">
        <v>5000</v>
      </c>
      <c r="M6" s="67">
        <f t="shared" ref="M6:M14" si="0">ROUND(K6*L6/10000,0)</f>
        <v>35836</v>
      </c>
      <c r="N6" s="731">
        <f>面积!J8</f>
        <v>0.91</v>
      </c>
      <c r="O6" s="67" t="str">
        <f>IF($N$5="成新度","——",ROUND(M6*N6,0))</f>
        <v>——</v>
      </c>
      <c r="P6" s="68" t="str">
        <f>IF($N$5="成新度","——",M6-O6)</f>
        <v>——</v>
      </c>
      <c r="Q6" s="734">
        <v>0.1</v>
      </c>
      <c r="R6" s="69">
        <f ca="1">SUMIF('数据-汇总表'!C$19:C$33,A6,'数据-汇总表'!R$19:R$27)</f>
        <v>49786</v>
      </c>
      <c r="S6" s="51">
        <f>IF('数据-汇总表'!$I$17="按面积比例",SUMIF('数据-汇总表'!C$19:C$33,A6,'数据-汇总表'!K$19:K$33),SUMIF('数据-汇总表'!C$19:C$33,A6,'数据-汇总表'!N$19:N$33))</f>
        <v>0</v>
      </c>
      <c r="T6" s="1172">
        <f>ROUND($L$14*S6/10000,0)</f>
        <v>0</v>
      </c>
      <c r="U6" s="3428">
        <v>2.5</v>
      </c>
      <c r="V6" s="70">
        <v>2.5000000000000001E-2</v>
      </c>
      <c r="W6" s="3519">
        <v>0.15</v>
      </c>
      <c r="X6" s="1040"/>
      <c r="Y6" s="71">
        <f>N6</f>
        <v>0.91</v>
      </c>
      <c r="Z6" s="72"/>
      <c r="AA6" s="66"/>
      <c r="AB6" s="66"/>
      <c r="AC6" s="1040"/>
      <c r="AD6" s="73"/>
      <c r="AE6" s="1041">
        <f ca="1">IF(AN6="",0,SUMIF(INDIRECT("'"&amp;AN6&amp;"'"&amp;"!E:E"),$AE$5,INDIRECT("'"&amp;AN6&amp;"'"&amp;"!F:F")))</f>
        <v>38.380000000000003</v>
      </c>
      <c r="AF6" s="1348"/>
      <c r="AG6" s="138">
        <f>IF(AF6="",0,AE6-AF6)</f>
        <v>0</v>
      </c>
      <c r="AH6" s="74"/>
      <c r="AI6" s="76">
        <v>365</v>
      </c>
      <c r="AJ6" s="77"/>
      <c r="AK6" s="3518">
        <v>0.01</v>
      </c>
      <c r="AL6" s="79">
        <v>1E-3</v>
      </c>
      <c r="AM6" s="80">
        <v>0.01</v>
      </c>
      <c r="AN6" s="1715" t="s">
        <v>3416</v>
      </c>
      <c r="AO6" s="52">
        <f ca="1">SUMIF(INDIRECT("'"&amp;AN6&amp;"'"&amp;"!A:A"),"总价",INDIRECT("'"&amp;AN6&amp;"'"&amp;"!B:B"))</f>
        <v>91375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71671.429999999993</v>
      </c>
      <c r="L16" s="93">
        <f>ROUND(M16*10000/SUM(K6:K14),0)</f>
        <v>5000</v>
      </c>
      <c r="M16" s="93">
        <f>SUM(M6:M14)</f>
        <v>35836</v>
      </c>
      <c r="N16" s="94">
        <f>ROUND(SUMPRODUCT(M6:M14,N6:N14)/M16,3)</f>
        <v>0.91</v>
      </c>
      <c r="O16" s="93">
        <f>SUM(O6:O14)</f>
        <v>0</v>
      </c>
      <c r="P16" s="93">
        <f>SUM(P6:P14)</f>
        <v>0</v>
      </c>
      <c r="Q16" s="95">
        <f>ROUND(SUMPRODUCT(Q6:Q13,K6:K13)/SUMPRODUCT((Q6:Q13&gt;0)*(K6:K13)),2)</f>
        <v>0.1</v>
      </c>
      <c r="R16" s="1034">
        <f ca="1">SUM(R6:R13)</f>
        <v>49786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1433</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0" t="s">
        <v>2277</v>
      </c>
      <c r="B1" s="3611"/>
      <c r="C1" s="3611"/>
      <c r="D1" s="3611"/>
      <c r="E1" s="3611"/>
      <c r="F1" s="3611"/>
      <c r="G1" s="361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6" sqref="K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71671.429999999993</v>
      </c>
      <c r="C1" s="2686"/>
      <c r="D1" s="2686"/>
      <c r="E1" s="2686"/>
      <c r="F1" s="2686"/>
      <c r="G1" s="2687"/>
      <c r="H1" s="2688"/>
      <c r="I1" s="2688"/>
      <c r="J1" s="2688"/>
      <c r="K1" s="2688"/>
    </row>
    <row r="2" spans="1:11" ht="16.5">
      <c r="A2" s="2512" t="s">
        <v>653</v>
      </c>
      <c r="B2" s="2512">
        <f>SUM(C14:C23)</f>
        <v>49786</v>
      </c>
      <c r="C2" s="2686"/>
      <c r="D2" s="2686"/>
      <c r="E2" s="2686"/>
      <c r="F2" s="2686"/>
      <c r="G2" s="2687"/>
      <c r="H2" s="2688"/>
      <c r="I2" s="2688"/>
      <c r="J2" s="2688"/>
      <c r="K2" s="2688"/>
    </row>
    <row r="3" spans="1:11" ht="16.5">
      <c r="A3" s="2512" t="s">
        <v>662</v>
      </c>
      <c r="B3" s="2514">
        <f>项目基本情况!D3</f>
        <v>45245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80297</v>
      </c>
      <c r="C5" s="2512">
        <f ca="1">IF(B5=D14,结果表!H102,ROUND(B5*10000/$B$1,0))</f>
        <v>11203</v>
      </c>
      <c r="D5" s="2512">
        <f ca="1">ROUND(B5*10000/$B$2,0)</f>
        <v>16128</v>
      </c>
      <c r="E5" s="2686"/>
      <c r="F5" s="2687"/>
      <c r="G5" s="2687"/>
      <c r="H5" s="2688"/>
      <c r="I5" s="2688"/>
      <c r="J5" s="2688"/>
      <c r="K5" s="2688"/>
    </row>
    <row r="6" spans="1:11" ht="16.5">
      <c r="A6" s="2512" t="s">
        <v>656</v>
      </c>
      <c r="B6" s="2512">
        <f ca="1">SUM(G14:G23)</f>
        <v>80297</v>
      </c>
      <c r="C6" s="2512">
        <f ca="1">IF(B6=G14,结果表!H108,ROUND(B6*10000/$B$1,0))</f>
        <v>11203</v>
      </c>
      <c r="D6" s="2512">
        <f ca="1">ROUND(B6*10000/$B$2,0)</f>
        <v>16128</v>
      </c>
      <c r="E6" s="2686"/>
      <c r="F6" s="2687"/>
      <c r="G6" s="2687"/>
      <c r="H6" s="2688"/>
      <c r="I6" s="2688"/>
      <c r="J6" s="2688"/>
      <c r="K6" s="2688"/>
    </row>
    <row r="7" spans="1:11" ht="16.5">
      <c r="A7" s="2512" t="s">
        <v>664</v>
      </c>
      <c r="B7" s="2512">
        <f>SUM(H14:H23)</f>
        <v>0</v>
      </c>
      <c r="C7" s="2512">
        <f ca="1">IF(B7=H14,结果表!H110,ROUND(B7*10000/$B$1,0))</f>
        <v>11203</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71671.429999999993</v>
      </c>
      <c r="C14" s="2518">
        <f>'数据-汇总表'!D3</f>
        <v>49786</v>
      </c>
      <c r="D14" s="2518">
        <f ca="1">结果表!G19</f>
        <v>80297</v>
      </c>
      <c r="E14" s="2518">
        <f ca="1">ROUND(D14*10000/B14,0)</f>
        <v>11203</v>
      </c>
      <c r="F14" s="2518">
        <f ca="1">ROUND(D14*10000/C14,0)</f>
        <v>16128</v>
      </c>
      <c r="G14" s="2518">
        <f ca="1">D14</f>
        <v>80297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3450</v>
      </c>
      <c r="H1" s="1750" t="str">
        <f>IF(G1="现房","——","估价对象范围")</f>
        <v>——</v>
      </c>
      <c r="I1" s="1751" t="s">
        <v>3451</v>
      </c>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3452</v>
      </c>
      <c r="D4" s="1756" t="s">
        <v>3416</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6" t="s">
        <v>1268</v>
      </c>
      <c r="B5" s="3613">
        <v>25</v>
      </c>
      <c r="C5" s="3629"/>
      <c r="D5" s="3649"/>
      <c r="E5" s="131" t="s">
        <v>1269</v>
      </c>
      <c r="F5" s="1757"/>
      <c r="G5" s="1757"/>
      <c r="H5" s="1757"/>
      <c r="I5" s="1373"/>
    </row>
    <row r="6" spans="1:12" ht="12.75">
      <c r="A6" s="3626"/>
      <c r="B6" s="3613"/>
      <c r="C6" s="3630"/>
      <c r="D6" s="3649"/>
      <c r="E6" s="131" t="s">
        <v>1270</v>
      </c>
      <c r="F6" s="1757"/>
      <c r="G6" s="1757"/>
      <c r="H6" s="1757"/>
      <c r="I6" s="1373"/>
    </row>
    <row r="7" spans="1:12" ht="12.75">
      <c r="A7" s="3626"/>
      <c r="B7" s="3613"/>
      <c r="C7" s="3631"/>
      <c r="D7" s="3649"/>
      <c r="E7" s="131" t="s">
        <v>1271</v>
      </c>
      <c r="F7" s="1757"/>
      <c r="G7" s="1757"/>
      <c r="H7" s="1757"/>
      <c r="I7" s="1373"/>
    </row>
    <row r="8" spans="1:12" ht="12.75">
      <c r="A8" s="3626" t="s">
        <v>1272</v>
      </c>
      <c r="B8" s="3613">
        <v>15</v>
      </c>
      <c r="C8" s="3629"/>
      <c r="D8" s="3649"/>
      <c r="E8" s="131" t="s">
        <v>1273</v>
      </c>
      <c r="F8" s="1757"/>
      <c r="G8" s="1757"/>
      <c r="H8" s="1757"/>
      <c r="I8" s="1373"/>
    </row>
    <row r="9" spans="1:12" ht="12.75">
      <c r="A9" s="3626"/>
      <c r="B9" s="3613"/>
      <c r="C9" s="3631"/>
      <c r="D9" s="3649"/>
      <c r="E9" s="131" t="s">
        <v>1274</v>
      </c>
      <c r="F9" s="1757"/>
      <c r="G9" s="1757"/>
      <c r="H9" s="1757"/>
      <c r="I9" s="1373"/>
    </row>
    <row r="10" spans="1:12" ht="12.75">
      <c r="A10" s="3626" t="s">
        <v>1275</v>
      </c>
      <c r="B10" s="3613">
        <v>15</v>
      </c>
      <c r="C10" s="3629"/>
      <c r="D10" s="3649"/>
      <c r="E10" s="131" t="s">
        <v>1276</v>
      </c>
      <c r="F10" s="1757"/>
      <c r="G10" s="1757"/>
      <c r="H10" s="1757"/>
      <c r="I10" s="1373"/>
    </row>
    <row r="11" spans="1:12" ht="12.75">
      <c r="A11" s="3626"/>
      <c r="B11" s="3613"/>
      <c r="C11" s="3631"/>
      <c r="D11" s="3649"/>
      <c r="E11" s="131" t="s">
        <v>1277</v>
      </c>
      <c r="F11" s="1757"/>
      <c r="G11" s="1757"/>
      <c r="H11" s="1757"/>
      <c r="I11" s="1373"/>
    </row>
    <row r="12" spans="1:12" ht="12.75">
      <c r="A12" s="3626" t="s">
        <v>1278</v>
      </c>
      <c r="B12" s="3613">
        <v>15</v>
      </c>
      <c r="C12" s="3629"/>
      <c r="D12" s="3649"/>
      <c r="E12" s="131" t="s">
        <v>1279</v>
      </c>
      <c r="F12" s="1757"/>
      <c r="G12" s="1757"/>
      <c r="H12" s="1757"/>
      <c r="I12" s="1373"/>
    </row>
    <row r="13" spans="1:12" ht="12.75">
      <c r="A13" s="3626"/>
      <c r="B13" s="3613"/>
      <c r="C13" s="3631"/>
      <c r="D13" s="3649"/>
      <c r="E13" s="131" t="s">
        <v>1280</v>
      </c>
      <c r="F13" s="1757"/>
      <c r="G13" s="1757"/>
      <c r="H13" s="1757"/>
      <c r="I13" s="1373"/>
    </row>
    <row r="14" spans="1:12" ht="12.75">
      <c r="A14" s="3626" t="s">
        <v>1281</v>
      </c>
      <c r="B14" s="3613">
        <v>30</v>
      </c>
      <c r="C14" s="3629">
        <v>4</v>
      </c>
      <c r="D14" s="3649">
        <v>6</v>
      </c>
      <c r="E14" s="131" t="s">
        <v>1282</v>
      </c>
      <c r="F14" s="1757"/>
      <c r="G14" s="1757"/>
      <c r="H14" s="1757"/>
      <c r="I14" s="1373"/>
    </row>
    <row r="15" spans="1:12" ht="12.75">
      <c r="A15" s="3626"/>
      <c r="B15" s="3613"/>
      <c r="C15" s="3630"/>
      <c r="D15" s="3649"/>
      <c r="E15" s="131" t="s">
        <v>1283</v>
      </c>
      <c r="F15" s="1757"/>
      <c r="G15" s="1757"/>
      <c r="H15" s="1757"/>
      <c r="I15" s="1373"/>
    </row>
    <row r="16" spans="1:12" ht="12.75">
      <c r="A16" s="3626"/>
      <c r="B16" s="3613"/>
      <c r="C16" s="3631"/>
      <c r="D16" s="364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6" t="s">
        <v>2131</v>
      </c>
      <c r="F18" s="3637"/>
      <c r="G18" s="3637"/>
      <c r="H18" s="3637"/>
      <c r="I18" s="3637"/>
      <c r="K18" s="302" t="s">
        <v>1289</v>
      </c>
      <c r="L18" s="302">
        <f>IF(C1="",'数据-汇总表'!E3,SUMIF(项目类型,C1,'数据-汇总表'!E17:E26)+SUMIF(项目类型,C1,'数据-汇总表'!I17:I26))</f>
        <v>71671.429999999993</v>
      </c>
      <c r="M18" s="302">
        <f>IF(C1="",'数据-汇总表'!E3,SUMIF(项目类型,C1,'数据-汇总表'!E17:E26))</f>
        <v>71671.429999999993</v>
      </c>
    </row>
    <row r="19" spans="1:36" ht="15">
      <c r="A19" s="1761" t="s">
        <v>1290</v>
      </c>
      <c r="B19" s="1762" t="s">
        <v>1291</v>
      </c>
      <c r="C19" s="134">
        <f ca="1">SUMIF(INDIRECT("'"&amp;C4&amp;"'"&amp;"!A:A"),结果表!B19,INDIRECT("'"&amp;C4&amp;"'"&amp;"!B:B"))</f>
        <v>63681</v>
      </c>
      <c r="D19" s="135">
        <f ca="1">SUMIF(INDIRECT("'"&amp;D4&amp;"'"&amp;"!A:A"),结果表!B19,INDIRECT("'"&amp;D4&amp;"'"&amp;"!B:B"))</f>
        <v>91375</v>
      </c>
      <c r="E19" s="1761" t="s">
        <v>1292</v>
      </c>
      <c r="F19" s="1762" t="s">
        <v>1291</v>
      </c>
      <c r="G19" s="136">
        <f ca="1">ROUND(C19*$C$18+D19*$D$18,0)</f>
        <v>80297</v>
      </c>
      <c r="H19" s="1763" t="s">
        <v>1293</v>
      </c>
      <c r="I19" s="129"/>
      <c r="K19" s="302" t="s">
        <v>1294</v>
      </c>
      <c r="L19" s="302">
        <f>IF(C1="",'数据-汇总表'!D3,SUMIF(项目类型,C1,'数据-汇总表'!D17:D26)+SUMIF(项目类型,C1,'数据-汇总表'!H17:H27))</f>
        <v>49786</v>
      </c>
      <c r="M19" s="302">
        <f>IF(C1="",'数据-汇总表'!D3,SUMIF(项目类型,C1,'数据-汇总表'!D17:D26))</f>
        <v>49786</v>
      </c>
    </row>
    <row r="20" spans="1:36" ht="15">
      <c r="A20" s="1764"/>
      <c r="B20" s="1026" t="s">
        <v>1295</v>
      </c>
      <c r="C20" s="137">
        <f ca="1">SUMIF(INDIRECT("'"&amp;C4&amp;"'"&amp;"!A:A"),结果表!B20,INDIRECT("'"&amp;C4&amp;"'"&amp;"!B:B"))</f>
        <v>8885</v>
      </c>
      <c r="D20" s="138">
        <f ca="1">SUMIF(INDIRECT("'"&amp;D4&amp;"'"&amp;"!A:A"),结果表!B20,INDIRECT("'"&amp;D4&amp;"'"&amp;"!B:B"))</f>
        <v>12749</v>
      </c>
      <c r="E20" s="1764"/>
      <c r="F20" s="1026" t="s">
        <v>1295</v>
      </c>
      <c r="G20" s="139">
        <f ca="1">ROUND(C20*$C$18+D20*$D$18,0)</f>
        <v>11203</v>
      </c>
      <c r="H20" s="808" t="s">
        <v>1296</v>
      </c>
      <c r="I20" s="129"/>
    </row>
    <row r="21" spans="1:36" ht="15" customHeight="1" thickBot="1">
      <c r="A21" s="828"/>
      <c r="B21" s="1765" t="s">
        <v>1297</v>
      </c>
      <c r="C21" s="719">
        <f ca="1">ROUND(C19*10000/L19,0)</f>
        <v>12791</v>
      </c>
      <c r="D21" s="720">
        <f ca="1">ROUND(D19*10000/L19,0)</f>
        <v>18354</v>
      </c>
      <c r="E21" s="828"/>
      <c r="F21" s="1765" t="s">
        <v>1297</v>
      </c>
      <c r="G21" s="140">
        <f ca="1">ROUND(G19*10000/L19,0)</f>
        <v>16128</v>
      </c>
      <c r="H21" s="1766" t="s">
        <v>1296</v>
      </c>
      <c r="I21" s="129"/>
    </row>
    <row r="22" spans="1:36" ht="15" thickBot="1">
      <c r="A22" s="1688" t="s">
        <v>1298</v>
      </c>
      <c r="B22" s="1767"/>
      <c r="C22" s="1768"/>
      <c r="D22" s="721">
        <f ca="1">IF(C19&lt;D19,D19/C19-1,C19/D19-1)</f>
        <v>0.43488638683437753</v>
      </c>
      <c r="E22" s="129"/>
      <c r="F22" s="129"/>
      <c r="G22" s="129"/>
      <c r="H22" s="129"/>
      <c r="I22" s="129"/>
    </row>
    <row r="23" spans="1:36" ht="13.5" thickBot="1">
      <c r="A23" s="1747"/>
      <c r="B23" s="1747"/>
      <c r="C23" s="1747"/>
      <c r="D23" s="1747"/>
      <c r="E23" s="129"/>
      <c r="F23" s="129"/>
      <c r="G23" s="129"/>
      <c r="H23" s="129"/>
      <c r="I23" s="129"/>
    </row>
    <row r="24" spans="1:36" ht="14.25">
      <c r="A24" s="3620" t="s">
        <v>1299</v>
      </c>
      <c r="B24" s="1762" t="s">
        <v>1291</v>
      </c>
      <c r="C24" s="136">
        <f>IF(B30=0,0,D30)</f>
        <v>0</v>
      </c>
      <c r="D24" s="1769"/>
      <c r="E24" s="129"/>
      <c r="F24" s="129"/>
      <c r="G24" s="129"/>
      <c r="H24" s="129"/>
      <c r="I24" s="129"/>
    </row>
    <row r="25" spans="1:36" ht="14.25">
      <c r="A25" s="362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80297</v>
      </c>
      <c r="D32" s="1775" t="s">
        <v>3499</v>
      </c>
      <c r="E32" s="129"/>
      <c r="F32" s="129"/>
      <c r="G32" s="129"/>
      <c r="H32" s="129"/>
      <c r="I32" s="129"/>
    </row>
    <row r="33" spans="1:15" ht="15">
      <c r="A33" s="786" t="s">
        <v>1306</v>
      </c>
      <c r="B33" s="1776"/>
      <c r="C33" s="1777" t="s">
        <v>3500</v>
      </c>
      <c r="D33" s="1778" t="s">
        <v>3452</v>
      </c>
      <c r="E33" s="1779" t="s">
        <v>1307</v>
      </c>
      <c r="F33" s="1780" t="str">
        <f>IF(D32="楼面单价","取值（单价）","取值（总价）")</f>
        <v>取值（总价）</v>
      </c>
      <c r="G33" s="129"/>
      <c r="H33" s="129"/>
      <c r="I33" s="129"/>
    </row>
    <row r="34" spans="1:15" ht="15">
      <c r="A34" s="1781"/>
      <c r="B34" s="1782" t="s">
        <v>1308</v>
      </c>
      <c r="C34" s="148">
        <f ca="1">IF(C33="自定义",F34,C32-C35)</f>
        <v>24410</v>
      </c>
      <c r="D34" s="861">
        <f ca="1">IF(C33="自定义",ROUND(C34/C32,3),IF(C33="收益比率",SUMIF(INDIRECT("'"&amp;D33&amp;"'"&amp;"!b:b"),"土地收益比率",INDIRECT("'"&amp;D33&amp;"'"&amp;"!c:c")),SUMIF(INDIRECT("'"&amp;D33&amp;"'"&amp;"!b:b"),"土地成本比率",INDIRECT("'"&amp;D33&amp;"'"&amp;"!c:c"))))</f>
        <v>0.30400000000000005</v>
      </c>
      <c r="E34" s="1783" t="s">
        <v>1309</v>
      </c>
      <c r="F34" s="1330"/>
      <c r="G34" s="129"/>
      <c r="H34" s="129"/>
      <c r="I34" s="129"/>
    </row>
    <row r="35" spans="1:15" ht="15.75" thickBot="1">
      <c r="A35" s="1784"/>
      <c r="B35" s="1785" t="s">
        <v>1310</v>
      </c>
      <c r="C35" s="1170">
        <f ca="1">IF(C33="自定义",F35,ROUND(C32*D35,0))</f>
        <v>55887</v>
      </c>
      <c r="D35" s="1171">
        <f ca="1">IF(C33="自定义",ROUND(C35/C32,3),IF(C33="收益比率",SUMIF(INDIRECT("'"&amp;D33&amp;"'"&amp;"!b:b"),"建筑物收益比率",INDIRECT("'"&amp;D33&amp;"'"&amp;"!c:c")),SUMIF(INDIRECT("'"&amp;D33&amp;"'"&amp;"!b:b"),"建筑物成本比率",INDIRECT("'"&amp;D33&amp;"'"&amp;"!c:c"))))</f>
        <v>0.69599999999999995</v>
      </c>
      <c r="E35" s="1786" t="s">
        <v>1311</v>
      </c>
      <c r="F35" s="154"/>
      <c r="G35" s="129"/>
      <c r="H35" s="129"/>
      <c r="I35" s="129"/>
    </row>
    <row r="36" spans="1:15" ht="15.75" thickBot="1">
      <c r="A36" s="3640" t="s">
        <v>1312</v>
      </c>
      <c r="B36" s="1787" t="s">
        <v>1313</v>
      </c>
      <c r="C36" s="145"/>
      <c r="D36" s="1788"/>
      <c r="E36" s="1789"/>
      <c r="F36" s="1790"/>
      <c r="G36" s="129"/>
      <c r="H36" s="129"/>
      <c r="I36" s="129"/>
    </row>
    <row r="37" spans="1:15" ht="15.75" thickBot="1">
      <c r="A37" s="3641"/>
      <c r="B37" s="1674" t="s">
        <v>1314</v>
      </c>
      <c r="C37" s="147"/>
      <c r="D37" s="1139"/>
      <c r="E37" s="1139"/>
      <c r="F37" s="1790"/>
      <c r="G37" s="129"/>
      <c r="H37" s="129"/>
      <c r="I37" s="129"/>
    </row>
    <row r="38" spans="1:15" ht="15.75" thickBot="1">
      <c r="A38" s="364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7" t="s">
        <v>1326</v>
      </c>
      <c r="B45" s="3618"/>
      <c r="C45" s="3619"/>
      <c r="D45" s="155">
        <f ca="1">ROUND(H101*F45,0)</f>
        <v>80297</v>
      </c>
      <c r="E45" s="156" t="s">
        <v>1327</v>
      </c>
      <c r="F45" s="157">
        <v>1</v>
      </c>
      <c r="G45" s="158" t="s">
        <v>1328</v>
      </c>
      <c r="H45" s="129"/>
      <c r="I45" s="129"/>
      <c r="J45" s="3695" t="s">
        <v>1329</v>
      </c>
      <c r="K45" s="3695"/>
      <c r="L45" s="3695"/>
      <c r="M45" s="3695"/>
      <c r="N45" s="3695"/>
      <c r="O45" s="3695"/>
    </row>
    <row r="46" spans="1:15" ht="14.25" customHeight="1">
      <c r="A46" s="3614" t="s">
        <v>1330</v>
      </c>
      <c r="B46" s="3615"/>
      <c r="C46" s="3615"/>
      <c r="D46" s="3615"/>
      <c r="E46" s="3615"/>
      <c r="F46" s="3615"/>
      <c r="G46" s="3616"/>
      <c r="H46" s="1806"/>
      <c r="I46" s="159"/>
      <c r="J46" s="2523">
        <v>1</v>
      </c>
      <c r="K46" s="3676" t="s">
        <v>1331</v>
      </c>
      <c r="L46" s="3676"/>
      <c r="M46" s="3696"/>
      <c r="N46" s="3696"/>
      <c r="O46" s="3696"/>
    </row>
    <row r="47" spans="1:15" ht="12" customHeight="1">
      <c r="A47" s="160" t="s">
        <v>1332</v>
      </c>
      <c r="B47" s="161"/>
      <c r="C47" s="162"/>
      <c r="D47" s="1087" t="s">
        <v>1333</v>
      </c>
      <c r="E47" s="302" t="s">
        <v>1334</v>
      </c>
      <c r="F47" s="163" t="s">
        <v>1335</v>
      </c>
      <c r="G47" s="2546" t="s">
        <v>1336</v>
      </c>
      <c r="H47" s="2547"/>
      <c r="I47" s="159"/>
      <c r="J47" s="2523">
        <v>2</v>
      </c>
      <c r="K47" s="3676" t="s">
        <v>1337</v>
      </c>
      <c r="L47" s="3676"/>
      <c r="M47" s="3697">
        <f>'数据-取费表'!B2</f>
        <v>45245</v>
      </c>
      <c r="N47" s="3697"/>
      <c r="O47" s="3697"/>
    </row>
    <row r="48" spans="1:15" ht="25.5">
      <c r="A48" s="3645" t="s">
        <v>1338</v>
      </c>
      <c r="B48" s="3628"/>
      <c r="C48" s="3628"/>
      <c r="D48" s="2324">
        <f ca="1">IF(H48="情况1",0,IF(H48="情况2",D52,IF(H48="情况3",D53,IF(H48="情况4",D54))))</f>
        <v>4283</v>
      </c>
      <c r="E48" s="2334" t="str">
        <f>IF(H48="情况4","(销售额-原购置价)×税（费）率","销售额×税（费）率")</f>
        <v>销售额×税（费）率</v>
      </c>
      <c r="F48" s="2548">
        <f>IF(H48="情况1","免征",'数据-取费表'!B41)</f>
        <v>5.6000000000000001E-2</v>
      </c>
      <c r="G48" s="2549" t="s">
        <v>1339</v>
      </c>
      <c r="H48" s="2550" t="s">
        <v>3494</v>
      </c>
      <c r="I48" s="1806"/>
      <c r="J48" s="2523">
        <v>3</v>
      </c>
      <c r="K48" s="3676" t="s">
        <v>1340</v>
      </c>
      <c r="L48" s="3676"/>
      <c r="M48" s="3698">
        <f ca="1">H101</f>
        <v>80297</v>
      </c>
      <c r="N48" s="3698"/>
      <c r="O48" s="3698"/>
    </row>
    <row r="49" spans="1:35" ht="25.5" customHeight="1">
      <c r="A49" s="2333" t="s">
        <v>1341</v>
      </c>
      <c r="B49" s="3612" t="s">
        <v>1342</v>
      </c>
      <c r="C49" s="3612"/>
      <c r="D49" s="1590">
        <v>0</v>
      </c>
      <c r="E49" s="324" t="s">
        <v>1343</v>
      </c>
      <c r="F49" s="2424" t="s">
        <v>28</v>
      </c>
      <c r="G49" s="3682"/>
      <c r="H49" s="2310" t="s">
        <v>2134</v>
      </c>
      <c r="I49" s="2311"/>
      <c r="J49" s="2523">
        <v>4</v>
      </c>
      <c r="K49" s="3676" t="str">
        <f>IF(项目基本情况!E8="房地产抵押价值","房地产抵押价值","抵押担保权已注销时的房地产抵押价值")</f>
        <v>抵押担保权已注销时的房地产抵押价值</v>
      </c>
      <c r="L49" s="3676"/>
      <c r="M49" s="3698">
        <f ca="1">IF(项目基本情况!E8="房地产抵押价值",H107,H109)</f>
        <v>80297</v>
      </c>
      <c r="N49" s="3698"/>
      <c r="O49" s="3698"/>
    </row>
    <row r="50" spans="1:35" ht="25.5" customHeight="1">
      <c r="A50" s="2551"/>
      <c r="B50" s="3612" t="s">
        <v>1344</v>
      </c>
      <c r="C50" s="3612"/>
      <c r="D50" s="2552"/>
      <c r="E50" s="332"/>
      <c r="F50" s="2424"/>
      <c r="G50" s="3683"/>
      <c r="H50" s="2312" t="s">
        <v>2135</v>
      </c>
      <c r="I50" s="2311"/>
      <c r="J50" s="3695" t="s">
        <v>1345</v>
      </c>
      <c r="K50" s="3695"/>
      <c r="L50" s="3695"/>
      <c r="M50" s="3695"/>
      <c r="N50" s="3695"/>
      <c r="O50" s="3695"/>
    </row>
    <row r="51" spans="1:35" ht="20.45" customHeight="1">
      <c r="A51" s="2553"/>
      <c r="B51" s="3612" t="s">
        <v>1346</v>
      </c>
      <c r="C51" s="3612"/>
      <c r="D51" s="1087"/>
      <c r="E51" s="327"/>
      <c r="F51" s="2424"/>
      <c r="G51" s="3684"/>
      <c r="H51" s="2312" t="s">
        <v>2136</v>
      </c>
      <c r="I51" s="2311"/>
      <c r="J51" s="2524" t="s">
        <v>1347</v>
      </c>
      <c r="K51" s="3676" t="s">
        <v>1348</v>
      </c>
      <c r="L51" s="3676"/>
      <c r="M51" s="2524" t="s">
        <v>1349</v>
      </c>
      <c r="N51" s="2524" t="s">
        <v>1350</v>
      </c>
      <c r="O51" s="2524" t="s">
        <v>1351</v>
      </c>
    </row>
    <row r="52" spans="1:35" ht="24" customHeight="1">
      <c r="A52" s="2335" t="s">
        <v>1352</v>
      </c>
      <c r="B52" s="3612" t="s">
        <v>1353</v>
      </c>
      <c r="C52" s="3612"/>
      <c r="D52" s="1087">
        <f ca="1">ROUND(D45*'数据-取费表'!B41/(1+'数据-取费表'!C42),0)</f>
        <v>4283</v>
      </c>
      <c r="E52" s="2334" t="s">
        <v>1354</v>
      </c>
      <c r="F52" s="2554">
        <f>'数据-取费表'!B41</f>
        <v>5.6000000000000001E-2</v>
      </c>
      <c r="G52" s="2555"/>
      <c r="H52" s="2544"/>
      <c r="I52" s="1807"/>
      <c r="J52" s="2523">
        <v>1</v>
      </c>
      <c r="K52" s="3677" t="s">
        <v>1355</v>
      </c>
      <c r="L52" s="3677"/>
      <c r="M52" s="2525">
        <f ca="1">D48</f>
        <v>4283</v>
      </c>
      <c r="N52" s="2523" t="str">
        <f>E48</f>
        <v>销售额×税（费）率</v>
      </c>
      <c r="O52" s="2526">
        <f>F48</f>
        <v>5.6000000000000001E-2</v>
      </c>
    </row>
    <row r="53" spans="1:35" ht="12" customHeight="1">
      <c r="A53" s="2335" t="s">
        <v>1356</v>
      </c>
      <c r="B53" s="3638" t="s">
        <v>2282</v>
      </c>
      <c r="C53" s="3639"/>
      <c r="D53" s="1087">
        <f ca="1">ROUND(D45*'数据-取费表'!B41/(1+'数据-取费表'!C42),0)</f>
        <v>4283</v>
      </c>
      <c r="E53" s="2334" t="s">
        <v>1354</v>
      </c>
      <c r="F53" s="2554">
        <f>'数据-取费表'!B41</f>
        <v>5.6000000000000001E-2</v>
      </c>
      <c r="G53" s="2555"/>
      <c r="H53" s="2544"/>
      <c r="I53" s="1807"/>
      <c r="J53" s="2523">
        <v>2</v>
      </c>
      <c r="K53" s="3677" t="s">
        <v>1357</v>
      </c>
      <c r="L53" s="3677"/>
      <c r="M53" s="2525">
        <f t="shared" ref="M53:O54" ca="1" si="0">D55</f>
        <v>40</v>
      </c>
      <c r="N53" s="2523" t="str">
        <f t="shared" si="0"/>
        <v>销售额×税（费）率</v>
      </c>
      <c r="O53" s="2526">
        <f t="shared" si="0"/>
        <v>5.0000000000000001E-4</v>
      </c>
    </row>
    <row r="54" spans="1:35" ht="12" customHeight="1">
      <c r="A54" s="2335" t="s">
        <v>1358</v>
      </c>
      <c r="B54" s="3638" t="s">
        <v>2283</v>
      </c>
      <c r="C54" s="3639"/>
      <c r="D54" s="1087">
        <f ca="1">C68</f>
        <v>4282</v>
      </c>
      <c r="E54" s="327" t="s">
        <v>1359</v>
      </c>
      <c r="F54" s="2554">
        <f>'数据-取费表'!B41</f>
        <v>5.6000000000000001E-2</v>
      </c>
      <c r="G54" s="2555"/>
      <c r="H54" s="2556"/>
      <c r="I54" s="1807"/>
      <c r="J54" s="2523">
        <v>3</v>
      </c>
      <c r="K54" s="3677" t="s">
        <v>1360</v>
      </c>
      <c r="L54" s="3677"/>
      <c r="M54" s="2525">
        <f t="shared" ca="1" si="0"/>
        <v>3390</v>
      </c>
      <c r="N54" s="2523" t="str">
        <f t="shared" si="0"/>
        <v>增值额×税（费）率</v>
      </c>
      <c r="O54" s="2527" t="str">
        <f t="shared" si="0"/>
        <v>——</v>
      </c>
    </row>
    <row r="55" spans="1:35" ht="24" customHeight="1">
      <c r="A55" s="3627" t="s">
        <v>1361</v>
      </c>
      <c r="B55" s="3628"/>
      <c r="C55" s="3628"/>
      <c r="D55" s="2324">
        <f ca="1">IF(H55="个人住宅",0,ROUND(D45*I55,0))</f>
        <v>40</v>
      </c>
      <c r="E55" s="2334" t="s">
        <v>1362</v>
      </c>
      <c r="F55" s="2554">
        <f>IF(H55="正常",I55,"免征")</f>
        <v>5.0000000000000001E-4</v>
      </c>
      <c r="G55" s="2555"/>
      <c r="H55" s="2550" t="s">
        <v>3437</v>
      </c>
      <c r="I55" s="165">
        <f>'数据-取费表'!B49</f>
        <v>5.0000000000000001E-4</v>
      </c>
      <c r="J55" s="2523" t="str">
        <f>IF(H59="非个人房产","",4)</f>
        <v/>
      </c>
      <c r="K55" s="3677" t="str">
        <f>IF(H59="非个人房产","——","个人所得税")</f>
        <v>——</v>
      </c>
      <c r="L55" s="3677"/>
      <c r="M55" s="2528" t="str">
        <f>D59</f>
        <v>——</v>
      </c>
      <c r="N55" s="2040" t="str">
        <f>E59</f>
        <v>——</v>
      </c>
      <c r="O55" s="2529" t="str">
        <f>F59</f>
        <v>——</v>
      </c>
    </row>
    <row r="56" spans="1:35" ht="24.75">
      <c r="A56" s="3627" t="s">
        <v>1363</v>
      </c>
      <c r="B56" s="3628"/>
      <c r="C56" s="3628"/>
      <c r="D56" s="2324">
        <f ca="1">IF(H56="个人住宅",D57,D58)</f>
        <v>3390</v>
      </c>
      <c r="E56" s="2334" t="s">
        <v>1364</v>
      </c>
      <c r="F56" s="2554" t="str">
        <f>IF(H56="正常",F58,"免征")</f>
        <v>——</v>
      </c>
      <c r="G56" s="2557" t="s">
        <v>1365</v>
      </c>
      <c r="H56" s="2558" t="s">
        <v>3437</v>
      </c>
      <c r="I56" s="1808"/>
      <c r="J56" s="2523" t="str">
        <f>IF(项目基本情况!K6="上海银行",IF(J55="",4,J55+1),"")</f>
        <v/>
      </c>
      <c r="K56" s="3700" t="str">
        <f>IF(项目基本情况!K6="上海银行","其他处置费用","")</f>
        <v/>
      </c>
      <c r="L56" s="3701"/>
      <c r="M56" s="2525" t="str">
        <f>IF(项目基本情况!K6="上海银行",M69,"")</f>
        <v/>
      </c>
      <c r="N56" s="3700" t="str">
        <f>IF(项目基本情况!K6="上海银行","包含处置中涉及的律师、诉讼、拍卖、评估等费用","")</f>
        <v/>
      </c>
      <c r="O56" s="3703"/>
    </row>
    <row r="57" spans="1:35" ht="12.75">
      <c r="A57" s="2335" t="s">
        <v>1341</v>
      </c>
      <c r="B57" s="3638" t="s">
        <v>1366</v>
      </c>
      <c r="C57" s="3639"/>
      <c r="D57" s="1590">
        <v>0</v>
      </c>
      <c r="E57" s="324" t="s">
        <v>1343</v>
      </c>
      <c r="F57" s="302"/>
      <c r="G57" s="2555"/>
      <c r="H57" s="2559"/>
      <c r="I57" s="1808"/>
      <c r="J57" s="3677">
        <f>IF(AND(J55="",J56=""),4,IF(项目基本情况!K6="上海银行",结果表!J56+1,结果表!J55+1))</f>
        <v>4</v>
      </c>
      <c r="K57" s="3677" t="s">
        <v>1367</v>
      </c>
      <c r="L57" s="2530" t="s">
        <v>1368</v>
      </c>
      <c r="M57" s="2531"/>
      <c r="N57" s="2532">
        <f ca="1">SUMIF(M52:M56,"&lt;9e307")</f>
        <v>7713</v>
      </c>
      <c r="O57" s="2533"/>
      <c r="P57" s="2690">
        <f ca="1">N57/M49</f>
        <v>9.6055892499097101E-2</v>
      </c>
    </row>
    <row r="58" spans="1:35" ht="24.75">
      <c r="A58" s="2335" t="s">
        <v>1352</v>
      </c>
      <c r="B58" s="3638" t="s">
        <v>1369</v>
      </c>
      <c r="C58" s="3612"/>
      <c r="D58" s="2324">
        <f ca="1">IF(H58="转让取得",C81,C97)</f>
        <v>3390</v>
      </c>
      <c r="E58" s="2334" t="s">
        <v>1364</v>
      </c>
      <c r="F58" s="302" t="s">
        <v>28</v>
      </c>
      <c r="G58" s="2555"/>
      <c r="H58" s="2558" t="s">
        <v>3495</v>
      </c>
      <c r="I58" s="1808"/>
      <c r="J58" s="3677"/>
      <c r="K58" s="3677"/>
      <c r="L58" s="2530" t="s">
        <v>1370</v>
      </c>
      <c r="M58" s="2534"/>
      <c r="N58" s="2535" t="str">
        <f ca="1">NUMBERSTRING(INT(N57*10000),2)&amp;"元整"</f>
        <v>柒仟柒佰壹拾叁万元整</v>
      </c>
      <c r="O58" s="2536"/>
    </row>
    <row r="59" spans="1:35" ht="24.75" thickBot="1">
      <c r="A59" s="3680" t="s">
        <v>1371</v>
      </c>
      <c r="B59" s="3681"/>
      <c r="C59" s="368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3496</v>
      </c>
      <c r="I59" s="2313" t="s">
        <v>2137</v>
      </c>
      <c r="J59" s="3678">
        <f>J57+1</f>
        <v>5</v>
      </c>
      <c r="K59" s="3677" t="s">
        <v>1372</v>
      </c>
      <c r="L59" s="2523" t="s">
        <v>1368</v>
      </c>
      <c r="M59" s="2537"/>
      <c r="N59" s="2538">
        <f ca="1">M49-N57</f>
        <v>72584</v>
      </c>
      <c r="O59" s="2539"/>
    </row>
    <row r="60" spans="1:35" ht="12" customHeight="1">
      <c r="A60" s="1809"/>
      <c r="B60" s="1747"/>
      <c r="C60" s="1747"/>
      <c r="D60" s="1747"/>
      <c r="E60" s="1578"/>
      <c r="F60" s="1808"/>
      <c r="G60" s="1808"/>
      <c r="H60" s="1810"/>
      <c r="I60" s="129"/>
      <c r="J60" s="3679"/>
      <c r="K60" s="3677"/>
      <c r="L60" s="2530" t="s">
        <v>1370</v>
      </c>
      <c r="M60" s="2534"/>
      <c r="N60" s="2535" t="str">
        <f ca="1">NUMBERSTRING(INT(N59*10000),2)&amp;"元整"</f>
        <v>柒亿贰仟伍佰捌拾肆万元整</v>
      </c>
      <c r="O60" s="2536"/>
    </row>
    <row r="61" spans="1:35" ht="13.5" thickBot="1">
      <c r="A61" s="3625" t="s">
        <v>1373</v>
      </c>
      <c r="B61" s="3625"/>
      <c r="C61" s="3625"/>
      <c r="D61" s="3625"/>
      <c r="E61" s="3625"/>
      <c r="F61" s="1808"/>
      <c r="G61" s="1808"/>
      <c r="H61" s="1810"/>
      <c r="I61" s="129"/>
      <c r="J61" s="2523">
        <f>J59+1</f>
        <v>6</v>
      </c>
      <c r="K61" s="3677" t="s">
        <v>1374</v>
      </c>
      <c r="L61" s="3677"/>
      <c r="M61" s="2540"/>
      <c r="N61" s="2541">
        <f ca="1">ROUND(N59*10000/'数据-汇总表'!E3,0)</f>
        <v>10127</v>
      </c>
      <c r="O61" s="2542"/>
    </row>
    <row r="62" spans="1:35" ht="12.75">
      <c r="A62" s="3643" t="s">
        <v>1375</v>
      </c>
      <c r="B62" s="3644"/>
      <c r="C62" s="2021"/>
      <c r="D62" s="2021" t="s">
        <v>1376</v>
      </c>
      <c r="E62" s="166" t="s">
        <v>1377</v>
      </c>
      <c r="F62" s="1808"/>
      <c r="G62" s="1808"/>
      <c r="H62" s="1810"/>
      <c r="I62" s="129"/>
    </row>
    <row r="63" spans="1:35" ht="12.75">
      <c r="A63" s="173" t="s">
        <v>330</v>
      </c>
      <c r="B63" s="167" t="s">
        <v>1378</v>
      </c>
      <c r="C63" s="2564">
        <f ca="1">ROUND((C64+C65)/(1+'数据-取费表'!C42),0)</f>
        <v>76473</v>
      </c>
      <c r="D63" s="167"/>
      <c r="E63" s="168"/>
      <c r="F63" s="1808"/>
      <c r="G63" s="1808"/>
      <c r="H63" s="1810"/>
      <c r="I63" s="129"/>
      <c r="J63" s="3702" t="s">
        <v>1379</v>
      </c>
      <c r="K63" s="1332" t="s">
        <v>1380</v>
      </c>
      <c r="L63" s="1332">
        <f ca="1">IF(M49&gt;10000,M49*0.5%,IF(AND(M49&gt;1000,M49&lt;=10000),M49*1%,IF(AND(M49&gt;100,M49&lt;=1000),M49*3%,IF(AND(M49&gt;10,M49&lt;=100),M49*5%,M49*8%))))</f>
        <v>401.48500000000001</v>
      </c>
      <c r="M63" s="302">
        <f ca="1">ROUND(L63,1)</f>
        <v>401.5</v>
      </c>
      <c r="N63" s="2543"/>
      <c r="Z63" s="1752"/>
      <c r="AI63" s="1753"/>
    </row>
    <row r="64" spans="1:35" ht="14.25" customHeight="1">
      <c r="A64" s="169" t="s">
        <v>325</v>
      </c>
      <c r="B64" s="170" t="s">
        <v>1381</v>
      </c>
      <c r="C64" s="2565">
        <f ca="1">D45</f>
        <v>80297</v>
      </c>
      <c r="D64" s="170" t="s">
        <v>26</v>
      </c>
      <c r="E64" s="172"/>
      <c r="F64" s="1808"/>
      <c r="G64" s="1808"/>
      <c r="H64" s="1810"/>
      <c r="I64" s="129"/>
      <c r="J64" s="3702"/>
      <c r="K64" s="1332" t="s">
        <v>1382</v>
      </c>
      <c r="L64" s="1332">
        <f ca="1">IF(M49&gt;2000,M49*0.5%,IF(AND(M49&gt;1000,M49&lt;=2000),M49*0.6%,IF(AND(M49&gt;500,M49&lt;=1000),M49*0.7%,IF(AND(M49&gt;200,M49&lt;=500),M49*0.8%,IF(AND(M49&gt;100,M49&lt;=200),M49*0.9%,IF(AND(M49&gt;50,M49&lt;=100),M49*1%,IF(AND(M49&gt;20,M49&lt;=50),M49*1.5%,IF(AND(M49&gt;10,M49&lt;=20),M49*2%,IF(AND(M49&gt;1,M49&lt;=10),M49*2.5%)))))))))</f>
        <v>401.48500000000001</v>
      </c>
      <c r="M64" s="302">
        <f t="shared" ref="M64:M65" ca="1" si="1">ROUND(L64,1)</f>
        <v>401.5</v>
      </c>
      <c r="N64" s="2544" t="s">
        <v>1383</v>
      </c>
      <c r="Z64" s="1752"/>
      <c r="AI64" s="1753"/>
    </row>
    <row r="65" spans="1:35" ht="14.25" customHeight="1">
      <c r="A65" s="169" t="s">
        <v>326</v>
      </c>
      <c r="B65" s="170" t="s">
        <v>1384</v>
      </c>
      <c r="C65" s="2566"/>
      <c r="D65" s="170"/>
      <c r="E65" s="172"/>
      <c r="F65" s="1808"/>
      <c r="G65" s="1808"/>
      <c r="H65" s="1810"/>
      <c r="I65" s="129"/>
      <c r="J65" s="3702"/>
      <c r="K65" s="1332" t="s">
        <v>1385</v>
      </c>
      <c r="L65" s="1332">
        <f ca="1">IF(M49&gt;1000,M49*0.1%,IF(AND(M49&gt;500,M49&lt;=1000),M49*0.5%,IF(AND(M49&gt;50,M49&lt;=500),M49*1%,IF(AND(M49&gt;1,M49&lt;=50),M49*1.5%))))</f>
        <v>80.296999999999997</v>
      </c>
      <c r="M65" s="302">
        <f t="shared" ca="1" si="1"/>
        <v>80.3</v>
      </c>
      <c r="N65" s="2544" t="s">
        <v>1383</v>
      </c>
      <c r="Z65" s="1752"/>
      <c r="AI65" s="1753"/>
    </row>
    <row r="66" spans="1:35" ht="14.25" customHeight="1">
      <c r="A66" s="173" t="s">
        <v>327</v>
      </c>
      <c r="B66" s="174" t="s">
        <v>1386</v>
      </c>
      <c r="C66" s="2567"/>
      <c r="D66" s="174" t="s">
        <v>26</v>
      </c>
      <c r="E66" s="1338" t="s">
        <v>671</v>
      </c>
      <c r="F66" s="1808"/>
      <c r="G66" s="1808"/>
      <c r="H66" s="1810"/>
      <c r="I66" s="129"/>
      <c r="J66" s="3702"/>
      <c r="K66" s="1332" t="s">
        <v>1387</v>
      </c>
      <c r="L66" s="1332">
        <f ca="1">M49*0.5%</f>
        <v>401.48500000000001</v>
      </c>
      <c r="M66" s="302">
        <f ca="1">IF(L66&gt;0.5,0.5,ROUND(L66,0))</f>
        <v>0.5</v>
      </c>
      <c r="N66" s="2544" t="s">
        <v>1388</v>
      </c>
      <c r="Z66" s="1752"/>
      <c r="AI66" s="1753"/>
    </row>
    <row r="67" spans="1:35" ht="14.25" customHeight="1">
      <c r="A67" s="173" t="s">
        <v>328</v>
      </c>
      <c r="B67" s="174" t="s">
        <v>1389</v>
      </c>
      <c r="C67" s="2568">
        <f ca="1">C63-C66</f>
        <v>76473</v>
      </c>
      <c r="D67" s="170" t="s">
        <v>26</v>
      </c>
      <c r="E67" s="172"/>
      <c r="F67" s="1808"/>
      <c r="G67" s="1808"/>
      <c r="H67" s="1810"/>
      <c r="I67" s="129"/>
      <c r="J67" s="3702"/>
      <c r="K67" s="1332" t="s">
        <v>1390</v>
      </c>
      <c r="L67" s="1332">
        <f ca="1">IF(M49&gt;=10000,(8.25+(M49-10000)*0.01%),IF(AND(M49&gt;=8000,M49&lt;10000),(7.85+(M49-8000)*0.02%),IF(AND(M49&gt;=5000,M49&lt;8000),(6.65+(M49-5000)*0.04%),IF(AND(M49&gt;=2000,M49&lt;5000),(4.25+(PM49-2000)*0.08%),IF(AND(M49&gt;=1000,M49&lt;2000),(2.75+(M49-1000)*0.15%),IF(AND(M49&gt;=100,M49&lt;1000),(0.5+(M49-100)*0.25%),IF(AND(M49&gt;0,M49&lt;100),M49*0.5%)))))))</f>
        <v>15.2797</v>
      </c>
      <c r="M67" s="302">
        <f ca="1">ROUND(L67*0.9,1)</f>
        <v>13.8</v>
      </c>
      <c r="N67" s="2543"/>
      <c r="Z67" s="1752"/>
      <c r="AI67" s="1753"/>
    </row>
    <row r="68" spans="1:35" ht="14.25" customHeight="1" thickBot="1">
      <c r="A68" s="176" t="s">
        <v>329</v>
      </c>
      <c r="B68" s="177" t="s">
        <v>1391</v>
      </c>
      <c r="C68" s="2569">
        <f ca="1">IF(C67&lt;=0,0,ROUND(C67*D68,0))</f>
        <v>4282</v>
      </c>
      <c r="D68" s="2570">
        <f>'数据-取费表'!B41</f>
        <v>5.6000000000000001E-2</v>
      </c>
      <c r="E68" s="178"/>
      <c r="F68" s="1808"/>
      <c r="G68" s="1808"/>
      <c r="H68" s="1810"/>
      <c r="I68" s="129"/>
      <c r="J68" s="3702"/>
      <c r="K68" s="1332" t="s">
        <v>1392</v>
      </c>
      <c r="L68" s="1332">
        <f ca="1">IF(M49&gt;10000,M49*0.5%,IF(AND(M49&gt;5000,M49&lt;=10000),M49*1%,IF(AND(M49&gt;1000,M49&lt;=5000),M49*2%,IF(AND(M49&gt;200,M49&lt;=1000),M49*3%,M49*5%))))</f>
        <v>401.48500000000001</v>
      </c>
      <c r="M68" s="302">
        <f ca="1">ROUND(L68,1)</f>
        <v>401.5</v>
      </c>
      <c r="N68" s="2543"/>
      <c r="Z68" s="1752"/>
      <c r="AI68" s="1753"/>
    </row>
    <row r="69" spans="1:35" s="1772" customFormat="1" ht="16.5" customHeight="1">
      <c r="A69" s="1811"/>
      <c r="B69" s="1812"/>
      <c r="C69" s="1813"/>
      <c r="D69" s="1814"/>
      <c r="E69" s="1815"/>
      <c r="F69" s="1578"/>
      <c r="G69" s="1578"/>
      <c r="H69" s="1577"/>
      <c r="I69" s="1747"/>
      <c r="J69" s="3702"/>
      <c r="K69" s="1332" t="s">
        <v>1393</v>
      </c>
      <c r="L69" s="1332"/>
      <c r="M69" s="302">
        <f ca="1">ROUND(SUM(M63:M68),0)</f>
        <v>1299</v>
      </c>
      <c r="N69" s="2545">
        <f ca="1">M69/M49</f>
        <v>1.6177441249361744E-2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4" t="s">
        <v>1394</v>
      </c>
      <c r="B70" s="3665"/>
      <c r="C70" s="3665"/>
      <c r="D70" s="3665"/>
      <c r="E70" s="3665"/>
      <c r="F70" s="3665"/>
      <c r="G70" s="3665"/>
      <c r="H70" s="366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3" t="s">
        <v>1375</v>
      </c>
      <c r="B71" s="364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76473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8" t="s">
        <v>1402</v>
      </c>
      <c r="F76" s="3612"/>
      <c r="G76" s="3612"/>
      <c r="H76" s="366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459</v>
      </c>
      <c r="D78" s="2577">
        <f>'数据-取费表'!B43</f>
        <v>6.000000000000001E-3</v>
      </c>
      <c r="E78" s="3622" t="s">
        <v>1406</v>
      </c>
      <c r="F78" s="3623"/>
      <c r="G78" s="3623"/>
      <c r="H78" s="363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76014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165.60784313725489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45448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4" t="s">
        <v>1410</v>
      </c>
      <c r="B83" s="3665"/>
      <c r="C83" s="3665"/>
      <c r="D83" s="3665"/>
      <c r="E83" s="3665"/>
      <c r="F83" s="3665"/>
      <c r="G83" s="3665"/>
      <c r="H83" s="366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3" t="s">
        <v>1375</v>
      </c>
      <c r="B84" s="364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76473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65173.250247452699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2756.0902474526929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2755.65/1.0305</f>
        <v>2674.0902474526929</v>
      </c>
      <c r="D88" s="2577"/>
      <c r="E88" s="193" t="s">
        <v>1413</v>
      </c>
      <c r="F88" s="2327"/>
      <c r="G88" s="194" t="s">
        <v>1414</v>
      </c>
      <c r="H88" s="1824" t="s">
        <v>3497</v>
      </c>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4" t="s">
        <v>2129</v>
      </c>
      <c r="H90" s="3705"/>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61958.16</v>
      </c>
      <c r="D91" s="2577"/>
      <c r="E91" s="3622" t="s">
        <v>1419</v>
      </c>
      <c r="F91" s="3623"/>
      <c r="G91" s="3623"/>
      <c r="H91" s="1825" t="s">
        <v>3498</v>
      </c>
      <c r="I91" s="1826">
        <f>890+34850+22500+807+2911.16</f>
        <v>61958.16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v>0</v>
      </c>
      <c r="E92" s="3622" t="s">
        <v>1422</v>
      </c>
      <c r="F92" s="3623"/>
      <c r="G92" s="3623"/>
      <c r="H92" s="3632"/>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459</v>
      </c>
      <c r="D93" s="2577">
        <f>'数据-取费表'!B43</f>
        <v>6.000000000000001E-3</v>
      </c>
      <c r="E93" s="3622" t="s">
        <v>1406</v>
      </c>
      <c r="F93" s="3623"/>
      <c r="G93" s="3623"/>
      <c r="H93" s="363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11300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0.17338401809171181</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6" t="s">
        <v>1428</v>
      </c>
      <c r="B100" s="3607"/>
      <c r="C100" s="3607"/>
      <c r="D100" s="3624"/>
      <c r="E100" s="3607" t="s">
        <v>1429</v>
      </c>
      <c r="F100" s="3607"/>
      <c r="G100" s="3607"/>
      <c r="H100" s="3624"/>
      <c r="I100" s="129"/>
    </row>
    <row r="101" spans="1:35" ht="18.75" customHeight="1">
      <c r="A101" s="3685" t="s">
        <v>1430</v>
      </c>
      <c r="B101" s="3686"/>
      <c r="C101" s="2585" t="str">
        <f>C4</f>
        <v>成本法</v>
      </c>
      <c r="D101" s="2586" t="str">
        <f>D4</f>
        <v>收益法</v>
      </c>
      <c r="E101" s="3699" t="s">
        <v>1431</v>
      </c>
      <c r="F101" s="3656"/>
      <c r="G101" s="1827" t="s">
        <v>1432</v>
      </c>
      <c r="H101" s="2595">
        <f ca="1">H118</f>
        <v>80297</v>
      </c>
      <c r="I101" s="129"/>
    </row>
    <row r="102" spans="1:35" ht="18.75" customHeight="1">
      <c r="A102" s="3658" t="s">
        <v>1433</v>
      </c>
      <c r="B102" s="2584" t="s">
        <v>1432</v>
      </c>
      <c r="C102" s="2585">
        <f ca="1">IF(D32="楼面单价",ROUND(C19,0),C19)</f>
        <v>63681</v>
      </c>
      <c r="D102" s="2586">
        <f ca="1">IF(D32="楼面单价",ROUND(D19,0),D19)</f>
        <v>91375</v>
      </c>
      <c r="E102" s="3699"/>
      <c r="F102" s="3656"/>
      <c r="G102" s="1827" t="s">
        <v>1434</v>
      </c>
      <c r="H102" s="2555">
        <f ca="1">I118</f>
        <v>11203</v>
      </c>
      <c r="I102" s="129"/>
    </row>
    <row r="103" spans="1:35" ht="42.75" customHeight="1">
      <c r="A103" s="3658"/>
      <c r="B103" s="2584" t="s">
        <v>1434</v>
      </c>
      <c r="C103" s="2587">
        <f ca="1">C20</f>
        <v>8885</v>
      </c>
      <c r="D103" s="2588">
        <f ca="1">D20</f>
        <v>12749</v>
      </c>
      <c r="E103" s="3693" t="s">
        <v>1435</v>
      </c>
      <c r="F103" s="3694"/>
      <c r="G103" s="1828" t="s">
        <v>1436</v>
      </c>
      <c r="H103" s="2595">
        <f>IF(D36="正常操作",H104+H105+H106,H105+H106)</f>
        <v>0</v>
      </c>
      <c r="I103" s="129"/>
    </row>
    <row r="104" spans="1:35" ht="18.75" customHeight="1">
      <c r="A104" s="3658" t="s">
        <v>1437</v>
      </c>
      <c r="B104" s="2589" t="s">
        <v>1432</v>
      </c>
      <c r="C104" s="2590">
        <f ca="1">H118</f>
        <v>80297</v>
      </c>
      <c r="D104" s="2591"/>
      <c r="E104" s="1674" t="s">
        <v>1438</v>
      </c>
      <c r="F104" s="1666"/>
      <c r="G104" s="1828" t="s">
        <v>1436</v>
      </c>
      <c r="H104" s="2596">
        <f>IF(D36="同一抵押权人同一抵押物续贷",C36&amp;"（续贷，未扣减，详见特别提示）",C36)</f>
        <v>0</v>
      </c>
      <c r="I104" s="129"/>
    </row>
    <row r="105" spans="1:35" ht="18.75" customHeight="1" thickBot="1">
      <c r="A105" s="3659"/>
      <c r="B105" s="2592" t="s">
        <v>1434</v>
      </c>
      <c r="C105" s="2593">
        <f ca="1">I118</f>
        <v>11203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5" t="str">
        <f>IF(项目基本情况!E8="已注销","——","3.房地产抵押价值")</f>
        <v>3.房地产抵押价值</v>
      </c>
      <c r="F107" s="3656"/>
      <c r="G107" s="1827" t="s">
        <v>1432</v>
      </c>
      <c r="H107" s="2595">
        <f ca="1">IF(E107="——","——",H101-H103)</f>
        <v>80297</v>
      </c>
      <c r="I107" s="129"/>
    </row>
    <row r="108" spans="1:35" ht="18.75" customHeight="1">
      <c r="A108" s="129"/>
      <c r="B108" s="129"/>
      <c r="C108" s="129"/>
      <c r="D108" s="129"/>
      <c r="E108" s="3655"/>
      <c r="F108" s="3656"/>
      <c r="G108" s="1827" t="s">
        <v>1434</v>
      </c>
      <c r="H108" s="2555">
        <f ca="1">IF(H107=H101,H102,ROUND(H107*10000/'数据-汇总表'!E3,0))</f>
        <v>11203</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4.抵押担保权已注销时的房地产抵押价值</v>
      </c>
      <c r="F109" s="3656"/>
      <c r="G109" s="1827" t="s">
        <v>1432</v>
      </c>
      <c r="H109" s="2598">
        <f ca="1">IF(E109="——","——",H101-H105-H106)</f>
        <v>80297</v>
      </c>
      <c r="I109" s="129"/>
    </row>
    <row r="110" spans="1:35" ht="18.75" customHeight="1">
      <c r="A110" s="129"/>
      <c r="B110" s="129"/>
      <c r="C110" s="129"/>
      <c r="D110" s="129"/>
      <c r="E110" s="3655"/>
      <c r="F110" s="3656"/>
      <c r="G110" s="1827" t="s">
        <v>1434</v>
      </c>
      <c r="H110" s="2555">
        <f ca="1">IF(H109="——","——",ROUND(H109*10000/'数据-汇总表'!E3,0))</f>
        <v>11203</v>
      </c>
      <c r="I110" s="129"/>
    </row>
    <row r="111" spans="1:35" ht="18.75" customHeight="1">
      <c r="A111" s="129"/>
      <c r="B111" s="129"/>
      <c r="C111" s="129"/>
      <c r="D111" s="129"/>
      <c r="E111" s="3687" t="str">
        <f>IF(项目基本情况!E9="抵押净值",IF(OR(项目基本情况!E8="已注销",项目基本情况!E8="房地产抵押价值"),"4.抵押净值","5.抵押净值"),"——")</f>
        <v>——</v>
      </c>
      <c r="F111" s="3657"/>
      <c r="G111" s="1827" t="s">
        <v>1432</v>
      </c>
      <c r="H111" s="2595" t="str">
        <f>IF(E111="——","——",N59)</f>
        <v>——</v>
      </c>
      <c r="I111" s="129"/>
    </row>
    <row r="112" spans="1:35" ht="18.75" customHeight="1" thickBot="1">
      <c r="A112" s="129"/>
      <c r="B112" s="129"/>
      <c r="C112" s="129"/>
      <c r="D112" s="129"/>
      <c r="E112" s="3688"/>
      <c r="F112" s="3689"/>
      <c r="G112" s="1830" t="s">
        <v>1434</v>
      </c>
      <c r="H112" s="2599" t="str">
        <f>IF(E111="——","——",N61)</f>
        <v>——</v>
      </c>
      <c r="I112" s="129"/>
    </row>
    <row r="113" spans="1:27" ht="18.75" customHeight="1">
      <c r="A113" s="129"/>
      <c r="B113" s="129"/>
      <c r="C113" s="129"/>
      <c r="D113" s="129"/>
      <c r="E113" s="3660" t="s">
        <v>1440</v>
      </c>
      <c r="F113" s="3660"/>
      <c r="G113" s="3660"/>
      <c r="H113" s="3660"/>
      <c r="I113" s="129"/>
    </row>
    <row r="114" spans="1:27" ht="3.75" customHeight="1">
      <c r="A114" s="1747"/>
      <c r="B114" s="1747"/>
      <c r="C114" s="1747"/>
      <c r="D114" s="1747"/>
      <c r="E114" s="1809"/>
      <c r="F114" s="1809"/>
      <c r="G114" s="1809"/>
      <c r="H114" s="1809"/>
      <c r="I114" s="1747"/>
    </row>
    <row r="115" spans="1:27" ht="18.75" customHeight="1">
      <c r="A115" s="3670" t="s">
        <v>1442</v>
      </c>
      <c r="B115" s="3671"/>
      <c r="C115" s="3671"/>
      <c r="D115" s="3671"/>
      <c r="E115" s="3671"/>
      <c r="F115" s="3671"/>
      <c r="G115" s="3671"/>
      <c r="H115" s="3671"/>
      <c r="I115" s="3672"/>
    </row>
    <row r="116" spans="1:27" ht="27" customHeight="1">
      <c r="A116" s="3626" t="s">
        <v>1443</v>
      </c>
      <c r="B116" s="3661" t="s">
        <v>1444</v>
      </c>
      <c r="C116" s="3661" t="s">
        <v>1445</v>
      </c>
      <c r="D116" s="3674" t="s">
        <v>1446</v>
      </c>
      <c r="E116" s="3675"/>
      <c r="F116" s="3669" t="s">
        <v>1447</v>
      </c>
      <c r="G116" s="3669"/>
      <c r="H116" s="3626" t="s">
        <v>1448</v>
      </c>
      <c r="I116" s="3626"/>
    </row>
    <row r="117" spans="1:27" ht="18.75" customHeight="1">
      <c r="A117" s="3626"/>
      <c r="B117" s="3662"/>
      <c r="C117" s="36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71671.429999999993</v>
      </c>
      <c r="C118" s="2329">
        <f>M19</f>
        <v>49786</v>
      </c>
      <c r="D118" s="2329">
        <f ca="1">ROUND(IF(D32="总价",C34,E118*B118/10000),0)</f>
        <v>24410</v>
      </c>
      <c r="E118" s="2329">
        <f ca="1">ROUND(IF(C33="自定义",IF(D32="楼面单价",C34,D118*10000/B118),I118-G118),0)</f>
        <v>3405</v>
      </c>
      <c r="F118" s="2329">
        <f ca="1">ROUND(IF(D32="总价",C35,G118*B118/10000),0)</f>
        <v>55887</v>
      </c>
      <c r="G118" s="2329">
        <f ca="1">ROUND(IF(D32="楼面单价",C35,F118*10000/B118),0)</f>
        <v>7798</v>
      </c>
      <c r="H118" s="2329">
        <f ca="1">ROUND(IF(D32="总价",C32,I118*B118/10000),0)</f>
        <v>80297</v>
      </c>
      <c r="I118" s="2329">
        <f ca="1">ROUND(IF(D32="楼面单价",C32,H118*10000/B118),0)</f>
        <v>11203</v>
      </c>
    </row>
    <row r="119" spans="1:27" ht="18.75" customHeight="1">
      <c r="A119" s="3626" t="s">
        <v>1452</v>
      </c>
      <c r="B119" s="3626"/>
      <c r="C119" s="3626"/>
      <c r="D119" s="3666" t="str">
        <f ca="1">NUMBERSTRING(INT(D118*10000),2)&amp;"元整"</f>
        <v>贰亿肆仟肆佰壹拾万元整</v>
      </c>
      <c r="E119" s="3668"/>
      <c r="F119" s="3666" t="str">
        <f ca="1">NUMBERSTRING(INT(F118*10000),2)&amp;"元整"</f>
        <v>伍亿伍仟捌佰捌拾柒万元整</v>
      </c>
      <c r="G119" s="3668"/>
      <c r="H119" s="3666" t="str">
        <f ca="1">NUMBERSTRING(INT(H118*10000),2)&amp;"元整"</f>
        <v>捌亿零贰佰玖拾柒万元整</v>
      </c>
      <c r="I119" s="3668"/>
    </row>
    <row r="120" spans="1:27" ht="18.75" customHeight="1">
      <c r="A120" s="3690" t="str">
        <f>IF(项目基本情况!B9="房地产市场价值","",MID(E103,3,LEN(E103)-2))</f>
        <v>估价师知悉的法定优先受偿款</v>
      </c>
      <c r="B120" s="3691"/>
      <c r="C120" s="3692"/>
      <c r="D120" s="3690">
        <f>H103</f>
        <v>0</v>
      </c>
      <c r="E120" s="3691"/>
      <c r="F120" s="3691"/>
      <c r="G120" s="3691"/>
      <c r="H120" s="3691"/>
      <c r="I120" s="36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1452</v>
      </c>
      <c r="B121" s="3667"/>
      <c r="C121" s="3668"/>
      <c r="D121" s="3666" t="str">
        <f>IF(D120=0,"零元整",NUMBERSTRING(INT(D120*10000),2)&amp;"元整")</f>
        <v>零元整</v>
      </c>
      <c r="E121" s="3667"/>
      <c r="F121" s="3667"/>
      <c r="G121" s="3667"/>
      <c r="H121" s="3667"/>
      <c r="I121" s="3668"/>
      <c r="AA121" s="725"/>
    </row>
    <row r="122" spans="1:27" ht="18.75" customHeight="1">
      <c r="A122" s="3657" t="str">
        <f>IF(项目基本情况!B9="房地产市场价值","",MID(E107,3,LEN(E107)-2))</f>
        <v>房地产抵押价值</v>
      </c>
      <c r="B122" s="3657"/>
      <c r="C122" s="3657"/>
      <c r="D122" s="3690">
        <f ca="1">H107</f>
        <v>80297</v>
      </c>
      <c r="E122" s="3691"/>
      <c r="F122" s="3691"/>
      <c r="G122" s="3691"/>
      <c r="H122" s="3691"/>
      <c r="I122" s="3692"/>
      <c r="AA122" s="725"/>
    </row>
    <row r="123" spans="1:27" ht="18.75" customHeight="1">
      <c r="A123" s="3626" t="s">
        <v>1452</v>
      </c>
      <c r="B123" s="3626"/>
      <c r="C123" s="3626"/>
      <c r="D123" s="3666" t="str">
        <f ca="1">NUMBERSTRING(INT(D122*10000),2)&amp;"元整"</f>
        <v>捌亿零贰佰玖拾柒万元整</v>
      </c>
      <c r="E123" s="3667"/>
      <c r="F123" s="3667"/>
      <c r="G123" s="3667"/>
      <c r="H123" s="3667"/>
      <c r="I123" s="3668"/>
      <c r="AA123" s="725"/>
    </row>
    <row r="124" spans="1:27" ht="18.75" customHeight="1">
      <c r="A124" s="3657" t="str">
        <f>IF(项目基本情况!B9="房地产市场价值","",MID(E109,3,LEN(E109)-2))</f>
        <v>抵押担保权已注销时的房地产抵押价值</v>
      </c>
      <c r="B124" s="3657"/>
      <c r="C124" s="3657"/>
      <c r="D124" s="3690">
        <f ca="1">H109</f>
        <v>80297</v>
      </c>
      <c r="E124" s="3691"/>
      <c r="F124" s="3691"/>
      <c r="G124" s="3691"/>
      <c r="H124" s="3691"/>
      <c r="I124" s="3692"/>
      <c r="AA124" s="725"/>
    </row>
    <row r="125" spans="1:27" ht="18.75" customHeight="1">
      <c r="A125" s="3626" t="s">
        <v>1452</v>
      </c>
      <c r="B125" s="3626"/>
      <c r="C125" s="3626"/>
      <c r="D125" s="3666" t="str">
        <f ca="1">NUMBERSTRING(INT(D124*10000),2)&amp;"元整"</f>
        <v>捌亿零贰佰玖拾柒万元整</v>
      </c>
      <c r="E125" s="3667"/>
      <c r="F125" s="3667"/>
      <c r="G125" s="3667"/>
      <c r="H125" s="3667"/>
      <c r="I125" s="3668"/>
      <c r="AA125" s="725"/>
    </row>
    <row r="126" spans="1:27" ht="18.75" customHeight="1">
      <c r="A126" s="3657" t="str">
        <f>IF(项目基本情况!B9="房地产市场价值","",MID(E111,3,LEN(E111)-2))</f>
        <v/>
      </c>
      <c r="B126" s="3657"/>
      <c r="C126" s="3657"/>
      <c r="D126" s="3690" t="str">
        <f>H111</f>
        <v>——</v>
      </c>
      <c r="E126" s="3691"/>
      <c r="F126" s="3691"/>
      <c r="G126" s="3691"/>
      <c r="H126" s="3691"/>
      <c r="I126" s="3692"/>
      <c r="AA126" s="725"/>
    </row>
    <row r="127" spans="1:27" ht="18.75" customHeight="1">
      <c r="A127" s="3626" t="s">
        <v>1452</v>
      </c>
      <c r="B127" s="3626"/>
      <c r="C127" s="3626"/>
      <c r="D127" s="3666" t="e">
        <f>NUMBERSTRING(INT(D126*10000),2)&amp;"元整"</f>
        <v>#VALUE!</v>
      </c>
      <c r="E127" s="3667"/>
      <c r="F127" s="3667"/>
      <c r="G127" s="3667"/>
      <c r="H127" s="3667"/>
      <c r="I127" s="3668"/>
      <c r="AA127" s="725"/>
    </row>
    <row r="128" spans="1:27" ht="21.75" customHeight="1">
      <c r="A128" s="3673" t="s">
        <v>1453</v>
      </c>
      <c r="B128" s="3673"/>
      <c r="C128" s="3673"/>
      <c r="D128" s="3673"/>
      <c r="E128" s="3673"/>
      <c r="F128" s="3673"/>
      <c r="G128" s="3673"/>
      <c r="H128" s="3673"/>
      <c r="I128" s="36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63681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8885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15004</v>
      </c>
      <c r="D5" s="211" t="s">
        <v>1469</v>
      </c>
      <c r="E5" s="212" t="s">
        <v>1470</v>
      </c>
      <c r="F5" s="212" t="s">
        <v>1471</v>
      </c>
      <c r="G5" s="213"/>
    </row>
    <row r="6" spans="1:9" s="214" customFormat="1" ht="13.5" customHeight="1">
      <c r="A6" s="778" t="s">
        <v>1472</v>
      </c>
      <c r="B6" s="215" t="s">
        <v>1473</v>
      </c>
      <c r="C6" s="216">
        <f>基准地价修正!B2</f>
        <v>13169</v>
      </c>
      <c r="D6" s="217"/>
      <c r="E6" s="218"/>
      <c r="F6" s="218"/>
      <c r="G6" s="219"/>
    </row>
    <row r="7" spans="1:9" s="214" customFormat="1" ht="13.5" customHeight="1">
      <c r="A7" s="778" t="s">
        <v>1474</v>
      </c>
      <c r="B7" s="215" t="s">
        <v>1475</v>
      </c>
      <c r="C7" s="220">
        <f>ROUND(C6*F7,0)</f>
        <v>402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1433</v>
      </c>
      <c r="D8" s="222"/>
      <c r="E8" s="220"/>
      <c r="F8" s="221"/>
      <c r="G8" s="1856" t="s">
        <v>3447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3448</v>
      </c>
      <c r="H9" s="1137"/>
      <c r="I9" s="1858" t="s">
        <v>1479</v>
      </c>
    </row>
    <row r="10" spans="1:9" s="214" customFormat="1" ht="13.5" customHeight="1">
      <c r="A10" s="779" t="s">
        <v>356</v>
      </c>
      <c r="B10" s="224" t="s">
        <v>1480</v>
      </c>
      <c r="C10" s="225">
        <f ca="1">ROUND(D10*E10/10000,0)</f>
        <v>1433</v>
      </c>
      <c r="D10" s="845">
        <f ca="1">IF(B1="",'数据-汇总表'!E6,IF(INDIRECT("'数据-取费表'!c"&amp;$G$1)="住宅",INDIRECT("'数据-取费表'!s"&amp;$G$1),INDIRECT("'数据-取费表'!k"&amp;$G$1)+INDIRECT("'数据-取费表'!s"&amp;$G$1)))</f>
        <v>71671.429999999993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71671.429999999993</v>
      </c>
      <c r="E19" s="211">
        <f>'数据-取费表'!B31</f>
        <v>200</v>
      </c>
      <c r="F19" s="231"/>
      <c r="G19" s="1856" t="s">
        <v>3449</v>
      </c>
    </row>
    <row r="20" spans="1:7" s="214" customFormat="1" ht="13.5" customHeight="1">
      <c r="A20" s="255" t="s">
        <v>1493</v>
      </c>
      <c r="B20" s="210" t="s">
        <v>1494</v>
      </c>
      <c r="C20" s="232">
        <f ca="1">ROUND((C5+C19)*F20,0)</f>
        <v>300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1063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1530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1530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35836</v>
      </c>
      <c r="D34" s="217"/>
      <c r="E34" s="220"/>
      <c r="F34" s="257">
        <f ca="1">IF('数据-取费表'!B24=0,1,IF(B1="",'数据-取费表'!N16,INDIRECT("'数据-取费表'!n"&amp;$G$1)))</f>
        <v>1</v>
      </c>
      <c r="G34" s="219" t="s">
        <v>1526</v>
      </c>
    </row>
    <row r="35" spans="1:7" ht="13.5" customHeight="1">
      <c r="A35" s="780" t="s">
        <v>351</v>
      </c>
      <c r="B35" s="215" t="s">
        <v>1527</v>
      </c>
      <c r="C35" s="220">
        <f ca="1">ROUND(C34*F35,0)</f>
        <v>1075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1433</v>
      </c>
      <c r="D37" s="217">
        <f ca="1">D19</f>
        <v>71671.429999999993</v>
      </c>
      <c r="E37" s="249">
        <f>'数据-取费表'!B35</f>
        <v>200</v>
      </c>
      <c r="F37" s="259"/>
      <c r="G37" s="261" t="s">
        <v>1532</v>
      </c>
    </row>
    <row r="38" spans="1:7" ht="13.5" customHeight="1">
      <c r="A38" s="780" t="s">
        <v>354</v>
      </c>
      <c r="B38" s="215" t="s">
        <v>1533</v>
      </c>
      <c r="C38" s="220">
        <f ca="1">ROUND(C34*F38,0)</f>
        <v>538</v>
      </c>
      <c r="D38" s="220"/>
      <c r="E38" s="220"/>
      <c r="F38" s="259">
        <f>'数据-取费表'!B36</f>
        <v>1.4999999999999999E-2</v>
      </c>
      <c r="G38" s="219" t="s">
        <v>1528</v>
      </c>
    </row>
    <row r="39" spans="1:7" s="214" customFormat="1" ht="13.5" customHeight="1">
      <c r="A39" s="255" t="s">
        <v>1534</v>
      </c>
      <c r="B39" s="210" t="s">
        <v>1535</v>
      </c>
      <c r="C39" s="232">
        <f ca="1">ROUND(C33*F20,0)</f>
        <v>778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1341</v>
      </c>
      <c r="D42" s="238"/>
      <c r="E42" s="238"/>
      <c r="F42" s="239"/>
      <c r="G42" s="3706" t="s">
        <v>1544</v>
      </c>
    </row>
    <row r="43" spans="1:7" ht="13.5" customHeight="1">
      <c r="A43" s="780" t="s">
        <v>347</v>
      </c>
      <c r="B43" s="215" t="s">
        <v>1545</v>
      </c>
      <c r="C43" s="238">
        <f ca="1">ROUND(IF('数据-取费表'!B22&lt;=1,C39*F22*'数据-取费表'!B21/2,C39*(POWER((1+F22),'数据-取费表'!B21/2)-1)),0)</f>
        <v>27</v>
      </c>
      <c r="D43" s="238"/>
      <c r="E43" s="238"/>
      <c r="F43" s="239"/>
      <c r="G43" s="3707"/>
    </row>
    <row r="44" spans="1:7" ht="13.5" customHeight="1">
      <c r="A44" s="780" t="s">
        <v>348</v>
      </c>
      <c r="B44" s="215" t="s">
        <v>1546</v>
      </c>
      <c r="C44" s="238">
        <f ca="1">ROUND(IF('数据-取费表'!B22&lt;=1,C40*F22*'数据-取费表'!B21/2,C40*(POWER((1+F22),'数据-取费表'!B21/2)-1)),4)</f>
        <v>6.9999999999999999E-4</v>
      </c>
      <c r="D44" s="238"/>
      <c r="E44" s="238"/>
      <c r="F44" s="239"/>
      <c r="G44" s="3708"/>
    </row>
    <row r="45" spans="1:7" s="214" customFormat="1" ht="13.5" customHeight="1">
      <c r="A45" s="255" t="s">
        <v>1547</v>
      </c>
      <c r="B45" s="244" t="s">
        <v>1513</v>
      </c>
      <c r="C45" s="245">
        <f ca="1">C46</f>
        <v>3966</v>
      </c>
      <c r="D45" s="235">
        <f ca="1">C47</f>
        <v>2E-3</v>
      </c>
      <c r="E45" s="236" t="s">
        <v>1539</v>
      </c>
      <c r="F45" s="246">
        <f ca="1">F27</f>
        <v>0.1</v>
      </c>
      <c r="G45" s="247" t="s">
        <v>1548</v>
      </c>
    </row>
    <row r="46" spans="1:7" s="214" customFormat="1" ht="13.5" customHeight="1">
      <c r="A46" s="780" t="s">
        <v>346</v>
      </c>
      <c r="B46" s="248" t="s">
        <v>1549</v>
      </c>
      <c r="C46" s="249">
        <f ca="1">ROUND((C33+C39)*F27,0)</f>
        <v>3966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48695</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44312</v>
      </c>
      <c r="D51" s="232"/>
      <c r="E51" s="232"/>
      <c r="F51" s="264"/>
      <c r="G51" s="234" t="s">
        <v>1560</v>
      </c>
    </row>
    <row r="52" spans="1:7" s="208" customFormat="1" ht="16.5" thickBot="1">
      <c r="A52" s="265" t="s">
        <v>1561</v>
      </c>
      <c r="B52" s="266"/>
      <c r="C52" s="267">
        <f ca="1">C31+C51</f>
        <v>63681</v>
      </c>
      <c r="D52" s="266"/>
      <c r="E52" s="266"/>
      <c r="F52" s="266"/>
      <c r="G52" s="268"/>
    </row>
    <row r="55" spans="1:7" ht="15">
      <c r="B55" s="270" t="s">
        <v>1562</v>
      </c>
      <c r="C55" s="271"/>
    </row>
    <row r="56" spans="1:7">
      <c r="B56" s="273" t="s">
        <v>802</v>
      </c>
      <c r="C56" s="275">
        <f ca="1">1-C57</f>
        <v>0.30400000000000005</v>
      </c>
    </row>
    <row r="57" spans="1:7">
      <c r="B57" s="273" t="s">
        <v>803</v>
      </c>
      <c r="C57" s="274">
        <f ca="1">ROUND(C51/C52,3)</f>
        <v>0.69599999999999995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3" t="str">
        <f>项目基本情况!B1</f>
        <v>北京市房地产抵押价值预评估</v>
      </c>
      <c r="C37" s="3523"/>
      <c r="D37" s="3523"/>
      <c r="E37" s="3523"/>
      <c r="F37" s="3523"/>
      <c r="G37" s="3523"/>
      <c r="H37" s="3523"/>
      <c r="I37" s="352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48012.953300000001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14334286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14334286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14334286</v>
      </c>
      <c r="D10" s="845">
        <f ca="1">IF(B1="",'数据-汇总表'!E6,IF(INDIRECT("'数据-取费表'!c"&amp;$G$1)="住宅",INDIRECT("'数据-取费表'!s"&amp;$G$1),INDIRECT("'数据-取费表'!k"&amp;$G$1)+INDIRECT("'数据-取费表'!s"&amp;$G$1)))</f>
        <v>71671.429999999993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14334286</v>
      </c>
      <c r="D19" s="849">
        <f ca="1">D9+D10</f>
        <v>71671.429999999993</v>
      </c>
      <c r="E19" s="211">
        <f>'数据-取费表'!B31</f>
        <v>200</v>
      </c>
      <c r="F19" s="231"/>
      <c r="G19" s="1856"/>
    </row>
    <row r="20" spans="1:7" s="214" customFormat="1" ht="13.5" customHeight="1">
      <c r="A20" s="255" t="s">
        <v>1574</v>
      </c>
      <c r="B20" s="210" t="s">
        <v>1575</v>
      </c>
      <c r="C20" s="232">
        <f ca="1">ROUND((C5+C19)*F20,0)</f>
        <v>573371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2032035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1006127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1006127</v>
      </c>
      <c r="D24" s="238"/>
      <c r="E24" s="238"/>
      <c r="F24" s="239"/>
      <c r="G24" s="240" t="s">
        <v>1586</v>
      </c>
    </row>
    <row r="25" spans="1:7" s="214" customFormat="1" ht="24">
      <c r="A25" s="780" t="s">
        <v>1476</v>
      </c>
      <c r="B25" s="215" t="s">
        <v>1587</v>
      </c>
      <c r="C25" s="1128">
        <f ca="1">ROUND(IF('数据-取费表'!B22&lt;=1,C20*F22*'数据-取费表'!B22/2,C20*(POWER((1+F22),'数据-取费表'!B22/2)-1)),0)</f>
        <v>19781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2924194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2924194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37011009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388817508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358357150</v>
      </c>
      <c r="D34" s="217"/>
      <c r="E34" s="220"/>
      <c r="F34" s="257"/>
      <c r="G34" s="219"/>
    </row>
    <row r="35" spans="1:7" ht="13.5" customHeight="1">
      <c r="A35" s="780" t="s">
        <v>351</v>
      </c>
      <c r="B35" s="215" t="s">
        <v>1527</v>
      </c>
      <c r="C35" s="220">
        <f ca="1">ROUND(C34*F35,0)</f>
        <v>10750715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14334286</v>
      </c>
      <c r="D37" s="217">
        <f ca="1">D19</f>
        <v>71671.429999999993</v>
      </c>
      <c r="E37" s="249">
        <f>'数据-取费表'!B35</f>
        <v>200</v>
      </c>
      <c r="F37" s="259"/>
      <c r="G37" s="261"/>
    </row>
    <row r="38" spans="1:7" ht="13.5" customHeight="1">
      <c r="A38" s="780" t="s">
        <v>354</v>
      </c>
      <c r="B38" s="215" t="s">
        <v>1533</v>
      </c>
      <c r="C38" s="220">
        <f ca="1">ROUND(C34*F38,0)</f>
        <v>5375357</v>
      </c>
      <c r="D38" s="220"/>
      <c r="E38" s="220"/>
      <c r="F38" s="259">
        <f>'数据-取费表'!B36</f>
        <v>1.4999999999999999E-2</v>
      </c>
      <c r="G38" s="219" t="s">
        <v>1528</v>
      </c>
    </row>
    <row r="39" spans="1:7" s="214" customFormat="1" ht="13.5" customHeight="1">
      <c r="A39" s="255" t="s">
        <v>1534</v>
      </c>
      <c r="B39" s="210" t="s">
        <v>1535</v>
      </c>
      <c r="C39" s="232">
        <f ca="1">ROUND(C33*F20,0)</f>
        <v>7776350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13682488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13414204</v>
      </c>
      <c r="D42" s="238"/>
      <c r="E42" s="238"/>
      <c r="F42" s="239"/>
      <c r="G42" s="3706" t="s">
        <v>1591</v>
      </c>
    </row>
    <row r="43" spans="1:7" ht="13.5" customHeight="1">
      <c r="A43" s="780" t="s">
        <v>347</v>
      </c>
      <c r="B43" s="215" t="s">
        <v>1545</v>
      </c>
      <c r="C43" s="238">
        <f ca="1">ROUND(IF('数据-取费表'!B22&lt;=1,C39*F22*'数据-取费表'!B20/2,C39*(POWER((1+F22),'数据-取费表'!B20/2)-1)),0)</f>
        <v>268284</v>
      </c>
      <c r="D43" s="238"/>
      <c r="E43" s="238"/>
      <c r="F43" s="239"/>
      <c r="G43" s="3707"/>
    </row>
    <row r="44" spans="1:7" ht="13.5" customHeight="1">
      <c r="A44" s="780" t="s">
        <v>348</v>
      </c>
      <c r="B44" s="215" t="s">
        <v>1546</v>
      </c>
      <c r="C44" s="238">
        <f ca="1">ROUND(IF('数据-取费表'!B22&lt;=1,C40*F22*'数据-取费表'!B20/2,C40*(POWER((1+F22),'数据-取费表'!B20/2)-1)),4)</f>
        <v>6.9999999999999999E-4</v>
      </c>
      <c r="D44" s="238"/>
      <c r="E44" s="238"/>
      <c r="F44" s="239"/>
      <c r="G44" s="3708"/>
    </row>
    <row r="45" spans="1:7" s="214" customFormat="1" ht="13.5" customHeight="1">
      <c r="A45" s="255" t="s">
        <v>1547</v>
      </c>
      <c r="B45" s="244" t="s">
        <v>1513</v>
      </c>
      <c r="C45" s="245">
        <f ca="1">C46</f>
        <v>39659386</v>
      </c>
      <c r="D45" s="235">
        <f ca="1">C47</f>
        <v>2E-3</v>
      </c>
      <c r="E45" s="236" t="s">
        <v>1539</v>
      </c>
      <c r="F45" s="246">
        <f ca="1">F27</f>
        <v>0.1</v>
      </c>
      <c r="G45" s="247" t="s">
        <v>1548</v>
      </c>
    </row>
    <row r="46" spans="1:7" s="214" customFormat="1" ht="13.5" customHeight="1">
      <c r="A46" s="780" t="s">
        <v>346</v>
      </c>
      <c r="B46" s="248" t="s">
        <v>1549</v>
      </c>
      <c r="C46" s="249">
        <f ca="1">ROUND((C33+C39)*F27,0)</f>
        <v>39659386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486943433</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443118524</v>
      </c>
      <c r="D51" s="232"/>
      <c r="E51" s="232"/>
      <c r="F51" s="264"/>
      <c r="G51" s="234" t="s">
        <v>1560</v>
      </c>
    </row>
    <row r="52" spans="1:7" s="208" customFormat="1" ht="16.5" thickBot="1">
      <c r="A52" s="265" t="s">
        <v>1561</v>
      </c>
      <c r="B52" s="266"/>
      <c r="C52" s="267">
        <f ca="1">C31+C51</f>
        <v>480129533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71671.429999999993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71671.429999999993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1433</v>
      </c>
      <c r="D20" s="846">
        <f ca="1">IF(C1="",'数据-汇总表'!E6,IF(INDIRECT("'数据-取费表'!c"&amp;$K$1)="住宅",INDIRECT("'数据-取费表'!s"&amp;$K$1),INDIRECT("'数据-取费表'!k"&amp;$K$1)+INDIRECT("'数据-取费表'!s"&amp;$K$1)))</f>
        <v>71671.429999999993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70" zoomScaleNormal="70" zoomScaleSheetLayoutView="7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91375</v>
      </c>
      <c r="C2" s="1387" t="s">
        <v>805</v>
      </c>
      <c r="D2" s="1387"/>
      <c r="E2" s="1388"/>
      <c r="F2" s="1389"/>
      <c r="G2" s="2706"/>
      <c r="H2" s="2695"/>
      <c r="I2" s="2695"/>
      <c r="J2" s="2695"/>
      <c r="K2" s="2696"/>
      <c r="L2" s="2695"/>
      <c r="M2" s="2695"/>
    </row>
    <row r="3" spans="1:37" ht="18" customHeight="1" thickBot="1">
      <c r="A3" s="1390" t="s">
        <v>806</v>
      </c>
      <c r="B3" s="1391">
        <f ca="1">IF(ISERROR(B2*10000/F43),0,ROUND(B2*10000/F43,0))</f>
        <v>12749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5566</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5559</v>
      </c>
      <c r="D6" s="155" t="s">
        <v>2109</v>
      </c>
      <c r="E6" s="302" t="s">
        <v>696</v>
      </c>
      <c r="F6" s="303">
        <f ca="1">INDIRECT("'数据-取费表'!u"&amp;$G$1)</f>
        <v>2.5</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71671.429999999993</v>
      </c>
      <c r="G7" s="1384"/>
      <c r="H7" s="304"/>
      <c r="I7" s="3712"/>
      <c r="J7" s="306"/>
      <c r="K7" s="307"/>
      <c r="L7" s="302" t="s">
        <v>697</v>
      </c>
      <c r="M7" s="303">
        <f ca="1">F7</f>
        <v>71671.429999999993</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7</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44312</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35836</v>
      </c>
      <c r="D14" s="1345" t="s">
        <v>708</v>
      </c>
      <c r="E14" s="1342"/>
      <c r="F14" s="319"/>
      <c r="G14" s="1384"/>
      <c r="H14" s="982" t="s">
        <v>398</v>
      </c>
      <c r="I14" s="302" t="s">
        <v>709</v>
      </c>
      <c r="J14" s="21">
        <f ca="1">C29</f>
        <v>48695</v>
      </c>
      <c r="K14" s="12"/>
      <c r="L14" s="807"/>
      <c r="M14" s="808"/>
    </row>
    <row r="15" spans="1:37" s="1397" customFormat="1" ht="18" customHeight="1" thickBot="1">
      <c r="A15" s="982" t="s">
        <v>399</v>
      </c>
      <c r="B15" s="302" t="s">
        <v>710</v>
      </c>
      <c r="C15" s="21">
        <f ca="1">ROUND(C14*F15,0)</f>
        <v>1075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494</v>
      </c>
      <c r="K16" s="1087" t="s">
        <v>715</v>
      </c>
      <c r="L16" s="1088"/>
      <c r="M16" s="1072"/>
    </row>
    <row r="17" spans="1:37" s="1397" customFormat="1" ht="18" customHeight="1">
      <c r="A17" s="982" t="s">
        <v>681</v>
      </c>
      <c r="B17" s="302" t="s">
        <v>716</v>
      </c>
      <c r="C17" s="21">
        <f ca="1">ROUND(F17*(F43+INDIRECT("'数据-取费表'!S"&amp;$G$1))/10000,0)</f>
        <v>1433</v>
      </c>
      <c r="D17" s="302" t="s">
        <v>717</v>
      </c>
      <c r="E17" s="302" t="s">
        <v>718</v>
      </c>
      <c r="F17" s="23">
        <f>'数据-取费表'!B35</f>
        <v>200</v>
      </c>
      <c r="G17" s="1396"/>
      <c r="H17" s="982" t="s">
        <v>398</v>
      </c>
      <c r="I17" s="302" t="s">
        <v>719</v>
      </c>
      <c r="J17" s="2316">
        <f ca="1">ROUND(IF(AND(项目基本情况!B11="自然人",项目基本情况!B10="北京市"),J6*M17/(1+'数据-取费表'!C42),J18+J19+J20),2)</f>
        <v>7.47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38882</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778</v>
      </c>
      <c r="D20" s="323" t="s">
        <v>729</v>
      </c>
      <c r="E20" s="302" t="s">
        <v>712</v>
      </c>
      <c r="F20" s="322">
        <f>'数据-取费表'!B37</f>
        <v>0.02</v>
      </c>
      <c r="G20" s="1396"/>
      <c r="H20" s="982" t="s">
        <v>680</v>
      </c>
      <c r="I20" s="155" t="s">
        <v>730</v>
      </c>
      <c r="J20" s="22">
        <f ca="1">ROUND(M20*M21/10000,2)</f>
        <v>7.47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486.95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-494</v>
      </c>
      <c r="K25" s="1095" t="s">
        <v>753</v>
      </c>
      <c r="L25" s="1096"/>
      <c r="M25" s="1097"/>
    </row>
    <row r="26" spans="1:37">
      <c r="A26" s="982" t="s">
        <v>397</v>
      </c>
      <c r="B26" s="302" t="s">
        <v>754</v>
      </c>
      <c r="C26" s="21">
        <f ca="1">ROUND((C19+C20)*F26,0)</f>
        <v>3966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48695</v>
      </c>
      <c r="D29" s="1092"/>
      <c r="E29" s="1090"/>
      <c r="F29" s="1093"/>
      <c r="G29" s="1396"/>
      <c r="H29" s="334" t="s">
        <v>396</v>
      </c>
      <c r="I29" s="335" t="s">
        <v>768</v>
      </c>
      <c r="J29" s="336">
        <f ca="1">ROUND(J26/(1+F40)^F41,0)</f>
        <v>0</v>
      </c>
      <c r="K29" s="337" t="s">
        <v>769</v>
      </c>
      <c r="L29" s="338"/>
      <c r="M29" s="339">
        <f ca="1">INDIRECT("'数据-取费表'!k"&amp;$G$1)</f>
        <v>71671.429999999993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939.26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296.48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635.30999999999995</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7.47</v>
      </c>
      <c r="D34" s="324" t="s">
        <v>731</v>
      </c>
      <c r="E34" s="302" t="s">
        <v>732</v>
      </c>
      <c r="F34" s="325">
        <f>'数据-取费表'!B52</f>
        <v>1.5</v>
      </c>
      <c r="G34" s="1384"/>
      <c r="H34" s="3522">
        <f ca="1">C30/C5</f>
        <v>0.27416457060725835</v>
      </c>
      <c r="I34" s="1398"/>
      <c r="J34" s="1399"/>
      <c r="K34" s="2702"/>
      <c r="L34" s="2703"/>
      <c r="M34" s="2703"/>
    </row>
    <row r="35" spans="1:18" ht="18" customHeight="1">
      <c r="A35" s="1103"/>
      <c r="B35" s="1101"/>
      <c r="C35" s="26"/>
      <c r="D35" s="327"/>
      <c r="E35" s="302" t="s">
        <v>736</v>
      </c>
      <c r="F35" s="303">
        <f ca="1">INDIRECT("'数据-取费表'!r"&amp;$G$1)</f>
        <v>49786</v>
      </c>
      <c r="G35" s="1384"/>
      <c r="H35" s="2697"/>
      <c r="I35" s="1398"/>
      <c r="J35" s="1399"/>
      <c r="K35" s="2701"/>
      <c r="L35" s="2700"/>
      <c r="M35" s="2700"/>
    </row>
    <row r="36" spans="1:18" ht="18" customHeight="1">
      <c r="A36" s="1102" t="s">
        <v>402</v>
      </c>
      <c r="B36" s="302" t="s">
        <v>738</v>
      </c>
      <c r="C36" s="21">
        <f ca="1">ROUND(C29*F36,2)</f>
        <v>486.95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44.31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55.66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4040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90161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12580</v>
      </c>
      <c r="D43" s="337" t="s">
        <v>777</v>
      </c>
      <c r="E43" s="338" t="s">
        <v>778</v>
      </c>
      <c r="F43" s="339">
        <f ca="1">INDIRECT("'数据-取费表'!k"&amp;$G$1)</f>
        <v>71671.429999999993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-98690</v>
      </c>
      <c r="D46" s="1406" t="str">
        <f>C2</f>
        <v>万元</v>
      </c>
      <c r="E46" s="1400"/>
      <c r="F46" s="1400"/>
      <c r="I46" s="1407" t="s">
        <v>810</v>
      </c>
      <c r="J46" s="1408"/>
      <c r="K46" s="1409"/>
      <c r="L46" s="1410">
        <f ca="1">IF(M47="住宅",0,IF(L48&gt;J51,L60,J60))</f>
        <v>1214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90161</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38.380000000000003</v>
      </c>
      <c r="O48" s="1418" t="s">
        <v>404</v>
      </c>
      <c r="P48" s="1419" t="s">
        <v>821</v>
      </c>
      <c r="Q48" s="1420">
        <f ca="1">J60</f>
        <v>1214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48695</v>
      </c>
      <c r="R49" s="1420" t="s">
        <v>818</v>
      </c>
    </row>
    <row r="50" spans="1:18" s="1384" customFormat="1" ht="13.5" thickBot="1">
      <c r="A50" s="976"/>
      <c r="B50" s="979"/>
      <c r="C50" s="1118"/>
      <c r="D50" s="953"/>
      <c r="E50" s="1056" t="s">
        <v>697</v>
      </c>
      <c r="F50" s="1057">
        <f ca="1">F7</f>
        <v>71671.429999999993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16675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38.380000000000003</v>
      </c>
      <c r="K53" s="3709" t="s">
        <v>837</v>
      </c>
      <c r="L53" s="3710"/>
      <c r="O53" s="1418" t="s">
        <v>409</v>
      </c>
      <c r="P53" s="1419" t="s">
        <v>838</v>
      </c>
      <c r="Q53" s="1420">
        <f ca="1">Q47+Q48</f>
        <v>91375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44312</v>
      </c>
      <c r="D56" s="1447"/>
      <c r="E56" s="1448"/>
      <c r="F56" s="1440"/>
      <c r="I56" s="1449" t="s">
        <v>842</v>
      </c>
      <c r="J56" s="1450" t="s">
        <v>3420</v>
      </c>
      <c r="K56" s="1421" t="s">
        <v>843</v>
      </c>
      <c r="L56" s="1424" t="str">
        <f ca="1">IF(L48&lt;J51,"——",L48-J53)</f>
        <v>——</v>
      </c>
      <c r="O56" s="1418" t="s">
        <v>403</v>
      </c>
      <c r="P56" s="1419" t="s">
        <v>817</v>
      </c>
      <c r="Q56" s="1420">
        <f ca="1">C40+J29</f>
        <v>90161</v>
      </c>
      <c r="R56" s="1420" t="s">
        <v>818</v>
      </c>
    </row>
    <row r="57" spans="1:18" s="1384" customFormat="1" ht="24.75" thickBot="1">
      <c r="A57" s="1451"/>
      <c r="B57" s="950" t="s">
        <v>767</v>
      </c>
      <c r="C57" s="238">
        <f ca="1">C29</f>
        <v>48695</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538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19478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90161</v>
      </c>
      <c r="R62" s="1420" t="s">
        <v>410</v>
      </c>
    </row>
    <row r="63" spans="1:18" s="1384" customFormat="1" ht="13.5" thickBot="1">
      <c r="A63" s="326"/>
      <c r="B63" s="956"/>
      <c r="C63" s="26"/>
      <c r="D63" s="966"/>
      <c r="E63" s="950" t="s">
        <v>788</v>
      </c>
      <c r="F63" s="303">
        <f t="shared" ca="1" si="0"/>
        <v>49786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486.95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44.31</v>
      </c>
      <c r="D65" s="964" t="s">
        <v>743</v>
      </c>
      <c r="E65" s="950" t="s">
        <v>744</v>
      </c>
      <c r="F65" s="330">
        <f t="shared" ca="1" si="0"/>
        <v>1E-3</v>
      </c>
      <c r="I65" s="1462" t="s">
        <v>867</v>
      </c>
      <c r="J65" s="1463">
        <v>40</v>
      </c>
      <c r="K65" s="1463">
        <v>30</v>
      </c>
      <c r="L65" s="1463">
        <v>50</v>
      </c>
      <c r="M65" s="1465">
        <v>0.02</v>
      </c>
      <c r="O65" s="1418" t="s">
        <v>403</v>
      </c>
      <c r="P65" s="1419" t="s">
        <v>868</v>
      </c>
      <c r="Q65" s="1420">
        <f ca="1">C40+J29</f>
        <v>90161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-538</v>
      </c>
      <c r="D67" s="963" t="s">
        <v>753</v>
      </c>
      <c r="E67" s="968"/>
      <c r="F67" s="969"/>
      <c r="O67" s="1428" t="s">
        <v>405</v>
      </c>
      <c r="P67" s="1419" t="s">
        <v>850</v>
      </c>
      <c r="Q67" s="1466">
        <f ca="1">L51</f>
        <v>16675</v>
      </c>
      <c r="R67" s="1420" t="s">
        <v>870</v>
      </c>
    </row>
    <row r="68" spans="1:18" s="1384" customFormat="1" ht="16.5" thickBot="1">
      <c r="A68" s="947" t="s">
        <v>395</v>
      </c>
      <c r="B68" s="948" t="s">
        <v>774</v>
      </c>
      <c r="C68" s="301">
        <f ca="1">ROUND(C67*(1-((1+F70)/(1+F68))^F69)/(F68-F70),0)</f>
        <v>-8529</v>
      </c>
      <c r="D68" s="965" t="s">
        <v>758</v>
      </c>
      <c r="E68" s="950" t="s">
        <v>759</v>
      </c>
      <c r="F68" s="312">
        <f ca="1">F40</f>
        <v>5.5E-2</v>
      </c>
      <c r="O68" s="1428" t="s">
        <v>406</v>
      </c>
      <c r="P68" s="1467" t="s">
        <v>871</v>
      </c>
      <c r="Q68" s="1420">
        <f ca="1">ROUND(Q69-Q70*Q71,0)</f>
        <v>938</v>
      </c>
      <c r="R68" s="1420" t="s">
        <v>414</v>
      </c>
    </row>
    <row r="69" spans="1:18" s="1384" customFormat="1" ht="13.5" thickBot="1">
      <c r="A69" s="951"/>
      <c r="B69" s="952"/>
      <c r="C69" s="306"/>
      <c r="D69" s="970" t="s">
        <v>762</v>
      </c>
      <c r="E69" s="950" t="s">
        <v>763</v>
      </c>
      <c r="F69" s="333">
        <f ca="1">F41</f>
        <v>38.380000000000003</v>
      </c>
      <c r="O69" s="1428" t="s">
        <v>411</v>
      </c>
      <c r="P69" s="1467" t="s">
        <v>872</v>
      </c>
      <c r="Q69" s="1420">
        <f ca="1">C39</f>
        <v>4040</v>
      </c>
      <c r="R69" s="1420" t="s">
        <v>818</v>
      </c>
    </row>
    <row r="70" spans="1:18" s="1384" customFormat="1" ht="13.5" thickBot="1">
      <c r="A70" s="954"/>
      <c r="B70" s="955"/>
      <c r="C70" s="310"/>
      <c r="D70" s="966"/>
      <c r="E70" s="950" t="s">
        <v>766</v>
      </c>
      <c r="F70" s="1054"/>
      <c r="O70" s="1428" t="s">
        <v>412</v>
      </c>
      <c r="P70" s="1467" t="s">
        <v>873</v>
      </c>
      <c r="Q70" s="1420">
        <f ca="1">C13</f>
        <v>44312</v>
      </c>
      <c r="R70" s="1420" t="s">
        <v>818</v>
      </c>
    </row>
    <row r="71" spans="1:18" s="1384" customFormat="1" ht="13.5" thickBot="1">
      <c r="A71" s="971" t="s">
        <v>396</v>
      </c>
      <c r="B71" s="972" t="s">
        <v>776</v>
      </c>
      <c r="C71" s="336">
        <f ca="1">ROUND(C68*10000/F71,0)</f>
        <v>-1190</v>
      </c>
      <c r="D71" s="973" t="s">
        <v>777</v>
      </c>
      <c r="E71" s="974" t="s">
        <v>778</v>
      </c>
      <c r="F71" s="339">
        <f ca="1">F43</f>
        <v>71671.429999999993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3102</v>
      </c>
      <c r="D75" s="1384"/>
      <c r="E75" s="1384"/>
      <c r="F75" s="1384"/>
      <c r="K75" s="1402"/>
      <c r="L75" s="1384"/>
      <c r="O75" s="1418" t="s">
        <v>409</v>
      </c>
      <c r="P75" s="1419" t="s">
        <v>838</v>
      </c>
      <c r="Q75" s="1420">
        <f ca="1">Q65+Q66</f>
        <v>90161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0.50900000000000001</v>
      </c>
    </row>
    <row r="83" spans="2:3">
      <c r="B83" s="273" t="s">
        <v>803</v>
      </c>
      <c r="C83" s="274">
        <f ca="1">ROUND(C13/C40,3)</f>
        <v>0.49099999999999999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2106</v>
      </c>
      <c r="E6" s="302" t="s">
        <v>696</v>
      </c>
      <c r="F6" s="303">
        <f ca="1">INDIRECT("'数据-取费表'!u"&amp;$G$1)</f>
        <v>0</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3354</v>
      </c>
      <c r="E2" s="3444"/>
      <c r="F2" s="2846"/>
      <c r="G2" s="2847"/>
      <c r="H2" s="2848"/>
      <c r="I2" s="2849"/>
      <c r="J2" s="3720" t="s">
        <v>2312</v>
      </c>
      <c r="K2" s="3721"/>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722" t="s">
        <v>2322</v>
      </c>
      <c r="K3" s="3723"/>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722" t="s">
        <v>2324</v>
      </c>
      <c r="K4" s="3723"/>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728" t="s">
        <v>2328</v>
      </c>
      <c r="B6" s="3729"/>
      <c r="C6" s="3730"/>
      <c r="D6" s="2870"/>
      <c r="E6" s="2871"/>
      <c r="F6" s="2872"/>
      <c r="G6" s="2873"/>
      <c r="H6" s="2848"/>
      <c r="I6" s="2849"/>
      <c r="J6" s="3714">
        <v>1</v>
      </c>
      <c r="K6" s="3715"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714"/>
      <c r="K7" s="3716"/>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731" t="s">
        <v>2342</v>
      </c>
      <c r="C8" s="3732"/>
      <c r="D8" s="2889" t="s">
        <v>2343</v>
      </c>
      <c r="E8" s="2890" t="s">
        <v>2344</v>
      </c>
      <c r="F8" s="2891" t="s">
        <v>2345</v>
      </c>
      <c r="G8" s="2892"/>
      <c r="H8" s="2848"/>
      <c r="I8" s="2849"/>
      <c r="J8" s="3714"/>
      <c r="K8" s="3716"/>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731" t="s">
        <v>2348</v>
      </c>
      <c r="C9" s="3732"/>
      <c r="D9" s="2889">
        <f>ROUND(D6*E9,0)</f>
        <v>0</v>
      </c>
      <c r="E9" s="2893"/>
      <c r="F9" s="2894" t="s">
        <v>2349</v>
      </c>
      <c r="G9" s="2873"/>
      <c r="H9" s="2848"/>
      <c r="I9" s="2849"/>
      <c r="J9" s="3714"/>
      <c r="K9" s="3716"/>
      <c r="L9" s="2883" t="s">
        <v>2350</v>
      </c>
      <c r="M9" s="2884"/>
      <c r="N9" s="2860"/>
      <c r="O9" s="2885"/>
      <c r="P9" s="2885"/>
      <c r="Q9" s="2886">
        <v>365</v>
      </c>
      <c r="R9" s="2887">
        <f t="shared" si="0"/>
        <v>0</v>
      </c>
      <c r="S9" s="2841"/>
      <c r="T9" s="2841"/>
      <c r="U9" s="2841"/>
      <c r="V9" s="2849"/>
    </row>
    <row r="10" spans="1:22" s="2853" customFormat="1" ht="13.15" customHeight="1">
      <c r="A10" s="2888">
        <v>2</v>
      </c>
      <c r="B10" s="3731" t="s">
        <v>2351</v>
      </c>
      <c r="C10" s="3732"/>
      <c r="D10" s="2889">
        <f>ROUND(D6*E10,0)</f>
        <v>0</v>
      </c>
      <c r="E10" s="2893"/>
      <c r="F10" s="2894" t="s">
        <v>2352</v>
      </c>
      <c r="G10" s="2873"/>
      <c r="H10" s="2848"/>
      <c r="I10" s="2849"/>
      <c r="J10" s="3714"/>
      <c r="K10" s="3716"/>
      <c r="L10" s="2883" t="s">
        <v>2353</v>
      </c>
      <c r="M10" s="2884"/>
      <c r="N10" s="2860"/>
      <c r="O10" s="2885"/>
      <c r="P10" s="2885"/>
      <c r="Q10" s="2886">
        <v>365</v>
      </c>
      <c r="R10" s="2887">
        <f t="shared" si="0"/>
        <v>0</v>
      </c>
      <c r="S10" s="2841"/>
      <c r="T10" s="2841"/>
      <c r="U10" s="2841"/>
      <c r="V10" s="2849"/>
    </row>
    <row r="11" spans="1:22" s="2853" customFormat="1" ht="13.15" customHeight="1">
      <c r="A11" s="2888">
        <v>3</v>
      </c>
      <c r="B11" s="3731" t="s">
        <v>2354</v>
      </c>
      <c r="C11" s="3732"/>
      <c r="D11" s="2889">
        <f>D12+D14+D15+D16</f>
        <v>0</v>
      </c>
      <c r="E11" s="2895" t="e">
        <f>D11/D6</f>
        <v>#DIV/0!</v>
      </c>
      <c r="F11" s="2891"/>
      <c r="G11" s="2892"/>
      <c r="H11" s="2848"/>
      <c r="I11" s="2849"/>
      <c r="J11" s="3714"/>
      <c r="K11" s="3716"/>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724" t="s">
        <v>2357</v>
      </c>
      <c r="C12" s="3725"/>
      <c r="D12" s="2897">
        <f>ROUND(D13*1.2%*(1-30%),0)</f>
        <v>0</v>
      </c>
      <c r="E12" s="2898">
        <v>1.2E-2</v>
      </c>
      <c r="F12" s="2891" t="s">
        <v>2358</v>
      </c>
      <c r="G12" s="2892"/>
      <c r="H12" s="2848"/>
      <c r="I12" s="2849"/>
      <c r="J12" s="3714"/>
      <c r="K12" s="3716"/>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714"/>
      <c r="K13" s="3716"/>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724" t="s">
        <v>2363</v>
      </c>
      <c r="C14" s="3725"/>
      <c r="D14" s="2897">
        <f>ROUND(E14*B5/10000,0)</f>
        <v>0</v>
      </c>
      <c r="E14" s="2886"/>
      <c r="F14" s="2891" t="s">
        <v>2364</v>
      </c>
      <c r="G14" s="2892"/>
      <c r="H14" s="2848"/>
      <c r="I14" s="2849"/>
      <c r="J14" s="3714"/>
      <c r="K14" s="3717"/>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724" t="s">
        <v>2367</v>
      </c>
      <c r="C15" s="3725"/>
      <c r="D15" s="2897">
        <f>ROUND(D6*E15,0)</f>
        <v>0</v>
      </c>
      <c r="E15" s="2898">
        <v>5.5E-2</v>
      </c>
      <c r="F15" s="2891" t="s">
        <v>2368</v>
      </c>
      <c r="G15" s="2873"/>
      <c r="H15" s="2848"/>
      <c r="I15" s="2849"/>
      <c r="J15" s="3714">
        <v>2</v>
      </c>
      <c r="K15" s="3715"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724" t="s">
        <v>2376</v>
      </c>
      <c r="C16" s="3725"/>
      <c r="D16" s="2908">
        <f>D6*E16</f>
        <v>0</v>
      </c>
      <c r="E16" s="2909"/>
      <c r="F16" s="2894" t="s">
        <v>2377</v>
      </c>
      <c r="G16" s="2873"/>
      <c r="H16" s="2848"/>
      <c r="I16" s="2849"/>
      <c r="J16" s="3714"/>
      <c r="K16" s="3716"/>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2379</v>
      </c>
      <c r="C17" s="3727"/>
      <c r="D17" s="2911">
        <f>ROUND(D6*E17,0)</f>
        <v>0</v>
      </c>
      <c r="E17" s="2912"/>
      <c r="F17" s="2913" t="s">
        <v>2380</v>
      </c>
      <c r="G17" s="2873"/>
      <c r="H17" s="2848"/>
      <c r="I17" s="2849"/>
      <c r="J17" s="3714"/>
      <c r="K17" s="3716"/>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714"/>
      <c r="K18" s="3716"/>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714"/>
      <c r="K19" s="3717"/>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714"/>
      <c r="K21" s="3716"/>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714"/>
      <c r="K22" s="3716"/>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714"/>
      <c r="K23" s="3716"/>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714"/>
      <c r="K24" s="3717"/>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718">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720" t="s">
        <v>2312</v>
      </c>
      <c r="K32" s="3721"/>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722" t="s">
        <v>2322</v>
      </c>
      <c r="K33" s="3723"/>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722" t="s">
        <v>2324</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714">
        <v>1</v>
      </c>
      <c r="K36" s="3715"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714"/>
      <c r="K40" s="3717"/>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91375</v>
      </c>
      <c r="C2" s="1872" t="s">
        <v>1651</v>
      </c>
      <c r="D2" s="1873" t="s">
        <v>1652</v>
      </c>
      <c r="E2" s="2607">
        <f>SUM(E6:E13)</f>
        <v>71671.429999999993</v>
      </c>
      <c r="F2" s="2707"/>
      <c r="G2" s="1489"/>
      <c r="H2" s="1489"/>
      <c r="I2" s="1489"/>
      <c r="J2" s="1489"/>
      <c r="K2" s="1489"/>
      <c r="L2" s="1489"/>
      <c r="M2" s="1489"/>
      <c r="N2" s="1489"/>
      <c r="O2" s="1489"/>
      <c r="P2" s="1489"/>
      <c r="Q2" s="1489"/>
      <c r="R2" s="1489"/>
      <c r="S2" s="1489"/>
    </row>
    <row r="3" spans="1:22" ht="15.75">
      <c r="A3" s="1870" t="s">
        <v>686</v>
      </c>
      <c r="B3" s="2601">
        <f ca="1">ROUND(B2*10000/E2,0)</f>
        <v>12749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91375</v>
      </c>
      <c r="C6" s="1872" t="s">
        <v>1651</v>
      </c>
      <c r="D6" s="2709"/>
      <c r="E6" s="2606">
        <f>IF(OR(A6=0,F6="否"),0,'数据-取费表'!K6+'数据-取费表'!S6)</f>
        <v>71671.429999999993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71671.429999999993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3" t="s">
        <v>1667</v>
      </c>
      <c r="D4" s="3754"/>
      <c r="E4" s="3755" t="s">
        <v>1668</v>
      </c>
      <c r="F4" s="3756"/>
      <c r="G4" s="3753" t="s">
        <v>1669</v>
      </c>
      <c r="H4" s="3754"/>
      <c r="I4" s="3753" t="s">
        <v>1670</v>
      </c>
      <c r="J4" s="3754"/>
      <c r="K4" s="1889" t="s">
        <v>1671</v>
      </c>
      <c r="L4" s="2715"/>
      <c r="M4" s="2716"/>
      <c r="N4" s="2716"/>
      <c r="O4" s="2716"/>
      <c r="P4" s="3757" t="s">
        <v>1672</v>
      </c>
      <c r="Q4" s="3758"/>
      <c r="R4" s="3763" t="s">
        <v>1668</v>
      </c>
      <c r="S4" s="3764"/>
      <c r="T4" s="3763" t="s">
        <v>1669</v>
      </c>
      <c r="U4" s="3764"/>
      <c r="V4" s="3769" t="s">
        <v>1670</v>
      </c>
      <c r="W4" s="3769"/>
      <c r="X4" s="1355"/>
      <c r="Y4" s="3763" t="s">
        <v>1672</v>
      </c>
      <c r="Z4" s="3764"/>
      <c r="AA4" s="3750" t="s">
        <v>1668</v>
      </c>
      <c r="AB4" s="3750" t="s">
        <v>1669</v>
      </c>
      <c r="AC4" s="3750" t="s">
        <v>1670</v>
      </c>
    </row>
    <row r="5" spans="1:29" ht="15">
      <c r="A5" s="358"/>
      <c r="B5" s="359"/>
      <c r="C5" s="3772" t="s">
        <v>1673</v>
      </c>
      <c r="D5" s="3773"/>
      <c r="E5" s="3779" t="s">
        <v>1674</v>
      </c>
      <c r="F5" s="3780"/>
      <c r="G5" s="3772" t="s">
        <v>1675</v>
      </c>
      <c r="H5" s="3773"/>
      <c r="I5" s="3772" t="s">
        <v>1676</v>
      </c>
      <c r="J5" s="3773"/>
      <c r="K5" s="1890"/>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1890"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4" t="s">
        <v>1680</v>
      </c>
      <c r="Q7" s="3776"/>
      <c r="R7" s="701" t="s">
        <v>20</v>
      </c>
      <c r="S7" s="702">
        <f t="shared" ref="S7:S15" si="0">F7</f>
        <v>0</v>
      </c>
      <c r="T7" s="701" t="s">
        <v>20</v>
      </c>
      <c r="U7" s="702">
        <f t="shared" ref="U7:U15" si="1">H7</f>
        <v>0</v>
      </c>
      <c r="V7" s="701" t="s">
        <v>20</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4" t="s">
        <v>1683</v>
      </c>
      <c r="Q8" s="3775"/>
      <c r="R8" s="701" t="s">
        <v>20</v>
      </c>
      <c r="S8" s="702">
        <f t="shared" si="0"/>
        <v>100</v>
      </c>
      <c r="T8" s="701" t="s">
        <v>20</v>
      </c>
      <c r="U8" s="702">
        <f t="shared" si="1"/>
        <v>100</v>
      </c>
      <c r="V8" s="701" t="s">
        <v>20</v>
      </c>
      <c r="W8" s="702">
        <f t="shared" si="2"/>
        <v>100</v>
      </c>
      <c r="X8" s="703"/>
      <c r="Y8" s="3774" t="s">
        <v>1683</v>
      </c>
      <c r="Z8" s="37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9"/>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9"/>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9"/>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9"/>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41"/>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41"/>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41"/>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41"/>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2" t="s">
        <v>1696</v>
      </c>
      <c r="Q32" s="1352" t="str">
        <f t="shared" si="11"/>
        <v>建筑类型</v>
      </c>
      <c r="R32" s="705" t="s">
        <v>18</v>
      </c>
      <c r="S32" s="706">
        <f t="shared" si="12"/>
        <v>100</v>
      </c>
      <c r="T32" s="705" t="s">
        <v>18</v>
      </c>
      <c r="U32" s="706">
        <f t="shared" si="13"/>
        <v>100</v>
      </c>
      <c r="V32" s="705" t="s">
        <v>18</v>
      </c>
      <c r="W32" s="706">
        <f t="shared" si="14"/>
        <v>100</v>
      </c>
      <c r="X32" s="1355"/>
      <c r="Y32" s="37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3"/>
      <c r="Q33" s="707" t="str">
        <f t="shared" si="11"/>
        <v>项目建筑规模</v>
      </c>
      <c r="R33" s="708" t="s">
        <v>18</v>
      </c>
      <c r="S33" s="709" t="e">
        <f t="shared" si="12"/>
        <v>#N/A</v>
      </c>
      <c r="T33" s="708" t="s">
        <v>18</v>
      </c>
      <c r="U33" s="709" t="e">
        <f t="shared" si="13"/>
        <v>#N/A</v>
      </c>
      <c r="V33" s="708" t="s">
        <v>18</v>
      </c>
      <c r="W33" s="709" t="e">
        <f t="shared" si="14"/>
        <v>#N/A</v>
      </c>
      <c r="X33" s="710"/>
      <c r="Y33" s="37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3"/>
      <c r="Q34" s="1352" t="str">
        <f t="shared" si="11"/>
        <v>建筑结构</v>
      </c>
      <c r="R34" s="705" t="s">
        <v>18</v>
      </c>
      <c r="S34" s="706">
        <f t="shared" si="12"/>
        <v>100</v>
      </c>
      <c r="T34" s="705" t="s">
        <v>18</v>
      </c>
      <c r="U34" s="706">
        <f t="shared" si="13"/>
        <v>100</v>
      </c>
      <c r="V34" s="705" t="s">
        <v>18</v>
      </c>
      <c r="W34" s="706">
        <f t="shared" si="14"/>
        <v>100</v>
      </c>
      <c r="X34" s="1355"/>
      <c r="Y34" s="37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3"/>
      <c r="Q35" s="1352" t="str">
        <f t="shared" si="11"/>
        <v>建筑品质</v>
      </c>
      <c r="R35" s="705" t="s">
        <v>18</v>
      </c>
      <c r="S35" s="706">
        <f t="shared" si="12"/>
        <v>100</v>
      </c>
      <c r="T35" s="705" t="s">
        <v>18</v>
      </c>
      <c r="U35" s="706">
        <f t="shared" si="13"/>
        <v>100</v>
      </c>
      <c r="V35" s="705" t="s">
        <v>18</v>
      </c>
      <c r="W35" s="706">
        <f t="shared" si="14"/>
        <v>100</v>
      </c>
      <c r="X35" s="1355"/>
      <c r="Y35" s="37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3"/>
      <c r="Q36" s="1352" t="str">
        <f t="shared" si="11"/>
        <v>公共部分装修</v>
      </c>
      <c r="R36" s="705" t="s">
        <v>18</v>
      </c>
      <c r="S36" s="706">
        <f t="shared" si="12"/>
        <v>100</v>
      </c>
      <c r="T36" s="705" t="s">
        <v>18</v>
      </c>
      <c r="U36" s="706">
        <f t="shared" si="13"/>
        <v>100</v>
      </c>
      <c r="V36" s="705" t="s">
        <v>18</v>
      </c>
      <c r="W36" s="706">
        <f t="shared" si="14"/>
        <v>100</v>
      </c>
      <c r="X36" s="1355"/>
      <c r="Y36" s="37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3"/>
      <c r="Q37" s="1343" t="str">
        <f t="shared" si="11"/>
        <v>成新度</v>
      </c>
      <c r="R37" s="701" t="s">
        <v>18</v>
      </c>
      <c r="S37" s="702" t="e">
        <f t="shared" si="12"/>
        <v>#N/A</v>
      </c>
      <c r="T37" s="701" t="s">
        <v>18</v>
      </c>
      <c r="U37" s="702" t="e">
        <f t="shared" si="13"/>
        <v>#N/A</v>
      </c>
      <c r="V37" s="701" t="s">
        <v>18</v>
      </c>
      <c r="W37" s="702" t="e">
        <f t="shared" si="14"/>
        <v>#N/A</v>
      </c>
      <c r="X37" s="703"/>
      <c r="Y37" s="37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3" t="s">
        <v>1696</v>
      </c>
      <c r="Q38" s="1352" t="str">
        <f t="shared" si="11"/>
        <v>物业管理</v>
      </c>
      <c r="R38" s="705" t="s">
        <v>18</v>
      </c>
      <c r="S38" s="706">
        <f t="shared" si="12"/>
        <v>100</v>
      </c>
      <c r="T38" s="705" t="s">
        <v>18</v>
      </c>
      <c r="U38" s="706">
        <f t="shared" si="13"/>
        <v>100</v>
      </c>
      <c r="V38" s="705" t="s">
        <v>18</v>
      </c>
      <c r="W38" s="706">
        <f t="shared" si="14"/>
        <v>100</v>
      </c>
      <c r="X38" s="1355"/>
      <c r="Y38" s="37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3"/>
      <c r="Q39" s="1352" t="str">
        <f t="shared" si="11"/>
        <v>市政基础设施</v>
      </c>
      <c r="R39" s="705" t="s">
        <v>18</v>
      </c>
      <c r="S39" s="706">
        <f t="shared" si="12"/>
        <v>100</v>
      </c>
      <c r="T39" s="705" t="s">
        <v>18</v>
      </c>
      <c r="U39" s="706">
        <f t="shared" si="13"/>
        <v>100</v>
      </c>
      <c r="V39" s="705" t="s">
        <v>18</v>
      </c>
      <c r="W39" s="706">
        <f t="shared" si="14"/>
        <v>100</v>
      </c>
      <c r="X39" s="1355"/>
      <c r="Y39" s="37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3"/>
      <c r="Q40" s="1352" t="str">
        <f t="shared" si="11"/>
        <v>房型</v>
      </c>
      <c r="R40" s="705" t="s">
        <v>18</v>
      </c>
      <c r="S40" s="706">
        <f t="shared" si="12"/>
        <v>100</v>
      </c>
      <c r="T40" s="705" t="s">
        <v>18</v>
      </c>
      <c r="U40" s="706">
        <f t="shared" si="13"/>
        <v>100</v>
      </c>
      <c r="V40" s="705" t="s">
        <v>18</v>
      </c>
      <c r="W40" s="706">
        <f t="shared" si="14"/>
        <v>100</v>
      </c>
      <c r="X40" s="1355"/>
      <c r="Y40" s="374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3"/>
      <c r="Q42" s="1352" t="str">
        <f t="shared" si="11"/>
        <v>内部装修</v>
      </c>
      <c r="R42" s="705" t="s">
        <v>18</v>
      </c>
      <c r="S42" s="706">
        <f t="shared" si="12"/>
        <v>100</v>
      </c>
      <c r="T42" s="705" t="s">
        <v>18</v>
      </c>
      <c r="U42" s="706">
        <f t="shared" si="13"/>
        <v>100</v>
      </c>
      <c r="V42" s="705" t="s">
        <v>18</v>
      </c>
      <c r="W42" s="706">
        <f t="shared" si="14"/>
        <v>100</v>
      </c>
      <c r="X42" s="1355"/>
      <c r="Y42" s="374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3"/>
      <c r="Q43" s="1352" t="str">
        <f t="shared" si="11"/>
        <v>内部装修维护情况</v>
      </c>
      <c r="R43" s="705" t="s">
        <v>18</v>
      </c>
      <c r="S43" s="706">
        <f t="shared" si="12"/>
        <v>100</v>
      </c>
      <c r="T43" s="705" t="s">
        <v>18</v>
      </c>
      <c r="U43" s="706">
        <f t="shared" si="13"/>
        <v>100</v>
      </c>
      <c r="V43" s="705" t="s">
        <v>18</v>
      </c>
      <c r="W43" s="706">
        <f t="shared" si="14"/>
        <v>100</v>
      </c>
      <c r="X43" s="1355"/>
      <c r="Y43" s="37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3"/>
      <c r="Q44" s="1343">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3"/>
      <c r="Q45" s="1352">
        <f t="shared" si="11"/>
        <v>111</v>
      </c>
      <c r="R45" s="705" t="s">
        <v>18</v>
      </c>
      <c r="S45" s="706">
        <f t="shared" si="12"/>
        <v>100</v>
      </c>
      <c r="T45" s="705" t="s">
        <v>18</v>
      </c>
      <c r="U45" s="706">
        <f t="shared" si="13"/>
        <v>100</v>
      </c>
      <c r="V45" s="705" t="s">
        <v>18</v>
      </c>
      <c r="W45" s="706">
        <f t="shared" si="14"/>
        <v>100</v>
      </c>
      <c r="X45" s="1355"/>
      <c r="Y45" s="37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4"/>
      <c r="Q46" s="1352">
        <f t="shared" si="11"/>
        <v>111</v>
      </c>
      <c r="R46" s="705" t="s">
        <v>17</v>
      </c>
      <c r="S46" s="706">
        <f t="shared" si="12"/>
        <v>100</v>
      </c>
      <c r="T46" s="705" t="s">
        <v>17</v>
      </c>
      <c r="U46" s="706">
        <f t="shared" si="13"/>
        <v>100</v>
      </c>
      <c r="V46" s="705" t="s">
        <v>17</v>
      </c>
      <c r="W46" s="706">
        <f t="shared" si="14"/>
        <v>100</v>
      </c>
      <c r="X46" s="1355"/>
      <c r="Y46" s="374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69"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69"/>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69"/>
      <c r="AC6" s="3752"/>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9"/>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41"/>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2" t="s">
        <v>1696</v>
      </c>
      <c r="Q32" s="1352" t="str">
        <f t="shared" si="11"/>
        <v>商业类型</v>
      </c>
      <c r="R32" s="705" t="s">
        <v>14</v>
      </c>
      <c r="S32" s="706">
        <f t="shared" si="12"/>
        <v>100</v>
      </c>
      <c r="T32" s="705" t="s">
        <v>14</v>
      </c>
      <c r="U32" s="706">
        <f t="shared" si="13"/>
        <v>100</v>
      </c>
      <c r="V32" s="705" t="s">
        <v>14</v>
      </c>
      <c r="W32" s="706">
        <f t="shared" si="14"/>
        <v>100</v>
      </c>
      <c r="X32" s="1355"/>
      <c r="Y32" s="37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3"/>
      <c r="Q34" s="1352" t="str">
        <f t="shared" si="11"/>
        <v>建筑结构</v>
      </c>
      <c r="R34" s="705" t="s">
        <v>14</v>
      </c>
      <c r="S34" s="706">
        <f t="shared" si="12"/>
        <v>100</v>
      </c>
      <c r="T34" s="705" t="s">
        <v>14</v>
      </c>
      <c r="U34" s="706">
        <f t="shared" si="13"/>
        <v>100</v>
      </c>
      <c r="V34" s="705" t="s">
        <v>14</v>
      </c>
      <c r="W34" s="706">
        <f t="shared" si="14"/>
        <v>100</v>
      </c>
      <c r="X34" s="1355"/>
      <c r="Y34" s="37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3"/>
      <c r="Q35" s="1352" t="str">
        <f t="shared" si="11"/>
        <v>公共部分装修</v>
      </c>
      <c r="R35" s="705" t="s">
        <v>14</v>
      </c>
      <c r="S35" s="706">
        <f t="shared" si="12"/>
        <v>100</v>
      </c>
      <c r="T35" s="705" t="s">
        <v>14</v>
      </c>
      <c r="U35" s="706">
        <f t="shared" si="13"/>
        <v>100</v>
      </c>
      <c r="V35" s="705" t="s">
        <v>14</v>
      </c>
      <c r="W35" s="706">
        <f t="shared" si="14"/>
        <v>100</v>
      </c>
      <c r="X35" s="1355"/>
      <c r="Y35" s="374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3"/>
      <c r="Q36" s="1352" t="str">
        <f t="shared" si="11"/>
        <v>成新度</v>
      </c>
      <c r="R36" s="705" t="s">
        <v>14</v>
      </c>
      <c r="S36" s="706" t="e">
        <f t="shared" si="12"/>
        <v>#N/A</v>
      </c>
      <c r="T36" s="705" t="s">
        <v>14</v>
      </c>
      <c r="U36" s="706" t="e">
        <f t="shared" si="13"/>
        <v>#N/A</v>
      </c>
      <c r="V36" s="705" t="s">
        <v>14</v>
      </c>
      <c r="W36" s="706" t="e">
        <f t="shared" si="14"/>
        <v>#N/A</v>
      </c>
      <c r="X36" s="1355"/>
      <c r="Y36" s="374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3"/>
      <c r="Q37" s="1343"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3" t="s">
        <v>1696</v>
      </c>
      <c r="Q38" s="1352" t="str">
        <f t="shared" si="11"/>
        <v>业态</v>
      </c>
      <c r="R38" s="705" t="s">
        <v>14</v>
      </c>
      <c r="S38" s="706">
        <f t="shared" si="12"/>
        <v>100</v>
      </c>
      <c r="T38" s="705" t="s">
        <v>14</v>
      </c>
      <c r="U38" s="706">
        <f t="shared" si="13"/>
        <v>100</v>
      </c>
      <c r="V38" s="705" t="s">
        <v>14</v>
      </c>
      <c r="W38" s="706">
        <f t="shared" si="14"/>
        <v>100</v>
      </c>
      <c r="X38" s="1355"/>
      <c r="Y38" s="37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3"/>
      <c r="Q39" s="1352" t="str">
        <f t="shared" si="11"/>
        <v>层高</v>
      </c>
      <c r="R39" s="705" t="s">
        <v>14</v>
      </c>
      <c r="S39" s="706">
        <f t="shared" si="12"/>
        <v>100</v>
      </c>
      <c r="T39" s="705" t="s">
        <v>14</v>
      </c>
      <c r="U39" s="706">
        <f t="shared" si="13"/>
        <v>100</v>
      </c>
      <c r="V39" s="705" t="s">
        <v>14</v>
      </c>
      <c r="W39" s="706">
        <f t="shared" si="14"/>
        <v>100</v>
      </c>
      <c r="X39" s="1355"/>
      <c r="Y39" s="37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3"/>
      <c r="Q40" s="1352" t="str">
        <f t="shared" si="11"/>
        <v>单套建筑面积</v>
      </c>
      <c r="R40" s="705" t="s">
        <v>14</v>
      </c>
      <c r="S40" s="706">
        <f t="shared" si="12"/>
        <v>100</v>
      </c>
      <c r="T40" s="705" t="s">
        <v>14</v>
      </c>
      <c r="U40" s="706">
        <f t="shared" si="13"/>
        <v>100</v>
      </c>
      <c r="V40" s="705" t="s">
        <v>14</v>
      </c>
      <c r="W40" s="706">
        <f t="shared" si="14"/>
        <v>100</v>
      </c>
      <c r="X40" s="1355"/>
      <c r="Y40" s="37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3"/>
      <c r="Q42" s="1352" t="str">
        <f t="shared" si="11"/>
        <v>内部装修</v>
      </c>
      <c r="R42" s="705" t="s">
        <v>14</v>
      </c>
      <c r="S42" s="706">
        <f t="shared" si="12"/>
        <v>100</v>
      </c>
      <c r="T42" s="705" t="s">
        <v>14</v>
      </c>
      <c r="U42" s="706">
        <f t="shared" si="13"/>
        <v>100</v>
      </c>
      <c r="V42" s="705" t="s">
        <v>14</v>
      </c>
      <c r="W42" s="706">
        <f t="shared" si="14"/>
        <v>100</v>
      </c>
      <c r="X42" s="1355"/>
      <c r="Y42" s="374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3"/>
      <c r="Q43" s="1352" t="str">
        <f t="shared" si="11"/>
        <v>内部装修维护情况</v>
      </c>
      <c r="R43" s="705" t="s">
        <v>14</v>
      </c>
      <c r="S43" s="706">
        <f t="shared" si="12"/>
        <v>100</v>
      </c>
      <c r="T43" s="705" t="s">
        <v>14</v>
      </c>
      <c r="U43" s="706">
        <f t="shared" si="13"/>
        <v>100</v>
      </c>
      <c r="V43" s="705" t="s">
        <v>14</v>
      </c>
      <c r="W43" s="706">
        <f t="shared" si="14"/>
        <v>100</v>
      </c>
      <c r="X43" s="1355"/>
      <c r="Y43" s="37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3"/>
      <c r="Q44" s="1343">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3"/>
      <c r="Q45" s="1352">
        <f t="shared" si="11"/>
        <v>111</v>
      </c>
      <c r="R45" s="705" t="s">
        <v>14</v>
      </c>
      <c r="S45" s="706">
        <f t="shared" si="12"/>
        <v>100</v>
      </c>
      <c r="T45" s="705" t="s">
        <v>14</v>
      </c>
      <c r="U45" s="706">
        <f t="shared" si="13"/>
        <v>100</v>
      </c>
      <c r="V45" s="705" t="s">
        <v>14</v>
      </c>
      <c r="W45" s="706">
        <f t="shared" si="14"/>
        <v>100</v>
      </c>
      <c r="X45" s="1355"/>
      <c r="Y45" s="374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69">
        <f>E47</f>
        <v>0</v>
      </c>
      <c r="S47" s="3769"/>
      <c r="T47" s="3769">
        <f>G47</f>
        <v>0</v>
      </c>
      <c r="U47" s="3769"/>
      <c r="V47" s="3769">
        <f>I47</f>
        <v>0</v>
      </c>
      <c r="W47" s="376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87" t="s">
        <v>1775</v>
      </c>
      <c r="Q4" s="3788"/>
      <c r="R4" s="3791" t="s">
        <v>1771</v>
      </c>
      <c r="S4" s="3792"/>
      <c r="T4" s="3791" t="s">
        <v>1772</v>
      </c>
      <c r="U4" s="3792"/>
      <c r="V4" s="3793" t="s">
        <v>1773</v>
      </c>
      <c r="W4" s="3793"/>
      <c r="X4" s="1958"/>
      <c r="Y4" s="3791" t="s">
        <v>1775</v>
      </c>
      <c r="Z4" s="3792"/>
      <c r="AA4" s="3795" t="s">
        <v>1771</v>
      </c>
      <c r="AB4" s="3795" t="s">
        <v>1772</v>
      </c>
      <c r="AC4" s="3784" t="s">
        <v>1773</v>
      </c>
    </row>
    <row r="5" spans="1:29" ht="15">
      <c r="A5" s="358"/>
      <c r="B5" s="359"/>
      <c r="C5" s="3772" t="s">
        <v>1673</v>
      </c>
      <c r="D5" s="3773"/>
      <c r="E5" s="3779" t="s">
        <v>1674</v>
      </c>
      <c r="F5" s="3780"/>
      <c r="G5" s="3772" t="s">
        <v>1675</v>
      </c>
      <c r="H5" s="3773"/>
      <c r="I5" s="3772" t="s">
        <v>1676</v>
      </c>
      <c r="J5" s="3773"/>
      <c r="K5" s="559"/>
      <c r="L5" s="2715"/>
      <c r="M5" s="2716"/>
      <c r="N5" s="2716"/>
      <c r="O5" s="2716"/>
      <c r="P5" s="3789"/>
      <c r="Q5" s="3760"/>
      <c r="R5" s="3765"/>
      <c r="S5" s="3766"/>
      <c r="T5" s="3765"/>
      <c r="U5" s="3766"/>
      <c r="V5" s="3769"/>
      <c r="W5" s="3769"/>
      <c r="X5" s="1355"/>
      <c r="Y5" s="3765"/>
      <c r="Z5" s="3766"/>
      <c r="AA5" s="3751"/>
      <c r="AB5" s="3751"/>
      <c r="AC5" s="3785"/>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90"/>
      <c r="Q6" s="3762"/>
      <c r="R6" s="3765"/>
      <c r="S6" s="3766"/>
      <c r="T6" s="3767"/>
      <c r="U6" s="3768"/>
      <c r="V6" s="3769"/>
      <c r="W6" s="3769"/>
      <c r="X6" s="1355"/>
      <c r="Y6" s="3767"/>
      <c r="Z6" s="3768"/>
      <c r="AA6" s="3752"/>
      <c r="AB6" s="3752"/>
      <c r="AC6" s="3786"/>
    </row>
    <row r="7" spans="1:29" s="108" customFormat="1" ht="15.75" thickBot="1">
      <c r="A7" s="362" t="s">
        <v>1679</v>
      </c>
      <c r="B7" s="363"/>
      <c r="C7" s="364">
        <f>'数据-取费表'!B2</f>
        <v>45245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4"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9"/>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8"/>
      <c r="Q22" s="1352"/>
      <c r="R22" s="705"/>
      <c r="S22" s="706"/>
      <c r="T22" s="705"/>
      <c r="U22" s="706"/>
      <c r="V22" s="705"/>
      <c r="W22" s="706"/>
      <c r="X22" s="1355"/>
      <c r="Y22" s="3741"/>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1352"/>
      <c r="R26" s="705"/>
      <c r="S26" s="706"/>
      <c r="T26" s="705"/>
      <c r="U26" s="706"/>
      <c r="V26" s="705"/>
      <c r="W26" s="706"/>
      <c r="X26" s="1355"/>
      <c r="Y26" s="374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1352" t="str">
        <f t="shared" ref="Q27:Q47" si="11">B27</f>
        <v>楼层</v>
      </c>
      <c r="R27" s="705" t="s">
        <v>14</v>
      </c>
      <c r="S27" s="706">
        <f>F27</f>
        <v>100</v>
      </c>
      <c r="T27" s="705" t="s">
        <v>14</v>
      </c>
      <c r="U27" s="706">
        <f>H27</f>
        <v>100</v>
      </c>
      <c r="V27" s="705" t="s">
        <v>14</v>
      </c>
      <c r="W27" s="706">
        <f>J27</f>
        <v>100</v>
      </c>
      <c r="X27" s="1355"/>
      <c r="Y27" s="374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2" t="s">
        <v>1696</v>
      </c>
      <c r="Q33" s="1352" t="str">
        <f t="shared" si="11"/>
        <v>建筑类型</v>
      </c>
      <c r="R33" s="705" t="s">
        <v>14</v>
      </c>
      <c r="S33" s="706">
        <f t="shared" si="12"/>
        <v>100</v>
      </c>
      <c r="T33" s="705" t="s">
        <v>14</v>
      </c>
      <c r="U33" s="706">
        <f t="shared" si="13"/>
        <v>100</v>
      </c>
      <c r="V33" s="705" t="s">
        <v>14</v>
      </c>
      <c r="W33" s="706">
        <f t="shared" si="14"/>
        <v>100</v>
      </c>
      <c r="X33" s="1355"/>
      <c r="Y33" s="374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3"/>
      <c r="Q35" s="1352" t="str">
        <f t="shared" si="11"/>
        <v>建筑结构</v>
      </c>
      <c r="R35" s="705" t="s">
        <v>14</v>
      </c>
      <c r="S35" s="706">
        <f t="shared" si="12"/>
        <v>100</v>
      </c>
      <c r="T35" s="705" t="s">
        <v>14</v>
      </c>
      <c r="U35" s="706">
        <f t="shared" si="13"/>
        <v>100</v>
      </c>
      <c r="V35" s="705" t="s">
        <v>14</v>
      </c>
      <c r="W35" s="706">
        <f t="shared" si="14"/>
        <v>100</v>
      </c>
      <c r="X35" s="1355"/>
      <c r="Y35" s="374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3"/>
      <c r="Q36" s="1352" t="str">
        <f t="shared" si="11"/>
        <v>公共部分装修</v>
      </c>
      <c r="R36" s="705" t="s">
        <v>14</v>
      </c>
      <c r="S36" s="706">
        <f t="shared" si="12"/>
        <v>100</v>
      </c>
      <c r="T36" s="705" t="s">
        <v>14</v>
      </c>
      <c r="U36" s="706">
        <f t="shared" si="13"/>
        <v>100</v>
      </c>
      <c r="V36" s="705" t="s">
        <v>14</v>
      </c>
      <c r="W36" s="706">
        <f t="shared" si="14"/>
        <v>100</v>
      </c>
      <c r="X36" s="1355"/>
      <c r="Y36" s="374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3"/>
      <c r="Q37" s="1352" t="str">
        <f t="shared" si="11"/>
        <v>成新度</v>
      </c>
      <c r="R37" s="705" t="s">
        <v>14</v>
      </c>
      <c r="S37" s="706" t="e">
        <f t="shared" si="12"/>
        <v>#N/A</v>
      </c>
      <c r="T37" s="705" t="s">
        <v>14</v>
      </c>
      <c r="U37" s="706" t="e">
        <f t="shared" si="13"/>
        <v>#N/A</v>
      </c>
      <c r="V37" s="705" t="s">
        <v>14</v>
      </c>
      <c r="W37" s="706" t="e">
        <f t="shared" si="14"/>
        <v>#N/A</v>
      </c>
      <c r="X37" s="1355"/>
      <c r="Y37" s="374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1343"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3" t="s">
        <v>1696</v>
      </c>
      <c r="Q39" s="1352" t="str">
        <f t="shared" si="11"/>
        <v>物业管理</v>
      </c>
      <c r="R39" s="705" t="s">
        <v>14</v>
      </c>
      <c r="S39" s="706">
        <f t="shared" si="12"/>
        <v>100</v>
      </c>
      <c r="T39" s="705" t="s">
        <v>14</v>
      </c>
      <c r="U39" s="706">
        <f t="shared" si="13"/>
        <v>100</v>
      </c>
      <c r="V39" s="705" t="s">
        <v>14</v>
      </c>
      <c r="W39" s="706">
        <f t="shared" si="14"/>
        <v>100</v>
      </c>
      <c r="X39" s="1355"/>
      <c r="Y39" s="374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3"/>
      <c r="Q40" s="1352" t="str">
        <f t="shared" si="11"/>
        <v>市政基础设施</v>
      </c>
      <c r="R40" s="705" t="s">
        <v>14</v>
      </c>
      <c r="S40" s="706">
        <f t="shared" si="12"/>
        <v>100</v>
      </c>
      <c r="T40" s="705" t="s">
        <v>14</v>
      </c>
      <c r="U40" s="706">
        <f t="shared" si="13"/>
        <v>100</v>
      </c>
      <c r="V40" s="705" t="s">
        <v>14</v>
      </c>
      <c r="W40" s="706">
        <f t="shared" si="14"/>
        <v>100</v>
      </c>
      <c r="X40" s="1355"/>
      <c r="Y40" s="374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1352" t="str">
        <f t="shared" si="11"/>
        <v>层高</v>
      </c>
      <c r="R41" s="705" t="s">
        <v>14</v>
      </c>
      <c r="S41" s="706">
        <f t="shared" si="12"/>
        <v>100</v>
      </c>
      <c r="T41" s="705" t="s">
        <v>14</v>
      </c>
      <c r="U41" s="706">
        <f t="shared" si="13"/>
        <v>100</v>
      </c>
      <c r="V41" s="705" t="s">
        <v>14</v>
      </c>
      <c r="W41" s="706">
        <f t="shared" si="14"/>
        <v>100</v>
      </c>
      <c r="X41" s="1355"/>
      <c r="Y41" s="37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3"/>
      <c r="Q43" s="1352" t="str">
        <f t="shared" si="11"/>
        <v>内部装修</v>
      </c>
      <c r="R43" s="705" t="s">
        <v>14</v>
      </c>
      <c r="S43" s="706">
        <f t="shared" si="12"/>
        <v>100</v>
      </c>
      <c r="T43" s="705" t="s">
        <v>14</v>
      </c>
      <c r="U43" s="706">
        <f t="shared" si="13"/>
        <v>100</v>
      </c>
      <c r="V43" s="705" t="s">
        <v>14</v>
      </c>
      <c r="W43" s="706">
        <f t="shared" si="14"/>
        <v>100</v>
      </c>
      <c r="X43" s="1355"/>
      <c r="Y43" s="374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3"/>
      <c r="Q44" s="1352" t="str">
        <f t="shared" si="11"/>
        <v>内部装修维护情况</v>
      </c>
      <c r="R44" s="705" t="s">
        <v>14</v>
      </c>
      <c r="S44" s="706">
        <f t="shared" si="12"/>
        <v>100</v>
      </c>
      <c r="T44" s="705" t="s">
        <v>14</v>
      </c>
      <c r="U44" s="706">
        <f t="shared" si="13"/>
        <v>100</v>
      </c>
      <c r="V44" s="705" t="s">
        <v>14</v>
      </c>
      <c r="W44" s="706">
        <f t="shared" si="14"/>
        <v>100</v>
      </c>
      <c r="X44" s="1355"/>
      <c r="Y44" s="37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1343">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1352">
        <f t="shared" si="11"/>
        <v>111</v>
      </c>
      <c r="R47" s="705" t="s">
        <v>14</v>
      </c>
      <c r="S47" s="706">
        <f t="shared" si="12"/>
        <v>100</v>
      </c>
      <c r="T47" s="705" t="s">
        <v>14</v>
      </c>
      <c r="U47" s="706">
        <f t="shared" si="13"/>
        <v>100</v>
      </c>
      <c r="V47" s="705" t="s">
        <v>14</v>
      </c>
      <c r="W47" s="706">
        <f t="shared" si="14"/>
        <v>100</v>
      </c>
      <c r="X47" s="1355"/>
      <c r="Y47" s="374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9"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9"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zoomScaleSheetLayoutView="85" workbookViewId="0">
      <selection activeCell="M34" sqref="M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3421</v>
      </c>
      <c r="F1" s="1879" t="s">
        <v>3422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2.5</v>
      </c>
      <c r="C3" s="354" t="s">
        <v>1768</v>
      </c>
      <c r="D3" s="353">
        <f>IF(D1="",'数据-汇总表'!E3,SUMIF('数据-汇总表'!$C19:$C33,D1,'数据-汇总表'!$E19:$E33))</f>
        <v>71671.429999999993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913"/>
      <c r="M4" s="914"/>
      <c r="N4" s="914"/>
      <c r="O4" s="914"/>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98" t="s">
        <v>3423</v>
      </c>
      <c r="F5" s="3780"/>
      <c r="G5" s="3797" t="s">
        <v>3424</v>
      </c>
      <c r="H5" s="3773"/>
      <c r="I5" s="3797" t="s">
        <v>3425</v>
      </c>
      <c r="J5" s="3773"/>
      <c r="K5" s="559"/>
      <c r="L5" s="913"/>
      <c r="M5" s="914"/>
      <c r="N5" s="914"/>
      <c r="O5" s="914"/>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913"/>
      <c r="M6" s="914"/>
      <c r="N6" s="914"/>
      <c r="O6" s="914"/>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45245</v>
      </c>
      <c r="D7" s="365">
        <v>100</v>
      </c>
      <c r="E7" s="366">
        <f>C7</f>
        <v>45245</v>
      </c>
      <c r="F7" s="367">
        <f>SUMIF(52:52,YEAR(E7)&amp;"-"&amp;MONTH(E7),53:53)</f>
        <v>100</v>
      </c>
      <c r="G7" s="366">
        <f>C7</f>
        <v>45245</v>
      </c>
      <c r="H7" s="365">
        <f>SUMIF(52:52,YEAR(G7)&amp;"-"&amp;MONTH(G7),53:53)</f>
        <v>100</v>
      </c>
      <c r="I7" s="366">
        <f>C7</f>
        <v>45245</v>
      </c>
      <c r="J7" s="365">
        <f>SUMIF(52:52,YEAR(I7)&amp;"-"&amp;MONTH(I7),53:53)</f>
        <v>100</v>
      </c>
      <c r="K7" s="560"/>
      <c r="L7" s="915"/>
      <c r="M7" s="916"/>
      <c r="N7" s="916"/>
      <c r="O7" s="916"/>
      <c r="P7" s="3774" t="s">
        <v>1680</v>
      </c>
      <c r="Q7" s="3776"/>
      <c r="R7" s="701" t="s">
        <v>14</v>
      </c>
      <c r="S7" s="702">
        <f t="shared" ref="S7:S15" si="0">F7</f>
        <v>100</v>
      </c>
      <c r="T7" s="701" t="s">
        <v>14</v>
      </c>
      <c r="U7" s="702">
        <f t="shared" ref="U7:U15" si="1">H7</f>
        <v>100</v>
      </c>
      <c r="V7" s="701" t="s">
        <v>14</v>
      </c>
      <c r="W7" s="702">
        <f t="shared" ref="W7:W15" si="2">J7</f>
        <v>100</v>
      </c>
      <c r="X7" s="703"/>
      <c r="Y7" s="3774" t="s">
        <v>1680</v>
      </c>
      <c r="Z7" s="3775"/>
      <c r="AA7" s="704">
        <f>D7/F7</f>
        <v>1</v>
      </c>
      <c r="AB7" s="704">
        <f>D7/H7</f>
        <v>1</v>
      </c>
      <c r="AC7" s="704">
        <f>D7/J7</f>
        <v>1</v>
      </c>
    </row>
    <row r="8" spans="1:29" s="108" customFormat="1" ht="15.75" thickBot="1">
      <c r="A8" s="362" t="s">
        <v>1681</v>
      </c>
      <c r="B8" s="363"/>
      <c r="C8" s="368" t="s">
        <v>3437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74" t="s">
        <v>1683</v>
      </c>
      <c r="Q8" s="3775"/>
      <c r="R8" s="701" t="s">
        <v>14</v>
      </c>
      <c r="S8" s="702">
        <f t="shared" si="0"/>
        <v>102</v>
      </c>
      <c r="T8" s="701" t="s">
        <v>14</v>
      </c>
      <c r="U8" s="702">
        <f t="shared" si="1"/>
        <v>102</v>
      </c>
      <c r="V8" s="701" t="s">
        <v>14</v>
      </c>
      <c r="W8" s="702">
        <f t="shared" si="2"/>
        <v>102</v>
      </c>
      <c r="X8" s="703"/>
      <c r="Y8" s="3774" t="s">
        <v>1683</v>
      </c>
      <c r="Z8" s="3775"/>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77" t="s">
        <v>3438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397"/>
      <c r="C16" s="398" t="s">
        <v>3439</v>
      </c>
      <c r="D16" s="399"/>
      <c r="E16" s="398" t="s">
        <v>3439</v>
      </c>
      <c r="F16" s="400"/>
      <c r="G16" s="398" t="s">
        <v>3439</v>
      </c>
      <c r="H16" s="401"/>
      <c r="I16" s="398" t="s">
        <v>3439</v>
      </c>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3</v>
      </c>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398" t="s">
        <v>3439</v>
      </c>
      <c r="D18" s="401"/>
      <c r="E18" s="398" t="s">
        <v>3439</v>
      </c>
      <c r="F18" s="404"/>
      <c r="G18" s="398" t="s">
        <v>3439</v>
      </c>
      <c r="H18" s="399"/>
      <c r="I18" s="398" t="s">
        <v>3439</v>
      </c>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3</v>
      </c>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t="s">
        <v>3439</v>
      </c>
      <c r="D20" s="399"/>
      <c r="E20" s="398" t="s">
        <v>3439</v>
      </c>
      <c r="F20" s="400"/>
      <c r="G20" s="398" t="s">
        <v>3439</v>
      </c>
      <c r="H20" s="399"/>
      <c r="I20" s="398" t="s">
        <v>3439</v>
      </c>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3</v>
      </c>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75" thickBot="1">
      <c r="A24" s="379"/>
      <c r="B24" s="1131"/>
      <c r="C24" s="398" t="s">
        <v>3439</v>
      </c>
      <c r="D24" s="399"/>
      <c r="E24" s="398" t="s">
        <v>3439</v>
      </c>
      <c r="F24" s="400"/>
      <c r="G24" s="398" t="s">
        <v>3439</v>
      </c>
      <c r="H24" s="399"/>
      <c r="I24" s="398" t="s">
        <v>3439</v>
      </c>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28.5">
      <c r="A29" s="417" t="s">
        <v>1694</v>
      </c>
      <c r="B29" s="63" t="s">
        <v>1817</v>
      </c>
      <c r="C29" s="1967" t="s">
        <v>3440</v>
      </c>
      <c r="D29" s="418">
        <v>100</v>
      </c>
      <c r="E29" s="1967" t="s">
        <v>3440</v>
      </c>
      <c r="F29" s="412">
        <f>SUMIF(88:88,E29,89:89)-SUMIF(88:88,C29,89:89)+100</f>
        <v>100</v>
      </c>
      <c r="G29" s="1967" t="s">
        <v>3440</v>
      </c>
      <c r="H29" s="386">
        <f>SUMIF(88:88,G29,89:89)-SUMIF(88:88,C29,89:89)+100</f>
        <v>100</v>
      </c>
      <c r="I29" s="1967" t="s">
        <v>3440</v>
      </c>
      <c r="J29" s="418">
        <f>SUMIF(88:88,I29,89:89)-SUMIF(88:88,C29,89:89)+100</f>
        <v>100</v>
      </c>
      <c r="K29" s="561">
        <v>2</v>
      </c>
      <c r="L29" s="923"/>
      <c r="M29" s="914"/>
      <c r="N29" s="914"/>
      <c r="O29" s="922"/>
      <c r="P29" s="3796" t="s">
        <v>1696</v>
      </c>
      <c r="Q29" s="1352" t="str">
        <f t="shared" si="11"/>
        <v>建筑类型</v>
      </c>
      <c r="R29" s="705" t="s">
        <v>14</v>
      </c>
      <c r="S29" s="706">
        <f t="shared" si="12"/>
        <v>100</v>
      </c>
      <c r="T29" s="705" t="s">
        <v>14</v>
      </c>
      <c r="U29" s="706">
        <f t="shared" si="13"/>
        <v>100</v>
      </c>
      <c r="V29" s="705" t="s">
        <v>14</v>
      </c>
      <c r="W29" s="706">
        <f t="shared" si="14"/>
        <v>100</v>
      </c>
      <c r="X29" s="1355"/>
      <c r="Y29" s="3745" t="s">
        <v>1696</v>
      </c>
      <c r="Z29" s="1356" t="str">
        <f t="shared" si="15"/>
        <v>建筑类型</v>
      </c>
      <c r="AA29" s="1353">
        <f t="shared" si="3"/>
        <v>1</v>
      </c>
      <c r="AB29" s="1353">
        <f t="shared" si="4"/>
        <v>1</v>
      </c>
      <c r="AC29" s="1353">
        <f t="shared" si="5"/>
        <v>1</v>
      </c>
    </row>
    <row r="30" spans="1:29" s="422" customFormat="1" ht="15">
      <c r="A30" s="419"/>
      <c r="B30" s="375" t="s">
        <v>1697</v>
      </c>
      <c r="C30" s="420">
        <f>'数据-基础表'!B3</f>
        <v>71671.429999999993</v>
      </c>
      <c r="D30" s="127">
        <v>100</v>
      </c>
      <c r="E30" s="381">
        <v>916</v>
      </c>
      <c r="F30" s="376">
        <f>LOOKUP(E30,91:91,92:92)-LOOKUP(C30,91:91,92:92)+100</f>
        <v>105</v>
      </c>
      <c r="G30" s="380">
        <v>2088</v>
      </c>
      <c r="H30" s="127">
        <f>LOOKUP(G30,91:91,92:92)-LOOKUP(C30,91:91,92:92)+100</f>
        <v>103</v>
      </c>
      <c r="I30" s="380">
        <v>1035.06</v>
      </c>
      <c r="J30" s="127">
        <f>LOOKUP(I30,91:91,92:92)-LOOKUP(C30,91:91,92:92)+100</f>
        <v>104</v>
      </c>
      <c r="K30" s="562"/>
      <c r="L30" s="921"/>
      <c r="M30" s="924"/>
      <c r="N30" s="924"/>
      <c r="O30" s="925"/>
      <c r="P30" s="3745"/>
      <c r="Q30" s="707" t="str">
        <f t="shared" si="11"/>
        <v>项目建筑规模</v>
      </c>
      <c r="R30" s="708" t="s">
        <v>14</v>
      </c>
      <c r="S30" s="709">
        <f t="shared" si="12"/>
        <v>105</v>
      </c>
      <c r="T30" s="708" t="s">
        <v>14</v>
      </c>
      <c r="U30" s="709">
        <f t="shared" si="13"/>
        <v>103</v>
      </c>
      <c r="V30" s="708" t="s">
        <v>14</v>
      </c>
      <c r="W30" s="709">
        <f t="shared" si="14"/>
        <v>104</v>
      </c>
      <c r="X30" s="710"/>
      <c r="Y30" s="3745"/>
      <c r="Z30" s="711" t="str">
        <f t="shared" si="15"/>
        <v>项目建筑规模</v>
      </c>
      <c r="AA30" s="1353">
        <f t="shared" si="3"/>
        <v>0.95238095238095233</v>
      </c>
      <c r="AB30" s="1353">
        <f t="shared" si="4"/>
        <v>0.970873786407767</v>
      </c>
      <c r="AC30" s="1353">
        <f t="shared" si="5"/>
        <v>0.96153846153846156</v>
      </c>
    </row>
    <row r="31" spans="1:29" ht="15">
      <c r="A31" s="423"/>
      <c r="B31" s="375" t="s">
        <v>1698</v>
      </c>
      <c r="C31" s="411" t="s">
        <v>3418</v>
      </c>
      <c r="D31" s="386">
        <v>100</v>
      </c>
      <c r="E31" s="411" t="s">
        <v>3418</v>
      </c>
      <c r="F31" s="412">
        <f>SUMIF(93:93,E31,94:94)-SUMIF(93:93,C31,94:94)+100</f>
        <v>100</v>
      </c>
      <c r="G31" s="411" t="s">
        <v>3418</v>
      </c>
      <c r="H31" s="386">
        <f>SUMIF(93:93,G31,94:94)-SUMIF(93:93,C31,94:94)+100</f>
        <v>100</v>
      </c>
      <c r="I31" s="411" t="s">
        <v>3418</v>
      </c>
      <c r="J31" s="386">
        <f>SUMIF(93:93,I31,94:94)-SUMIF(93:93,C31,94:94)+100</f>
        <v>100</v>
      </c>
      <c r="K31" s="561">
        <v>1</v>
      </c>
      <c r="L31" s="923"/>
      <c r="M31" s="914"/>
      <c r="N31" s="914"/>
      <c r="O31" s="922"/>
      <c r="P31" s="3745"/>
      <c r="Q31" s="1352" t="str">
        <f t="shared" si="11"/>
        <v>建筑结构</v>
      </c>
      <c r="R31" s="705" t="s">
        <v>14</v>
      </c>
      <c r="S31" s="706">
        <f t="shared" si="12"/>
        <v>100</v>
      </c>
      <c r="T31" s="705" t="s">
        <v>14</v>
      </c>
      <c r="U31" s="706">
        <f t="shared" si="13"/>
        <v>100</v>
      </c>
      <c r="V31" s="705" t="s">
        <v>14</v>
      </c>
      <c r="W31" s="706">
        <f t="shared" si="14"/>
        <v>100</v>
      </c>
      <c r="X31" s="1355"/>
      <c r="Y31" s="3745"/>
      <c r="Z31" s="1356" t="str">
        <f t="shared" si="15"/>
        <v>建筑结构</v>
      </c>
      <c r="AA31" s="1353">
        <f t="shared" si="3"/>
        <v>1</v>
      </c>
      <c r="AB31" s="1353">
        <f t="shared" si="4"/>
        <v>1</v>
      </c>
      <c r="AC31" s="1353">
        <f t="shared" si="5"/>
        <v>1</v>
      </c>
    </row>
    <row r="32" spans="1:29" ht="15">
      <c r="A32" s="423"/>
      <c r="B32" s="375" t="s">
        <v>1785</v>
      </c>
      <c r="C32" s="411" t="s">
        <v>3430</v>
      </c>
      <c r="D32" s="386">
        <v>100</v>
      </c>
      <c r="E32" s="411" t="s">
        <v>3430</v>
      </c>
      <c r="F32" s="412">
        <f>SUMIF(95:95,E32,96:96)-SUMIF(95:95,C32,96:96)+100</f>
        <v>100</v>
      </c>
      <c r="G32" s="411" t="s">
        <v>3430</v>
      </c>
      <c r="H32" s="386">
        <f>SUMIF(95:95,G32,96:96)-SUMIF(95:95,C32,96:96)+100</f>
        <v>100</v>
      </c>
      <c r="I32" s="411" t="s">
        <v>3430</v>
      </c>
      <c r="J32" s="386">
        <f>SUMIF(95:95,I32,96:96)-SUMIF(95:95,C32,96:96)+100</f>
        <v>100</v>
      </c>
      <c r="K32" s="561">
        <v>1</v>
      </c>
      <c r="L32" s="923"/>
      <c r="M32" s="914"/>
      <c r="N32" s="914"/>
      <c r="O32" s="922"/>
      <c r="P32" s="3745"/>
      <c r="Q32" s="1352" t="str">
        <f t="shared" si="11"/>
        <v>公共部分装修</v>
      </c>
      <c r="R32" s="705" t="s">
        <v>14</v>
      </c>
      <c r="S32" s="706">
        <f t="shared" si="12"/>
        <v>100</v>
      </c>
      <c r="T32" s="705" t="s">
        <v>14</v>
      </c>
      <c r="U32" s="706">
        <f t="shared" si="13"/>
        <v>100</v>
      </c>
      <c r="V32" s="705" t="s">
        <v>14</v>
      </c>
      <c r="W32" s="706">
        <f t="shared" si="14"/>
        <v>100</v>
      </c>
      <c r="X32" s="1355"/>
      <c r="Y32" s="3745"/>
      <c r="Z32" s="1356" t="str">
        <f t="shared" si="15"/>
        <v>公共部分装修</v>
      </c>
      <c r="AA32" s="1353">
        <f t="shared" si="3"/>
        <v>1</v>
      </c>
      <c r="AB32" s="1353">
        <f t="shared" si="4"/>
        <v>1</v>
      </c>
      <c r="AC32" s="1353">
        <f t="shared" si="5"/>
        <v>1</v>
      </c>
    </row>
    <row r="33" spans="1:29" ht="15">
      <c r="A33" s="423"/>
      <c r="B33" s="375" t="s">
        <v>1786</v>
      </c>
      <c r="C33" s="420">
        <v>100</v>
      </c>
      <c r="D33" s="386">
        <v>100</v>
      </c>
      <c r="E33" s="420">
        <v>100</v>
      </c>
      <c r="F33" s="412">
        <f>LOOKUP(E33,98:98,99:99)-LOOKUP(C33,98:98,99:99)+100</f>
        <v>100</v>
      </c>
      <c r="G33" s="420">
        <v>100</v>
      </c>
      <c r="H33" s="412">
        <f>LOOKUP(G33,98:98,99:99)-LOOKUP(C33,98:98,99:99)+100</f>
        <v>100</v>
      </c>
      <c r="I33" s="420">
        <v>100</v>
      </c>
      <c r="J33" s="386">
        <f>LOOKUP(I33,98:98,99:99)-LOOKUP(C33,98:98,99:99)+100</f>
        <v>100</v>
      </c>
      <c r="K33" s="561">
        <v>1</v>
      </c>
      <c r="L33" s="923"/>
      <c r="M33" s="914"/>
      <c r="N33" s="914"/>
      <c r="O33" s="922"/>
      <c r="P33" s="3745"/>
      <c r="Q33" s="1352" t="str">
        <f t="shared" si="11"/>
        <v>成新度</v>
      </c>
      <c r="R33" s="705" t="s">
        <v>14</v>
      </c>
      <c r="S33" s="706">
        <f t="shared" si="12"/>
        <v>100</v>
      </c>
      <c r="T33" s="705" t="s">
        <v>14</v>
      </c>
      <c r="U33" s="706">
        <f t="shared" si="13"/>
        <v>100</v>
      </c>
      <c r="V33" s="705" t="s">
        <v>14</v>
      </c>
      <c r="W33" s="706">
        <f t="shared" si="14"/>
        <v>100</v>
      </c>
      <c r="X33" s="1355"/>
      <c r="Y33" s="3745"/>
      <c r="Z33" s="1356" t="str">
        <f t="shared" si="15"/>
        <v>成新度</v>
      </c>
      <c r="AA33" s="1353">
        <f t="shared" si="3"/>
        <v>1</v>
      </c>
      <c r="AB33" s="1353">
        <f t="shared" si="4"/>
        <v>1</v>
      </c>
      <c r="AC33" s="1353">
        <f t="shared" si="5"/>
        <v>1</v>
      </c>
    </row>
    <row r="34" spans="1:29" s="108" customFormat="1" ht="15">
      <c r="A34" s="424"/>
      <c r="B34" s="375" t="s">
        <v>1819</v>
      </c>
      <c r="C34" s="411" t="s">
        <v>3433</v>
      </c>
      <c r="D34" s="127">
        <v>100</v>
      </c>
      <c r="E34" s="411" t="s">
        <v>3433</v>
      </c>
      <c r="F34" s="412">
        <f>SUMIF(100:100,E34,101:101)-SUMIF(100:100,C34,101:101)+100</f>
        <v>100</v>
      </c>
      <c r="G34" s="411" t="s">
        <v>3433</v>
      </c>
      <c r="H34" s="386">
        <f>SUMIF(100:100,G34,101:101)-SUMIF(100:100,C34,101:101)+100</f>
        <v>100</v>
      </c>
      <c r="I34" s="411" t="s">
        <v>3433</v>
      </c>
      <c r="J34" s="386">
        <f>SUMIF(100:100,I34,101:101)-SUMIF(100:100,C34,101:101)+100</f>
        <v>100</v>
      </c>
      <c r="K34" s="561">
        <v>1</v>
      </c>
      <c r="L34" s="915"/>
      <c r="M34" s="916"/>
      <c r="N34" s="916"/>
      <c r="O34" s="917"/>
      <c r="P34" s="3745"/>
      <c r="Q34" s="1343"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t="s">
        <v>3436</v>
      </c>
      <c r="D35" s="386">
        <v>100</v>
      </c>
      <c r="E35" s="411" t="s">
        <v>3436</v>
      </c>
      <c r="F35" s="412">
        <f>SUMIF(102:102,E35,103:103)-SUMIF(102:102,C35,103:103)+100</f>
        <v>100</v>
      </c>
      <c r="G35" s="411" t="s">
        <v>3436</v>
      </c>
      <c r="H35" s="386">
        <f>SUMIF(102:102,G35,103:103)-SUMIF(102:102,C35,103:103)+100</f>
        <v>100</v>
      </c>
      <c r="I35" s="411" t="s">
        <v>3436</v>
      </c>
      <c r="J35" s="386">
        <f>SUMIF(102:102,I35,103:103)-SUMIF(102:102,C35,103:103)+100</f>
        <v>100</v>
      </c>
      <c r="K35" s="561">
        <v>1</v>
      </c>
      <c r="L35" s="923"/>
      <c r="M35" s="914"/>
      <c r="N35" s="914"/>
      <c r="O35" s="922"/>
      <c r="P35" s="3745" t="s">
        <v>1696</v>
      </c>
      <c r="Q35" s="1352" t="str">
        <f t="shared" si="11"/>
        <v>市政基础设施</v>
      </c>
      <c r="R35" s="705" t="s">
        <v>14</v>
      </c>
      <c r="S35" s="706">
        <f t="shared" si="12"/>
        <v>100</v>
      </c>
      <c r="T35" s="705" t="s">
        <v>14</v>
      </c>
      <c r="U35" s="706">
        <f t="shared" si="13"/>
        <v>100</v>
      </c>
      <c r="V35" s="705" t="s">
        <v>14</v>
      </c>
      <c r="W35" s="706">
        <f t="shared" si="14"/>
        <v>100</v>
      </c>
      <c r="X35" s="1355"/>
      <c r="Y35" s="3745"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v>1</v>
      </c>
      <c r="L36" s="923"/>
      <c r="M36" s="914"/>
      <c r="N36" s="914"/>
      <c r="O36" s="922"/>
      <c r="P36" s="3745"/>
      <c r="Q36" s="1352" t="str">
        <f t="shared" si="11"/>
        <v>内部装修</v>
      </c>
      <c r="R36" s="705" t="s">
        <v>14</v>
      </c>
      <c r="S36" s="706">
        <f t="shared" si="12"/>
        <v>100</v>
      </c>
      <c r="T36" s="705" t="s">
        <v>14</v>
      </c>
      <c r="U36" s="706">
        <f t="shared" si="13"/>
        <v>100</v>
      </c>
      <c r="V36" s="705" t="s">
        <v>14</v>
      </c>
      <c r="W36" s="706">
        <f t="shared" si="14"/>
        <v>100</v>
      </c>
      <c r="X36" s="1355"/>
      <c r="Y36" s="3745"/>
      <c r="Z36" s="1356" t="str">
        <f t="shared" si="15"/>
        <v>内部装修</v>
      </c>
      <c r="AA36" s="1353">
        <f t="shared" si="3"/>
        <v>1</v>
      </c>
      <c r="AB36" s="1353">
        <f t="shared" si="4"/>
        <v>1</v>
      </c>
      <c r="AC36" s="1353">
        <f t="shared" si="5"/>
        <v>1</v>
      </c>
    </row>
    <row r="37" spans="1:29" ht="15.75" thickBot="1">
      <c r="A37" s="423"/>
      <c r="B37" s="375" t="s">
        <v>1828</v>
      </c>
      <c r="C37" s="565" t="s">
        <v>3439</v>
      </c>
      <c r="D37" s="386">
        <v>100</v>
      </c>
      <c r="E37" s="565" t="s">
        <v>3439</v>
      </c>
      <c r="F37" s="412">
        <f>SUMIF(106:106,E37,107:107)-SUMIF(106:106,C37,107:107)+100</f>
        <v>100</v>
      </c>
      <c r="G37" s="565" t="s">
        <v>3439</v>
      </c>
      <c r="H37" s="386">
        <f>SUMIF(106:106,G37,107:107)-SUMIF(106:106,C37,107:107)+100</f>
        <v>100</v>
      </c>
      <c r="I37" s="565" t="s">
        <v>3439</v>
      </c>
      <c r="J37" s="386">
        <f>SUMIF(106:106,I37,107:107)-SUMIF(106:106,C37,107:107)+100</f>
        <v>100</v>
      </c>
      <c r="K37" s="561">
        <v>1</v>
      </c>
      <c r="L37" s="923"/>
      <c r="M37" s="914"/>
      <c r="N37" s="914"/>
      <c r="O37" s="922"/>
      <c r="P37" s="3745"/>
      <c r="Q37" s="1352" t="str">
        <f t="shared" si="11"/>
        <v>内部装修状况</v>
      </c>
      <c r="R37" s="705" t="s">
        <v>14</v>
      </c>
      <c r="S37" s="706">
        <f t="shared" si="12"/>
        <v>100</v>
      </c>
      <c r="T37" s="705" t="s">
        <v>14</v>
      </c>
      <c r="U37" s="706">
        <f t="shared" si="13"/>
        <v>100</v>
      </c>
      <c r="V37" s="705" t="s">
        <v>14</v>
      </c>
      <c r="W37" s="706">
        <f t="shared" si="14"/>
        <v>100</v>
      </c>
      <c r="X37" s="1355"/>
      <c r="Y37" s="3745"/>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2">
        <f t="shared" si="11"/>
        <v>111</v>
      </c>
      <c r="R39" s="705" t="s">
        <v>14</v>
      </c>
      <c r="S39" s="706">
        <f t="shared" si="12"/>
        <v>100</v>
      </c>
      <c r="T39" s="705" t="s">
        <v>14</v>
      </c>
      <c r="U39" s="706">
        <f t="shared" si="13"/>
        <v>100</v>
      </c>
      <c r="V39" s="705" t="s">
        <v>14</v>
      </c>
      <c r="W39" s="706">
        <f t="shared" si="14"/>
        <v>100</v>
      </c>
      <c r="X39" s="1355"/>
      <c r="Y39" s="3745"/>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2">
        <f t="shared" si="11"/>
        <v>111</v>
      </c>
      <c r="R40" s="705" t="s">
        <v>14</v>
      </c>
      <c r="S40" s="706">
        <f t="shared" si="12"/>
        <v>100</v>
      </c>
      <c r="T40" s="705" t="s">
        <v>14</v>
      </c>
      <c r="U40" s="706">
        <f t="shared" si="13"/>
        <v>100</v>
      </c>
      <c r="V40" s="705" t="s">
        <v>14</v>
      </c>
      <c r="W40" s="706">
        <f t="shared" si="14"/>
        <v>100</v>
      </c>
      <c r="X40" s="1355"/>
      <c r="Y40" s="3746"/>
      <c r="Z40" s="1356">
        <f t="shared" si="15"/>
        <v>111</v>
      </c>
      <c r="AA40" s="1353">
        <f t="shared" si="3"/>
        <v>1</v>
      </c>
      <c r="AB40" s="1353">
        <f t="shared" si="4"/>
        <v>1</v>
      </c>
      <c r="AC40" s="1353">
        <f t="shared" si="5"/>
        <v>1</v>
      </c>
    </row>
    <row r="41" spans="1:29" ht="15">
      <c r="A41" s="430" t="s">
        <v>1708</v>
      </c>
      <c r="B41" s="431"/>
      <c r="C41" s="1154" t="s">
        <v>0</v>
      </c>
      <c r="D41" s="1155"/>
      <c r="E41" s="1156">
        <v>2.7</v>
      </c>
      <c r="F41" s="1157"/>
      <c r="G41" s="1158">
        <v>2.6</v>
      </c>
      <c r="H41" s="1159"/>
      <c r="I41" s="1156">
        <v>2.7</v>
      </c>
      <c r="J41" s="1159"/>
      <c r="K41" s="714"/>
      <c r="L41" s="926"/>
      <c r="M41" s="927"/>
      <c r="N41" s="914"/>
      <c r="O41" s="927"/>
      <c r="P41" s="3738" t="str">
        <f>A41</f>
        <v>成交单价（元/平方米）</v>
      </c>
      <c r="Q41" s="3738"/>
      <c r="R41" s="3739">
        <f>E41</f>
        <v>2.7</v>
      </c>
      <c r="S41" s="3739"/>
      <c r="T41" s="3739">
        <f>G41</f>
        <v>2.6</v>
      </c>
      <c r="U41" s="3739"/>
      <c r="V41" s="3739">
        <f>I41</f>
        <v>2.7</v>
      </c>
      <c r="W41" s="3739"/>
      <c r="X41" s="690"/>
      <c r="Y41" s="712"/>
      <c r="Z41" s="690"/>
      <c r="AA41" s="690"/>
      <c r="AB41" s="690"/>
      <c r="AC41" s="690"/>
    </row>
    <row r="42" spans="1:29" ht="15.75" thickBot="1">
      <c r="A42" s="437" t="s">
        <v>1793</v>
      </c>
      <c r="B42" s="438"/>
      <c r="C42" s="1160">
        <f>R43</f>
        <v>2.5</v>
      </c>
      <c r="D42" s="2317" t="s">
        <v>2138</v>
      </c>
      <c r="E42" s="1161">
        <f>R42</f>
        <v>2.5</v>
      </c>
      <c r="F42" s="2318"/>
      <c r="G42" s="1160">
        <f>T42</f>
        <v>2.5</v>
      </c>
      <c r="H42" s="2318"/>
      <c r="I42" s="1161">
        <f>V42</f>
        <v>2.5</v>
      </c>
      <c r="J42" s="2318"/>
      <c r="K42" s="2320">
        <f>F42+H42+J42</f>
        <v>0</v>
      </c>
      <c r="L42" s="926"/>
      <c r="M42" s="927"/>
      <c r="N42" s="914"/>
      <c r="O42" s="927"/>
      <c r="P42" s="3738" t="str">
        <f>A42</f>
        <v>比较价值（元/平方米）</v>
      </c>
      <c r="Q42" s="3738"/>
      <c r="R42" s="3739">
        <f>IF(F1="售价",ROUND(PRODUCT(R41,AA7:AA40),0),ROUND(PRODUCT(R41,AA7:AA40),1))</f>
        <v>2.5</v>
      </c>
      <c r="S42" s="3739"/>
      <c r="T42" s="3739">
        <f>IF(F1="售价",ROUND(PRODUCT(T41,AB7:AB40),0),ROUND(PRODUCT(T41,AB7:AB40),1))</f>
        <v>2.5</v>
      </c>
      <c r="U42" s="3739"/>
      <c r="V42" s="3739">
        <f>IF(F1="售价",ROUND(PRODUCT(V41,AC7:AC40),0),ROUND(PRODUCT(V41,AC7:AC40),1))</f>
        <v>2.5</v>
      </c>
      <c r="W42" s="3739"/>
      <c r="X42" s="690"/>
      <c r="Y42" s="690"/>
      <c r="Z42" s="690"/>
      <c r="AA42" s="690"/>
      <c r="AB42" s="690"/>
      <c r="AC42" s="690"/>
    </row>
    <row r="43" spans="1:29" ht="15.75" thickBot="1">
      <c r="A43" s="441" t="s">
        <v>1794</v>
      </c>
      <c r="B43" s="442"/>
      <c r="C43" s="1163">
        <f>R43</f>
        <v>2.5</v>
      </c>
      <c r="D43" s="1163"/>
      <c r="E43" s="1163"/>
      <c r="F43" s="1163"/>
      <c r="G43" s="1163"/>
      <c r="H43" s="1163"/>
      <c r="I43" s="1163"/>
      <c r="J43" s="1163"/>
      <c r="K43" s="715"/>
      <c r="L43" s="926"/>
      <c r="M43" s="927"/>
      <c r="N43" s="927"/>
      <c r="O43" s="927"/>
      <c r="P43" s="3735" t="str">
        <f>A43</f>
        <v>估价对象XX用房的比较价值（楼面单价，元/平方米）</v>
      </c>
      <c r="Q43" s="3736"/>
      <c r="R43" s="3737">
        <f>IF(F1="售价",ROUND(IF(D42="简单平均",AVERAGE(R42:V42),R42*F42+T42*H42+V42*J42),0),ROUND(IF(D42="简单平均",AVERAGE(R42:V42),R42*F42+T42*H42+V42*J42),1))</f>
        <v>2.5</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8.0000000000000071E-2</v>
      </c>
      <c r="F46" s="449" t="str">
        <f>IF(OR(E46&gt;=0.3,E46&lt;=-0.3),"超过30%","")</f>
        <v/>
      </c>
      <c r="G46" s="448">
        <f>IF(G41&lt;G42,G42/G41-1,G41/G42-1)</f>
        <v>4.0000000000000036E-2</v>
      </c>
      <c r="H46" s="449" t="str">
        <f>IF(OR(G46&gt;=0.3,G46&lt;=-0.3),"超过30%","")</f>
        <v/>
      </c>
      <c r="I46" s="448">
        <f>IF(I41&lt;I42,I42/I41-1,I41/I42-1)</f>
        <v>8.0000000000000071E-2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3.8461538461538547E-2</v>
      </c>
      <c r="F48" s="449" t="str">
        <f>IF(OR(E48&gt;=0.3,E48&lt;=-0.3),"超过30%","")</f>
        <v/>
      </c>
      <c r="G48" s="448">
        <f>IF(G41&lt;I41,I41/G41-1,G41/I41-1)</f>
        <v>3.8461538461538547E-2</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69" t="s">
        <v>3427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97</v>
      </c>
      <c r="E77" s="493">
        <f>D77-$K21</f>
        <v>94</v>
      </c>
      <c r="F77" s="493">
        <f>E77-$K21</f>
        <v>91</v>
      </c>
      <c r="G77" s="493">
        <f>F77-$K21</f>
        <v>88</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70" t="s">
        <v>3441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2000(含)-5000</v>
      </c>
      <c r="F90" s="527" t="str">
        <f t="shared" si="20"/>
        <v>5000(含)-10000</v>
      </c>
      <c r="G90" s="527" t="str">
        <f t="shared" si="20"/>
        <v>10000(含)-50000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3471">
        <v>0</v>
      </c>
      <c r="D91" s="3471">
        <v>1000</v>
      </c>
      <c r="E91" s="3471">
        <v>2000</v>
      </c>
      <c r="F91" s="3471">
        <v>5000</v>
      </c>
      <c r="G91" s="3471">
        <v>10000</v>
      </c>
      <c r="H91" s="3471">
        <v>50000</v>
      </c>
      <c r="I91" s="3471">
        <v>100000</v>
      </c>
      <c r="J91" s="545"/>
      <c r="K91" s="545"/>
      <c r="L91" s="546"/>
      <c r="M91" s="547"/>
      <c r="N91" s="935"/>
      <c r="O91" s="935"/>
      <c r="P91" s="507"/>
      <c r="Q91" s="508"/>
    </row>
    <row r="92" spans="1:17" s="422" customFormat="1" ht="15.75" thickBot="1">
      <c r="A92" s="502"/>
      <c r="B92" s="492"/>
      <c r="C92" s="3472">
        <v>100</v>
      </c>
      <c r="D92" s="3473">
        <v>99</v>
      </c>
      <c r="E92" s="3472">
        <v>98</v>
      </c>
      <c r="F92" s="3472">
        <v>97</v>
      </c>
      <c r="G92" s="3473">
        <v>96</v>
      </c>
      <c r="H92" s="3472">
        <v>95</v>
      </c>
      <c r="I92" s="3472">
        <v>94</v>
      </c>
      <c r="J92" s="485"/>
      <c r="K92" s="485"/>
      <c r="L92" s="485"/>
      <c r="M92" s="486"/>
      <c r="N92" s="934"/>
      <c r="O92" s="934"/>
      <c r="P92" s="507"/>
      <c r="Q92" s="508"/>
    </row>
    <row r="93" spans="1:17" ht="15" thickTop="1">
      <c r="A93" s="548"/>
      <c r="B93" s="487" t="s">
        <v>1738</v>
      </c>
      <c r="C93" s="3474" t="s">
        <v>3418</v>
      </c>
      <c r="D93" s="3474" t="s">
        <v>3428</v>
      </c>
      <c r="E93" s="3475" t="s">
        <v>3429</v>
      </c>
      <c r="F93" s="3476"/>
      <c r="G93" s="3476"/>
      <c r="H93" s="3476"/>
      <c r="I93" s="3476"/>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74" t="s">
        <v>3430</v>
      </c>
      <c r="D95" s="3474" t="s">
        <v>3431</v>
      </c>
      <c r="E95" s="3474" t="s">
        <v>3432</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74" t="s">
        <v>3433</v>
      </c>
      <c r="D100" s="3474" t="s">
        <v>3434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74" t="s">
        <v>3435</v>
      </c>
      <c r="D102" s="3474" t="s">
        <v>3436</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74" t="s">
        <v>3432</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估价对象为北京市房地产,为开发建设的，该项目尚在开发建设中。根据《国有土地使用证》[]，估价对象（分摊）出让国有建设用地使用权面积为49786平方米，规划建筑面积为71671.43平方米。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45245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1"/>
      <c r="Q15" s="1352"/>
      <c r="R15" s="705"/>
      <c r="S15" s="706"/>
      <c r="T15" s="705"/>
      <c r="U15" s="706"/>
      <c r="V15" s="705"/>
      <c r="W15" s="706"/>
      <c r="X15" s="1355"/>
      <c r="Y15" s="3741"/>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1"/>
      <c r="Q17" s="1352"/>
      <c r="R17" s="705"/>
      <c r="S17" s="706"/>
      <c r="T17" s="705"/>
      <c r="U17" s="706"/>
      <c r="V17" s="705"/>
      <c r="W17" s="706"/>
      <c r="X17" s="1355"/>
      <c r="Y17" s="3741"/>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1"/>
      <c r="Q19" s="1352"/>
      <c r="R19" s="705"/>
      <c r="S19" s="706"/>
      <c r="T19" s="705"/>
      <c r="U19" s="706"/>
      <c r="V19" s="705"/>
      <c r="W19" s="706"/>
      <c r="X19" s="1355"/>
      <c r="Y19" s="3741"/>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1"/>
      <c r="Q21" s="1352"/>
      <c r="R21" s="705"/>
      <c r="S21" s="706"/>
      <c r="T21" s="705"/>
      <c r="U21" s="706"/>
      <c r="V21" s="705"/>
      <c r="W21" s="706"/>
      <c r="X21" s="1355"/>
      <c r="Y21" s="37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5"/>
      <c r="Q28" s="1352" t="str">
        <f t="shared" si="11"/>
        <v>公共部分装修</v>
      </c>
      <c r="R28" s="705" t="s">
        <v>14</v>
      </c>
      <c r="S28" s="706">
        <f t="shared" si="12"/>
        <v>100</v>
      </c>
      <c r="T28" s="705" t="s">
        <v>14</v>
      </c>
      <c r="U28" s="706">
        <f t="shared" si="13"/>
        <v>100</v>
      </c>
      <c r="V28" s="705" t="s">
        <v>14</v>
      </c>
      <c r="W28" s="706">
        <f t="shared" si="14"/>
        <v>100</v>
      </c>
      <c r="X28" s="1355"/>
      <c r="Y28" s="37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5"/>
      <c r="Q29" s="1352" t="str">
        <f t="shared" si="11"/>
        <v>成新率</v>
      </c>
      <c r="R29" s="705" t="s">
        <v>14</v>
      </c>
      <c r="S29" s="706" t="e">
        <f t="shared" si="12"/>
        <v>#N/A</v>
      </c>
      <c r="T29" s="705" t="s">
        <v>14</v>
      </c>
      <c r="U29" s="706" t="e">
        <f t="shared" si="13"/>
        <v>#N/A</v>
      </c>
      <c r="V29" s="705" t="s">
        <v>14</v>
      </c>
      <c r="W29" s="706" t="e">
        <f t="shared" si="14"/>
        <v>#N/A</v>
      </c>
      <c r="X29" s="1355"/>
      <c r="Y29" s="37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5"/>
      <c r="Q30" s="1352" t="str">
        <f t="shared" si="11"/>
        <v>物业等级</v>
      </c>
      <c r="R30" s="705" t="s">
        <v>14</v>
      </c>
      <c r="S30" s="706">
        <f t="shared" si="12"/>
        <v>100</v>
      </c>
      <c r="T30" s="705" t="s">
        <v>14</v>
      </c>
      <c r="U30" s="706">
        <f t="shared" si="13"/>
        <v>100</v>
      </c>
      <c r="V30" s="705" t="s">
        <v>14</v>
      </c>
      <c r="W30" s="706">
        <f t="shared" si="14"/>
        <v>100</v>
      </c>
      <c r="X30" s="1355"/>
      <c r="Y30" s="37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5"/>
      <c r="Q31" s="1343"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5" t="s">
        <v>1696</v>
      </c>
      <c r="Q32" s="1352" t="str">
        <f t="shared" si="11"/>
        <v>车位类型</v>
      </c>
      <c r="R32" s="705" t="s">
        <v>14</v>
      </c>
      <c r="S32" s="706">
        <f t="shared" si="12"/>
        <v>100</v>
      </c>
      <c r="T32" s="705" t="s">
        <v>14</v>
      </c>
      <c r="U32" s="706">
        <f t="shared" si="13"/>
        <v>100</v>
      </c>
      <c r="V32" s="705" t="s">
        <v>14</v>
      </c>
      <c r="W32" s="706">
        <f t="shared" si="14"/>
        <v>100</v>
      </c>
      <c r="X32" s="1355"/>
      <c r="Y32" s="37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5"/>
      <c r="Q33" s="1352" t="str">
        <f t="shared" si="11"/>
        <v>是否直接入户</v>
      </c>
      <c r="R33" s="705" t="s">
        <v>14</v>
      </c>
      <c r="S33" s="706">
        <f t="shared" si="12"/>
        <v>100</v>
      </c>
      <c r="T33" s="705" t="s">
        <v>14</v>
      </c>
      <c r="U33" s="706">
        <f t="shared" si="13"/>
        <v>100</v>
      </c>
      <c r="V33" s="705" t="s">
        <v>14</v>
      </c>
      <c r="W33" s="706">
        <f t="shared" si="14"/>
        <v>100</v>
      </c>
      <c r="X33" s="1355"/>
      <c r="Y33" s="37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5"/>
      <c r="Q36" s="1352">
        <f t="shared" si="11"/>
        <v>111</v>
      </c>
      <c r="R36" s="705" t="s">
        <v>14</v>
      </c>
      <c r="S36" s="706">
        <f t="shared" si="12"/>
        <v>100</v>
      </c>
      <c r="T36" s="705" t="s">
        <v>14</v>
      </c>
      <c r="U36" s="706">
        <f t="shared" si="13"/>
        <v>100</v>
      </c>
      <c r="V36" s="705" t="s">
        <v>14</v>
      </c>
      <c r="W36" s="706">
        <f t="shared" si="14"/>
        <v>100</v>
      </c>
      <c r="X36" s="1355"/>
      <c r="Y36" s="3745"/>
      <c r="Z36" s="1356">
        <f t="shared" si="15"/>
        <v>111</v>
      </c>
      <c r="AA36" s="1353">
        <f t="shared" si="3"/>
        <v>1</v>
      </c>
      <c r="AB36" s="1353">
        <f t="shared" si="4"/>
        <v>1</v>
      </c>
      <c r="AC36" s="1353">
        <f t="shared" si="5"/>
        <v>1</v>
      </c>
    </row>
    <row r="37" spans="1:29" ht="15">
      <c r="A37" s="430" t="s">
        <v>1844</v>
      </c>
      <c r="B37" s="1973" t="s">
        <v>3349</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799" t="e">
        <f>IF(F1="售价",ROUND(IF(D38="简单平均",AVERAGE(R38:W38),R38*F38+T38*H38+V38*J38),0),ROUND(IF(D38="简单平均",AVERAGE(R38:V38),R38*F38+T38*H38+V38*J38),1))</f>
        <v>#DIV/0!</v>
      </c>
      <c r="S39" s="3799"/>
      <c r="T39" s="3799"/>
      <c r="U39" s="3799"/>
      <c r="V39" s="3799"/>
      <c r="W39" s="379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45245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1"/>
      <c r="Q15" s="1352"/>
      <c r="R15" s="705"/>
      <c r="S15" s="706"/>
      <c r="T15" s="705"/>
      <c r="U15" s="706"/>
      <c r="V15" s="705"/>
      <c r="W15" s="706"/>
      <c r="X15" s="1355"/>
      <c r="Y15" s="3741"/>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1"/>
      <c r="Q17" s="1352"/>
      <c r="R17" s="705"/>
      <c r="S17" s="706"/>
      <c r="T17" s="705"/>
      <c r="U17" s="706"/>
      <c r="V17" s="705"/>
      <c r="W17" s="706"/>
      <c r="X17" s="1355"/>
      <c r="Y17" s="3741"/>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1"/>
      <c r="Q19" s="1352"/>
      <c r="R19" s="705"/>
      <c r="S19" s="706"/>
      <c r="T19" s="705"/>
      <c r="U19" s="706"/>
      <c r="V19" s="705"/>
      <c r="W19" s="706"/>
      <c r="X19" s="1355"/>
      <c r="Y19" s="3741"/>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1"/>
      <c r="Q21" s="1352"/>
      <c r="R21" s="705"/>
      <c r="S21" s="706"/>
      <c r="T21" s="705"/>
      <c r="U21" s="706"/>
      <c r="V21" s="705"/>
      <c r="W21" s="706"/>
      <c r="X21" s="1355"/>
      <c r="Y21" s="37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5"/>
      <c r="Q28" s="1352" t="str">
        <f t="shared" si="11"/>
        <v>物业等级</v>
      </c>
      <c r="R28" s="705" t="s">
        <v>14</v>
      </c>
      <c r="S28" s="706">
        <f t="shared" si="12"/>
        <v>100</v>
      </c>
      <c r="T28" s="705" t="s">
        <v>14</v>
      </c>
      <c r="U28" s="706">
        <f t="shared" si="13"/>
        <v>100</v>
      </c>
      <c r="V28" s="705" t="s">
        <v>14</v>
      </c>
      <c r="W28" s="706">
        <f t="shared" si="14"/>
        <v>100</v>
      </c>
      <c r="X28" s="1355"/>
      <c r="Y28" s="37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5"/>
      <c r="Q29" s="1352" t="str">
        <f t="shared" si="11"/>
        <v>有无电梯</v>
      </c>
      <c r="R29" s="705" t="s">
        <v>14</v>
      </c>
      <c r="S29" s="706">
        <f t="shared" si="12"/>
        <v>100</v>
      </c>
      <c r="T29" s="705" t="s">
        <v>14</v>
      </c>
      <c r="U29" s="706">
        <f t="shared" si="13"/>
        <v>100</v>
      </c>
      <c r="V29" s="705" t="s">
        <v>14</v>
      </c>
      <c r="W29" s="706">
        <f t="shared" si="14"/>
        <v>100</v>
      </c>
      <c r="X29" s="1355"/>
      <c r="Y29" s="37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5"/>
      <c r="Q30" s="1352" t="str">
        <f t="shared" si="11"/>
        <v>建筑面积</v>
      </c>
      <c r="R30" s="705" t="s">
        <v>14</v>
      </c>
      <c r="S30" s="706" t="e">
        <f t="shared" si="12"/>
        <v>#N/A</v>
      </c>
      <c r="T30" s="705" t="s">
        <v>14</v>
      </c>
      <c r="U30" s="706" t="e">
        <f t="shared" si="13"/>
        <v>#N/A</v>
      </c>
      <c r="V30" s="705" t="s">
        <v>14</v>
      </c>
      <c r="W30" s="706" t="e">
        <f t="shared" si="14"/>
        <v>#N/A</v>
      </c>
      <c r="X30" s="1355"/>
      <c r="Y30" s="37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5"/>
      <c r="Q31" s="1343"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5" t="s">
        <v>1696</v>
      </c>
      <c r="Q32" s="1352">
        <f t="shared" si="11"/>
        <v>111</v>
      </c>
      <c r="R32" s="705" t="s">
        <v>14</v>
      </c>
      <c r="S32" s="706">
        <f t="shared" si="12"/>
        <v>100</v>
      </c>
      <c r="T32" s="705" t="s">
        <v>14</v>
      </c>
      <c r="U32" s="706">
        <f t="shared" si="13"/>
        <v>100</v>
      </c>
      <c r="V32" s="705" t="s">
        <v>14</v>
      </c>
      <c r="W32" s="706">
        <f t="shared" si="14"/>
        <v>100</v>
      </c>
      <c r="X32" s="1355"/>
      <c r="Y32" s="37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5"/>
      <c r="Q33" s="1352">
        <f t="shared" si="11"/>
        <v>111</v>
      </c>
      <c r="R33" s="705" t="s">
        <v>14</v>
      </c>
      <c r="S33" s="706">
        <f t="shared" si="12"/>
        <v>100</v>
      </c>
      <c r="T33" s="705" t="s">
        <v>14</v>
      </c>
      <c r="U33" s="706">
        <f t="shared" si="13"/>
        <v>100</v>
      </c>
      <c r="V33" s="705" t="s">
        <v>14</v>
      </c>
      <c r="W33" s="706">
        <f t="shared" si="14"/>
        <v>100</v>
      </c>
      <c r="X33" s="1355"/>
      <c r="Y33" s="37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799" t="e">
        <f>IF(F1="售价",ROUND(IF(D36="简单平均",AVERAGE(R36:W36),R36*F36+T36*H36+V36*J36),0),ROUND(IF(D36="简单平均",AVERAGE(R36:V36),R36*F36+T36*H36+V36*J36),1))</f>
        <v>#DIV/0!</v>
      </c>
      <c r="S37" s="3799"/>
      <c r="T37" s="3799"/>
      <c r="U37" s="3799"/>
      <c r="V37" s="3799"/>
      <c r="W37" s="37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30"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30"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30" s="108" customFormat="1" ht="15.75" thickBot="1">
      <c r="A7" s="362" t="s">
        <v>1679</v>
      </c>
      <c r="B7" s="363"/>
      <c r="C7" s="364">
        <f>'数据-取费表'!B2</f>
        <v>45245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38"/>
      <c r="Q10" s="1343" t="str">
        <f t="shared" si="6"/>
        <v>土地使用年限（年）</v>
      </c>
      <c r="R10" s="701" t="s">
        <v>14</v>
      </c>
      <c r="S10" s="702">
        <f t="shared" si="0"/>
        <v>108</v>
      </c>
      <c r="T10" s="701" t="s">
        <v>14</v>
      </c>
      <c r="U10" s="702">
        <f t="shared" si="1"/>
        <v>108</v>
      </c>
      <c r="V10" s="701" t="s">
        <v>14</v>
      </c>
      <c r="W10" s="702">
        <f t="shared" si="2"/>
        <v>108</v>
      </c>
      <c r="X10" s="703"/>
      <c r="Y10" s="3613"/>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0" t="s">
        <v>1691</v>
      </c>
      <c r="Q15" s="1352" t="str">
        <f t="shared" si="6"/>
        <v>居住社区成熟度</v>
      </c>
      <c r="R15" s="705" t="s">
        <v>14</v>
      </c>
      <c r="S15" s="706">
        <f t="shared" si="0"/>
        <v>100</v>
      </c>
      <c r="T15" s="705" t="s">
        <v>14</v>
      </c>
      <c r="U15" s="706">
        <f t="shared" si="1"/>
        <v>100</v>
      </c>
      <c r="V15" s="705" t="s">
        <v>14</v>
      </c>
      <c r="W15" s="706">
        <f t="shared" si="2"/>
        <v>100</v>
      </c>
      <c r="X15" s="1355"/>
      <c r="Y15" s="37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1"/>
      <c r="Q20" s="1352"/>
      <c r="R20" s="705"/>
      <c r="S20" s="706"/>
      <c r="T20" s="705"/>
      <c r="U20" s="706"/>
      <c r="V20" s="705"/>
      <c r="W20" s="706"/>
      <c r="X20" s="1355"/>
      <c r="Y20" s="3741"/>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1"/>
      <c r="Q24" s="1352"/>
      <c r="R24" s="705"/>
      <c r="S24" s="706"/>
      <c r="T24" s="705"/>
      <c r="U24" s="706"/>
      <c r="V24" s="705"/>
      <c r="W24" s="706"/>
      <c r="X24" s="1355"/>
      <c r="Y24" s="3741"/>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1"/>
      <c r="Q26" s="1352"/>
      <c r="R26" s="705"/>
      <c r="S26" s="706"/>
      <c r="T26" s="705"/>
      <c r="U26" s="706"/>
      <c r="V26" s="705"/>
      <c r="W26" s="706"/>
      <c r="X26" s="1355"/>
      <c r="Y26" s="3741"/>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1"/>
      <c r="Q28" s="1343"/>
      <c r="R28" s="701"/>
      <c r="S28" s="702"/>
      <c r="T28" s="701"/>
      <c r="U28" s="702"/>
      <c r="V28" s="701"/>
      <c r="W28" s="702"/>
      <c r="X28" s="703"/>
      <c r="Y28" s="3741"/>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1"/>
      <c r="Q30" s="1343"/>
      <c r="R30" s="701"/>
      <c r="S30" s="702"/>
      <c r="T30" s="701"/>
      <c r="U30" s="702"/>
      <c r="V30" s="701"/>
      <c r="W30" s="702"/>
      <c r="X30" s="703"/>
      <c r="Y30" s="37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1"/>
      <c r="Q33" s="1352"/>
      <c r="R33" s="705"/>
      <c r="S33" s="706"/>
      <c r="T33" s="705"/>
      <c r="U33" s="706"/>
      <c r="V33" s="705"/>
      <c r="W33" s="706"/>
      <c r="X33" s="1355"/>
      <c r="Y33" s="37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6" t="s">
        <v>1696</v>
      </c>
      <c r="Q36" s="1352">
        <f t="shared" si="8"/>
        <v>111</v>
      </c>
      <c r="R36" s="705" t="s">
        <v>14</v>
      </c>
      <c r="S36" s="706">
        <f t="shared" si="10"/>
        <v>100</v>
      </c>
      <c r="T36" s="705" t="s">
        <v>14</v>
      </c>
      <c r="U36" s="706">
        <f t="shared" si="11"/>
        <v>100</v>
      </c>
      <c r="V36" s="705" t="s">
        <v>14</v>
      </c>
      <c r="W36" s="706">
        <f t="shared" si="12"/>
        <v>100</v>
      </c>
      <c r="X36" s="1355"/>
      <c r="Y36" s="374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5"/>
      <c r="Q37" s="1352">
        <f t="shared" si="8"/>
        <v>111</v>
      </c>
      <c r="R37" s="708" t="s">
        <v>14</v>
      </c>
      <c r="S37" s="709">
        <f t="shared" si="10"/>
        <v>100</v>
      </c>
      <c r="T37" s="708" t="s">
        <v>14</v>
      </c>
      <c r="U37" s="709">
        <f t="shared" si="11"/>
        <v>100</v>
      </c>
      <c r="V37" s="708" t="s">
        <v>14</v>
      </c>
      <c r="W37" s="709">
        <f t="shared" si="12"/>
        <v>100</v>
      </c>
      <c r="X37" s="710"/>
      <c r="Y37" s="374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5"/>
      <c r="Q38" s="1352" t="str">
        <f>B38</f>
        <v>宗地面积</v>
      </c>
      <c r="R38" s="705" t="s">
        <v>14</v>
      </c>
      <c r="S38" s="706" t="e">
        <f t="shared" si="10"/>
        <v>#N/A</v>
      </c>
      <c r="T38" s="705" t="s">
        <v>14</v>
      </c>
      <c r="U38" s="706" t="e">
        <f t="shared" si="11"/>
        <v>#N/A</v>
      </c>
      <c r="V38" s="705" t="s">
        <v>14</v>
      </c>
      <c r="W38" s="706" t="e">
        <f t="shared" si="12"/>
        <v>#N/A</v>
      </c>
      <c r="X38" s="1355"/>
      <c r="Y38" s="37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5"/>
      <c r="Q39" s="1352" t="str">
        <f t="shared" ref="Q39:Q45" si="14">B39</f>
        <v>宗地形状</v>
      </c>
      <c r="R39" s="705" t="s">
        <v>14</v>
      </c>
      <c r="S39" s="706">
        <f t="shared" si="10"/>
        <v>100</v>
      </c>
      <c r="T39" s="705" t="s">
        <v>14</v>
      </c>
      <c r="U39" s="706">
        <f t="shared" si="11"/>
        <v>100</v>
      </c>
      <c r="V39" s="705" t="s">
        <v>14</v>
      </c>
      <c r="W39" s="706">
        <f t="shared" si="12"/>
        <v>100</v>
      </c>
      <c r="X39" s="1355"/>
      <c r="Y39" s="37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5"/>
      <c r="Q40" s="1352" t="str">
        <f t="shared" si="14"/>
        <v>临街宽度及深度</v>
      </c>
      <c r="R40" s="705" t="s">
        <v>14</v>
      </c>
      <c r="S40" s="706">
        <f t="shared" si="10"/>
        <v>100</v>
      </c>
      <c r="T40" s="705" t="s">
        <v>14</v>
      </c>
      <c r="U40" s="706">
        <f t="shared" si="11"/>
        <v>100</v>
      </c>
      <c r="V40" s="705" t="s">
        <v>14</v>
      </c>
      <c r="W40" s="706">
        <f t="shared" si="12"/>
        <v>100</v>
      </c>
      <c r="X40" s="1355"/>
      <c r="Y40" s="37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5"/>
      <c r="Q41" s="1352"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5" t="s">
        <v>1696</v>
      </c>
      <c r="Q42" s="1352" t="str">
        <f t="shared" si="14"/>
        <v>工程地质条件</v>
      </c>
      <c r="R42" s="705" t="s">
        <v>14</v>
      </c>
      <c r="S42" s="706">
        <f t="shared" si="10"/>
        <v>100</v>
      </c>
      <c r="T42" s="705" t="s">
        <v>14</v>
      </c>
      <c r="U42" s="706">
        <f t="shared" si="11"/>
        <v>100</v>
      </c>
      <c r="V42" s="705" t="s">
        <v>14</v>
      </c>
      <c r="W42" s="706">
        <f t="shared" si="12"/>
        <v>100</v>
      </c>
      <c r="X42" s="1355"/>
      <c r="Y42" s="37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5"/>
      <c r="Q43" s="1352">
        <f t="shared" si="14"/>
        <v>111</v>
      </c>
      <c r="R43" s="705" t="s">
        <v>14</v>
      </c>
      <c r="S43" s="706">
        <f t="shared" si="10"/>
        <v>100</v>
      </c>
      <c r="T43" s="705" t="s">
        <v>14</v>
      </c>
      <c r="U43" s="706">
        <f t="shared" si="11"/>
        <v>100</v>
      </c>
      <c r="V43" s="705" t="s">
        <v>14</v>
      </c>
      <c r="W43" s="706">
        <f t="shared" si="12"/>
        <v>100</v>
      </c>
      <c r="X43" s="1355"/>
      <c r="Y43" s="37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5"/>
      <c r="Q44" s="1352">
        <f t="shared" si="14"/>
        <v>111</v>
      </c>
      <c r="R44" s="705" t="s">
        <v>14</v>
      </c>
      <c r="S44" s="706">
        <f t="shared" si="10"/>
        <v>100</v>
      </c>
      <c r="T44" s="705" t="s">
        <v>14</v>
      </c>
      <c r="U44" s="706">
        <f t="shared" si="11"/>
        <v>100</v>
      </c>
      <c r="V44" s="705" t="s">
        <v>14</v>
      </c>
      <c r="W44" s="706">
        <f t="shared" si="12"/>
        <v>100</v>
      </c>
      <c r="X44" s="1355"/>
      <c r="Y44" s="37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5"/>
      <c r="Q45" s="1352">
        <f t="shared" si="14"/>
        <v>111</v>
      </c>
      <c r="R45" s="708" t="s">
        <v>14</v>
      </c>
      <c r="S45" s="709">
        <f t="shared" si="10"/>
        <v>100</v>
      </c>
      <c r="T45" s="708" t="s">
        <v>14</v>
      </c>
      <c r="U45" s="709">
        <f t="shared" si="11"/>
        <v>100</v>
      </c>
      <c r="V45" s="708" t="s">
        <v>14</v>
      </c>
      <c r="W45" s="709">
        <f t="shared" si="12"/>
        <v>100</v>
      </c>
      <c r="X45" s="710"/>
      <c r="Y45" s="374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69">
        <f>E46</f>
        <v>0</v>
      </c>
      <c r="S46" s="3769"/>
      <c r="T46" s="3769">
        <f>G46</f>
        <v>0</v>
      </c>
      <c r="U46" s="3769"/>
      <c r="V46" s="3769">
        <f>I46</f>
        <v>0</v>
      </c>
      <c r="W46" s="376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800" t="e">
        <f>ROUND(PRODUCT(R46,AA7:AA45),0)</f>
        <v>#DIV/0!</v>
      </c>
      <c r="S47" s="3800"/>
      <c r="T47" s="3800" t="e">
        <f>ROUND(PRODUCT(T46,AB7:AB45),0)</f>
        <v>#DIV/0!</v>
      </c>
      <c r="U47" s="3800"/>
      <c r="V47" s="3800" t="e">
        <f>ROUND(PRODUCT(V46,AC7:AC45),0)</f>
        <v>#DIV/0!</v>
      </c>
      <c r="W47" s="380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801" t="e">
        <f>ROUND(IF(D47="简单平均",AVERAGE(R47:W47),R47*F47+T47*H47+V47*J47),0)</f>
        <v>#DIV/0!</v>
      </c>
      <c r="S48" s="3801"/>
      <c r="T48" s="3801"/>
      <c r="U48" s="3801"/>
      <c r="V48" s="3801"/>
      <c r="W48" s="380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3" t="s">
        <v>1887</v>
      </c>
      <c r="H55" s="380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62723.32</v>
      </c>
      <c r="F56" s="886" t="e">
        <f t="shared" ref="F56:F64" si="15">ROUND(B56*E56/10000,0)</f>
        <v>#DIV/0!</v>
      </c>
      <c r="G56" s="3749"/>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62723.32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803" t="s">
        <v>1919</v>
      </c>
      <c r="D6" s="3804"/>
      <c r="E6" s="3805" t="s">
        <v>1919</v>
      </c>
      <c r="F6" s="3806"/>
      <c r="G6" s="3803" t="s">
        <v>1919</v>
      </c>
      <c r="H6" s="3804"/>
      <c r="I6" s="3803" t="s">
        <v>1919</v>
      </c>
      <c r="J6" s="3804"/>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45245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38"/>
      <c r="Q10" s="1343" t="str">
        <f t="shared" si="6"/>
        <v>土地使用年限（年）</v>
      </c>
      <c r="R10" s="701" t="s">
        <v>14</v>
      </c>
      <c r="S10" s="702">
        <f t="shared" si="0"/>
        <v>108</v>
      </c>
      <c r="T10" s="701" t="s">
        <v>14</v>
      </c>
      <c r="U10" s="702">
        <f t="shared" si="1"/>
        <v>108</v>
      </c>
      <c r="V10" s="701" t="s">
        <v>14</v>
      </c>
      <c r="W10" s="702">
        <f t="shared" si="2"/>
        <v>108</v>
      </c>
      <c r="X10" s="703"/>
      <c r="Y10" s="3613"/>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1"/>
      <c r="Q20" s="1352"/>
      <c r="R20" s="705"/>
      <c r="S20" s="706"/>
      <c r="T20" s="705"/>
      <c r="U20" s="706"/>
      <c r="V20" s="705"/>
      <c r="W20" s="706"/>
      <c r="X20" s="1355"/>
      <c r="Y20" s="3741"/>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1"/>
      <c r="Q24" s="1343"/>
      <c r="R24" s="701"/>
      <c r="S24" s="702"/>
      <c r="T24" s="701"/>
      <c r="U24" s="702"/>
      <c r="V24" s="701"/>
      <c r="W24" s="702"/>
      <c r="X24" s="703"/>
      <c r="Y24" s="3741"/>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1"/>
      <c r="Q26" s="1343"/>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1"/>
      <c r="Q29" s="1352"/>
      <c r="R29" s="705"/>
      <c r="S29" s="706"/>
      <c r="T29" s="705"/>
      <c r="U29" s="706"/>
      <c r="V29" s="705"/>
      <c r="W29" s="706"/>
      <c r="X29" s="1355"/>
      <c r="Y29" s="37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6" t="s">
        <v>1696</v>
      </c>
      <c r="Q32" s="1352">
        <f t="shared" si="8"/>
        <v>111</v>
      </c>
      <c r="R32" s="705" t="s">
        <v>14</v>
      </c>
      <c r="S32" s="706">
        <f t="shared" si="10"/>
        <v>100</v>
      </c>
      <c r="T32" s="705" t="s">
        <v>14</v>
      </c>
      <c r="U32" s="706">
        <f t="shared" si="11"/>
        <v>100</v>
      </c>
      <c r="V32" s="705" t="s">
        <v>14</v>
      </c>
      <c r="W32" s="706">
        <f t="shared" si="12"/>
        <v>100</v>
      </c>
      <c r="X32" s="1355"/>
      <c r="Y32" s="374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5"/>
      <c r="Q33" s="1352">
        <f t="shared" si="8"/>
        <v>111</v>
      </c>
      <c r="R33" s="708" t="s">
        <v>14</v>
      </c>
      <c r="S33" s="709">
        <f t="shared" si="10"/>
        <v>100</v>
      </c>
      <c r="T33" s="708" t="s">
        <v>14</v>
      </c>
      <c r="U33" s="709">
        <f t="shared" si="11"/>
        <v>100</v>
      </c>
      <c r="V33" s="708" t="s">
        <v>14</v>
      </c>
      <c r="W33" s="709">
        <f t="shared" si="12"/>
        <v>100</v>
      </c>
      <c r="X33" s="710"/>
      <c r="Y33" s="37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5"/>
      <c r="Q34" s="1352" t="str">
        <f>B34</f>
        <v>宗地面积</v>
      </c>
      <c r="R34" s="705" t="s">
        <v>14</v>
      </c>
      <c r="S34" s="706" t="e">
        <f t="shared" si="10"/>
        <v>#N/A</v>
      </c>
      <c r="T34" s="705" t="s">
        <v>14</v>
      </c>
      <c r="U34" s="706" t="e">
        <f t="shared" si="11"/>
        <v>#N/A</v>
      </c>
      <c r="V34" s="705" t="s">
        <v>14</v>
      </c>
      <c r="W34" s="706" t="e">
        <f t="shared" si="12"/>
        <v>#N/A</v>
      </c>
      <c r="X34" s="1355"/>
      <c r="Y34" s="37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5"/>
      <c r="Q35" s="1352" t="str">
        <f t="shared" ref="Q35:Q40" si="14">B35</f>
        <v>宗地形状</v>
      </c>
      <c r="R35" s="705" t="s">
        <v>14</v>
      </c>
      <c r="S35" s="706">
        <f t="shared" si="10"/>
        <v>100</v>
      </c>
      <c r="T35" s="705" t="s">
        <v>14</v>
      </c>
      <c r="U35" s="706">
        <f t="shared" si="11"/>
        <v>100</v>
      </c>
      <c r="V35" s="705" t="s">
        <v>14</v>
      </c>
      <c r="W35" s="706">
        <f t="shared" si="12"/>
        <v>100</v>
      </c>
      <c r="X35" s="1355"/>
      <c r="Y35" s="37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5"/>
      <c r="Q36" s="1352"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5" t="s">
        <v>1696</v>
      </c>
      <c r="Q37" s="1352" t="str">
        <f t="shared" si="14"/>
        <v>工程地质条件</v>
      </c>
      <c r="R37" s="705" t="s">
        <v>14</v>
      </c>
      <c r="S37" s="706">
        <f t="shared" si="10"/>
        <v>100</v>
      </c>
      <c r="T37" s="705" t="s">
        <v>14</v>
      </c>
      <c r="U37" s="706">
        <f t="shared" si="11"/>
        <v>100</v>
      </c>
      <c r="V37" s="705" t="s">
        <v>14</v>
      </c>
      <c r="W37" s="706">
        <f t="shared" si="12"/>
        <v>100</v>
      </c>
      <c r="X37" s="1355"/>
      <c r="Y37" s="37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5"/>
      <c r="Q38" s="1352">
        <f t="shared" si="14"/>
        <v>111</v>
      </c>
      <c r="R38" s="705" t="s">
        <v>14</v>
      </c>
      <c r="S38" s="706">
        <f t="shared" si="10"/>
        <v>100</v>
      </c>
      <c r="T38" s="705" t="s">
        <v>14</v>
      </c>
      <c r="U38" s="706">
        <f t="shared" si="11"/>
        <v>100</v>
      </c>
      <c r="V38" s="705" t="s">
        <v>14</v>
      </c>
      <c r="W38" s="706">
        <f t="shared" si="12"/>
        <v>100</v>
      </c>
      <c r="X38" s="1355"/>
      <c r="Y38" s="37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5"/>
      <c r="Q39" s="1352">
        <f t="shared" si="14"/>
        <v>111</v>
      </c>
      <c r="R39" s="705" t="s">
        <v>14</v>
      </c>
      <c r="S39" s="706">
        <f t="shared" si="10"/>
        <v>100</v>
      </c>
      <c r="T39" s="705" t="s">
        <v>14</v>
      </c>
      <c r="U39" s="706">
        <f t="shared" si="11"/>
        <v>100</v>
      </c>
      <c r="V39" s="705" t="s">
        <v>14</v>
      </c>
      <c r="W39" s="706">
        <f t="shared" si="12"/>
        <v>100</v>
      </c>
      <c r="X39" s="1355"/>
      <c r="Y39" s="37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5"/>
      <c r="Q40" s="1352">
        <f t="shared" si="14"/>
        <v>111</v>
      </c>
      <c r="R40" s="708" t="s">
        <v>14</v>
      </c>
      <c r="S40" s="709">
        <f t="shared" si="10"/>
        <v>100</v>
      </c>
      <c r="T40" s="708" t="s">
        <v>14</v>
      </c>
      <c r="U40" s="709">
        <f t="shared" si="11"/>
        <v>100</v>
      </c>
      <c r="V40" s="708" t="s">
        <v>14</v>
      </c>
      <c r="W40" s="709">
        <f t="shared" si="12"/>
        <v>100</v>
      </c>
      <c r="X40" s="710"/>
      <c r="Y40" s="374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69">
        <f>E41</f>
        <v>0</v>
      </c>
      <c r="S41" s="3769"/>
      <c r="T41" s="3769">
        <f>G41</f>
        <v>0</v>
      </c>
      <c r="U41" s="3769"/>
      <c r="V41" s="3769">
        <f>I41</f>
        <v>0</v>
      </c>
      <c r="W41" s="376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800" t="e">
        <f>ROUND(PRODUCT(R41,AA7:AA40),0)</f>
        <v>#DIV/0!</v>
      </c>
      <c r="S42" s="3800"/>
      <c r="T42" s="3800" t="e">
        <f>ROUND(PRODUCT(T41,AB7:AB40),0)</f>
        <v>#DIV/0!</v>
      </c>
      <c r="U42" s="3800"/>
      <c r="V42" s="3800" t="e">
        <f>ROUND(PRODUCT(V41,AC7:AC40),0)</f>
        <v>#DIV/0!</v>
      </c>
      <c r="W42" s="380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801" t="e">
        <f>ROUND(IF(D42="简单平均",AVERAGE(R42:W42),R42*F42+T42*H42+V42*J42),0)</f>
        <v>#DIV/0!</v>
      </c>
      <c r="S43" s="3801"/>
      <c r="T43" s="3801"/>
      <c r="U43" s="3801"/>
      <c r="V43" s="3801"/>
      <c r="W43" s="380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3" t="s">
        <v>1887</v>
      </c>
      <c r="H50" s="380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62723.32</v>
      </c>
      <c r="F51" s="639" t="e">
        <f t="shared" ref="F51:F60" si="15">ROUND(B51*E51/10000,0)</f>
        <v>#DIV/0!</v>
      </c>
      <c r="G51" s="3749"/>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49786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0" t="s">
        <v>2084</v>
      </c>
      <c r="D1" s="3811"/>
      <c r="E1" s="3811"/>
      <c r="F1" s="3811"/>
      <c r="G1" s="3811"/>
      <c r="H1" s="3811"/>
      <c r="I1" s="3811"/>
      <c r="J1" s="3811"/>
      <c r="K1" s="3811"/>
      <c r="L1" s="3811"/>
      <c r="M1" s="3811"/>
      <c r="N1" s="3811"/>
      <c r="O1" s="3811"/>
      <c r="P1" s="3811"/>
      <c r="Q1" s="3811"/>
      <c r="R1" s="3811"/>
      <c r="S1" s="381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7" t="s">
        <v>27</v>
      </c>
      <c r="D22" s="3808"/>
      <c r="E22" s="3808"/>
      <c r="F22" s="3808"/>
      <c r="G22" s="3808"/>
      <c r="H22" s="3808"/>
      <c r="I22" s="3808"/>
      <c r="J22" s="3808"/>
      <c r="K22" s="3808"/>
      <c r="L22" s="3808"/>
      <c r="M22" s="3808"/>
      <c r="N22" s="3808"/>
      <c r="O22" s="3808"/>
      <c r="P22" s="3808"/>
      <c r="Q22" s="380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13169</v>
      </c>
      <c r="C2" s="2145" t="s">
        <v>2074</v>
      </c>
      <c r="D2" s="2145" t="s">
        <v>2075</v>
      </c>
      <c r="E2" s="2612">
        <f ca="1">SUMIF(E6:E13,"&lt;&gt;#ref!",E6:E13)</f>
        <v>71671.429999999993</v>
      </c>
      <c r="F2" s="2793"/>
      <c r="G2" s="2793"/>
      <c r="H2" s="2793"/>
      <c r="I2" s="2793"/>
      <c r="J2" s="2793"/>
      <c r="K2" s="2793"/>
      <c r="L2" s="2793"/>
      <c r="M2" s="2793"/>
      <c r="N2" s="2793"/>
      <c r="O2" s="2793"/>
      <c r="P2" s="2793"/>
    </row>
    <row r="3" spans="1:16" ht="15.75">
      <c r="A3" s="2145" t="s">
        <v>2076</v>
      </c>
      <c r="B3" s="2602">
        <f ca="1">ROUND(B2*10000/E2,0)</f>
        <v>1837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13169</v>
      </c>
      <c r="C6" s="2145" t="s">
        <v>2074</v>
      </c>
      <c r="D6" s="2793"/>
      <c r="E6" s="2612">
        <f ca="1">SUMIF(INDIRECT("'"&amp;A6&amp;"'"&amp;"!C:C"),"建筑面积",INDIRECT("'"&amp;A6&amp;"'"&amp;"!D:D"))</f>
        <v>71671.429999999993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12" sqref="G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71671.429999999993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13169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1837</v>
      </c>
      <c r="C3" s="1999" t="s">
        <v>1941</v>
      </c>
      <c r="D3" s="2000" t="s">
        <v>1942</v>
      </c>
      <c r="E3" s="3420" t="s">
        <v>2474</v>
      </c>
      <c r="F3" s="2004" t="s">
        <v>3442</v>
      </c>
      <c r="G3" s="752">
        <f>IF(F3="宗地容积率",'数据-汇总表'!I4,IF(F3="估价对象容积率",'数据-汇总表'!I6,'数据-汇总表'!I7))</f>
        <v>1.26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20"/>
      <c r="B4" s="3821"/>
      <c r="C4" s="3821"/>
      <c r="D4" s="3822"/>
      <c r="E4" s="3822"/>
      <c r="F4" s="3822"/>
      <c r="G4" s="3822"/>
      <c r="H4" s="3822"/>
      <c r="I4" s="3822"/>
      <c r="J4" s="382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1828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1.26</v>
      </c>
      <c r="AA7" s="1216"/>
      <c r="AB7" s="1216"/>
      <c r="AC7" s="1217"/>
      <c r="AD7" s="1218"/>
      <c r="AE7" s="1218"/>
      <c r="AF7" s="1218"/>
      <c r="AG7" s="1218"/>
      <c r="AH7" s="1218"/>
      <c r="AI7" s="1218"/>
      <c r="AJ7" s="1219"/>
    </row>
    <row r="8" spans="1:36" ht="25.5">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7" t="s">
        <v>1960</v>
      </c>
      <c r="X8" s="381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9"/>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24" t="s">
        <v>3249</v>
      </c>
      <c r="B20" s="167" t="s">
        <v>1994</v>
      </c>
      <c r="C20" s="3325">
        <f>ROUND(IF(F21="与级别开发程度一致",0,(G21-E21)/C21),0)</f>
        <v>0</v>
      </c>
      <c r="D20" s="3341" t="s">
        <v>1998</v>
      </c>
      <c r="E20" s="3342"/>
      <c r="F20" s="3830" t="s">
        <v>1995</v>
      </c>
      <c r="G20" s="383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5"/>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45245</v>
      </c>
      <c r="H23" s="3343" t="s">
        <v>3251</v>
      </c>
      <c r="I23" s="3344" t="str">
        <f>IF(H23="季度增幅（自定义）",SUMIF(N25:N28,E2,O25:O28),"")</f>
        <v/>
      </c>
      <c r="J23" s="3446" t="s">
        <v>3250</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0.9839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3252</v>
      </c>
      <c r="D26" s="1352">
        <f>IF(E26=G26,F26,IF(G3&lt;10,ROUND(F26+(H26-F26)*(G3-E26)/(G26-E26),4),"——"))</f>
        <v>0.9839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13169</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2038</v>
      </c>
      <c r="D33" s="2098">
        <f>'数据-汇总表'!F31</f>
        <v>62723.32</v>
      </c>
      <c r="E33" s="773">
        <f>ROUND(C33*D33/10000,0)</f>
        <v>12783</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306</v>
      </c>
      <c r="D34" s="2103"/>
      <c r="E34" s="773">
        <f>ROUND(IF(B25="楼层修正",SUM(V2:V16)*M40,C34*D34/10000),0)</f>
        <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8"/>
      <c r="B37" s="2113" t="s">
        <v>2036</v>
      </c>
      <c r="C37" s="175">
        <f>ROUND(D5*C22*C23*C24*C28*F37,0)</f>
        <v>1243</v>
      </c>
      <c r="D37" s="2098"/>
      <c r="E37" s="171">
        <f>ROUND(C37*D37/10000,0)</f>
        <v>0</v>
      </c>
      <c r="F37" s="171">
        <f>SUMIF(修正!A57:A68,G2,修正!B57:B68)</f>
        <v>0.6</v>
      </c>
      <c r="G37" s="171">
        <f>ROUND(IF(E2="工业",C37*$M$42,C37*$M$41),0)</f>
        <v>186</v>
      </c>
      <c r="H37" s="171">
        <f>D37</f>
        <v>0</v>
      </c>
      <c r="I37" s="171">
        <f>ROUND(G37*H37/10000,0)</f>
        <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9"/>
      <c r="B38" s="2041" t="s">
        <v>2037</v>
      </c>
      <c r="C38" s="175">
        <f>ROUND(D5*C22*C23*C24*C28*F38,0)</f>
        <v>621</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9"/>
      <c r="B39" s="2041" t="s">
        <v>3254</v>
      </c>
      <c r="C39" s="175">
        <f>ROUND(D5*C22*C23*C24*C28*F39,0)</f>
        <v>518</v>
      </c>
      <c r="D39" s="2098"/>
      <c r="E39" s="171">
        <f t="shared" si="4"/>
        <v>0</v>
      </c>
      <c r="F39" s="171">
        <f>SUMIF(修正!A57:A68,G2,修正!D57:D68)</f>
        <v>0.25</v>
      </c>
      <c r="G39" s="171">
        <f>ROUND(IF(E2="工业",C39*$M$42,C39*$M$41),0)</f>
        <v>78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f>SUM(面积!E4:E7)</f>
        <v>5184.18</v>
      </c>
      <c r="E40" s="171">
        <f t="shared" si="4"/>
        <v>269</v>
      </c>
      <c r="F40" s="175">
        <f>SUMIF(修正!A57:A68,G2,修正!E57:E68)</f>
        <v>0.25</v>
      </c>
      <c r="G40" s="171">
        <f>ROUND(IF(E2="工业",C40*$M$42,C40*$M$41),0)</f>
        <v>78</v>
      </c>
      <c r="H40" s="171">
        <f t="shared" si="5"/>
        <v>5184.18</v>
      </c>
      <c r="I40" s="171">
        <f t="shared" si="6"/>
        <v>40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518</v>
      </c>
      <c r="D41" s="2098"/>
      <c r="E41" s="171">
        <f t="shared" si="4"/>
        <v>0</v>
      </c>
      <c r="F41" s="175">
        <f>SUMIF(修正!A57:A68,G2,修正!F57:F68)</f>
        <v>0.25</v>
      </c>
      <c r="G41" s="171">
        <f>ROUND(IF(E2="工业",C41*$M$42,C41*$M$41),0)</f>
        <v>78</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311</v>
      </c>
      <c r="D42" s="2103">
        <f>面积!E2</f>
        <v>3763.93</v>
      </c>
      <c r="E42" s="187">
        <f t="shared" si="4"/>
        <v>117</v>
      </c>
      <c r="F42" s="767">
        <f>SUMIF(修正!A57:A68,G2,修正!G57:G68)</f>
        <v>0.15</v>
      </c>
      <c r="G42" s="187">
        <f>ROUND(IF(E2="工业",C42*$M$42,C42*$M$41),0)</f>
        <v>47</v>
      </c>
      <c r="H42" s="187">
        <f t="shared" si="5"/>
        <v>3763.93</v>
      </c>
      <c r="I42" s="187">
        <f t="shared" si="6"/>
        <v>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0.92710000000000004</v>
      </c>
      <c r="D44" s="171" t="s">
        <v>1999</v>
      </c>
      <c r="E44" s="2153">
        <f>G24</f>
        <v>0.05</v>
      </c>
      <c r="F44" s="171" t="s">
        <v>2008</v>
      </c>
      <c r="G44" s="183">
        <f>项目基本情况!H15</f>
        <v>38.380000000000003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3479" t="s">
        <v>3439</v>
      </c>
      <c r="D83" s="1065">
        <f t="shared" ref="D83:D90" si="22">SUMIF($J$82:$N$82,C83,J83:N83)</f>
        <v>6.4999999999999997E-3</v>
      </c>
      <c r="E83" s="744">
        <f>ROUND(SUM(D83:D90),4)</f>
        <v>2.1000000000000001E-2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f>估价对象房地状况!G16</f>
        <v>0</v>
      </c>
      <c r="C84" s="3479" t="s">
        <v>3439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3479" t="s">
        <v>3439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9" t="s">
        <v>3445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f>估价对象房地状况!G19</f>
        <v>0</v>
      </c>
      <c r="C87" s="3479" t="s">
        <v>3445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4">
      <c r="A88" s="2130" t="s">
        <v>2060</v>
      </c>
      <c r="B88" s="1326">
        <f>估价对象房地状况!G20</f>
        <v>0</v>
      </c>
      <c r="C88" s="3479" t="s">
        <v>3439</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9" t="s">
        <v>3439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f>估价对象房地状况!G18</f>
        <v>0</v>
      </c>
      <c r="C90" s="3479" t="s">
        <v>3445</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3268</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3272</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3273</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3274</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26" t="s">
        <v>3289</v>
      </c>
      <c r="B103" s="3826"/>
      <c r="C103" s="3826"/>
      <c r="D103" s="3826"/>
      <c r="E103" s="3826"/>
      <c r="F103" s="3826"/>
      <c r="G103" s="3826"/>
      <c r="H103" s="3826"/>
      <c r="I103" s="3826"/>
      <c r="J103" s="3826"/>
      <c r="K103" s="3390"/>
      <c r="L103" s="3390"/>
      <c r="M103" s="3390"/>
      <c r="N103" s="3390"/>
    </row>
    <row r="104" spans="1:14">
      <c r="A104" s="3827" t="s">
        <v>3290</v>
      </c>
      <c r="B104" s="3827" t="s">
        <v>3291</v>
      </c>
      <c r="C104" s="3391" t="s">
        <v>3292</v>
      </c>
      <c r="D104" s="3392"/>
      <c r="E104" s="3392"/>
      <c r="F104" s="3392"/>
      <c r="G104" s="3392"/>
      <c r="H104" s="3392"/>
      <c r="I104" s="3392"/>
      <c r="J104" s="3393"/>
      <c r="K104" s="3394"/>
      <c r="L104" s="3394"/>
      <c r="M104" s="3394"/>
      <c r="N104" s="3394"/>
    </row>
    <row r="105" spans="1:14">
      <c r="A105" s="3827"/>
      <c r="B105" s="3827"/>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813"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1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1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1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1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14"/>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16" t="s">
        <v>3306</v>
      </c>
      <c r="B113" s="3816"/>
      <c r="C113" s="3816"/>
      <c r="D113" s="3816"/>
      <c r="E113" s="3816"/>
      <c r="F113" s="3816"/>
      <c r="G113" s="3816"/>
      <c r="H113" s="3816"/>
      <c r="I113" s="3816"/>
      <c r="J113" s="381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1.26</v>
      </c>
      <c r="C116" s="3400" t="s">
        <v>3308</v>
      </c>
      <c r="D116" s="3401">
        <f>SUMPRODUCT((A118:A122=F116)*(B117:M117=H116)*B118:M122)</f>
        <v>0.63849999999999996</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0.9829</v>
      </c>
      <c r="C118" s="3388">
        <f>B118</f>
        <v>0.9829</v>
      </c>
      <c r="D118" s="3388">
        <f>ROUND(0.949-0.014*B116,4)</f>
        <v>0.93140000000000001</v>
      </c>
      <c r="E118" s="3388">
        <f>D118</f>
        <v>0.93140000000000001</v>
      </c>
      <c r="F118" s="3388">
        <f>E118</f>
        <v>0.93140000000000001</v>
      </c>
      <c r="G118" s="3388">
        <f>F118</f>
        <v>0.93140000000000001</v>
      </c>
      <c r="H118" s="3388">
        <f>G118</f>
        <v>0.93140000000000001</v>
      </c>
      <c r="I118" s="3388">
        <f>ROUND(0.8486-0.018*B116,4)</f>
        <v>0.82589999999999997</v>
      </c>
      <c r="J118" s="3388">
        <f t="shared" ref="J118:M122" si="36">I118</f>
        <v>0.82589999999999997</v>
      </c>
      <c r="K118" s="3388">
        <f t="shared" si="36"/>
        <v>0.82589999999999997</v>
      </c>
      <c r="L118" s="3388">
        <f t="shared" si="36"/>
        <v>0.82589999999999997</v>
      </c>
      <c r="M118" s="3411">
        <f t="shared" si="36"/>
        <v>0.82589999999999997</v>
      </c>
      <c r="N118" s="3398"/>
    </row>
    <row r="119" spans="1:14">
      <c r="A119" s="3410" t="s">
        <v>3324</v>
      </c>
      <c r="B119" s="3388">
        <f>ROUND(0.993-0.0112*B116,4)</f>
        <v>0.97889999999999999</v>
      </c>
      <c r="C119" s="3388">
        <f>B119</f>
        <v>0.97889999999999999</v>
      </c>
      <c r="D119" s="3388">
        <f>ROUND(0.9415-0.0142*B116,4)</f>
        <v>0.92359999999999998</v>
      </c>
      <c r="E119" s="3388">
        <f t="shared" ref="E119:H120" si="37">D119</f>
        <v>0.92359999999999998</v>
      </c>
      <c r="F119" s="3388">
        <f t="shared" si="37"/>
        <v>0.92359999999999998</v>
      </c>
      <c r="G119" s="3388">
        <f t="shared" si="37"/>
        <v>0.92359999999999998</v>
      </c>
      <c r="H119" s="3388">
        <f t="shared" si="37"/>
        <v>0.92359999999999998</v>
      </c>
      <c r="I119" s="3388">
        <f>ROUND(0.838-0.0182*B116,4)</f>
        <v>0.81510000000000005</v>
      </c>
      <c r="J119" s="3388">
        <f t="shared" si="36"/>
        <v>0.81510000000000005</v>
      </c>
      <c r="K119" s="3388">
        <f t="shared" si="36"/>
        <v>0.81510000000000005</v>
      </c>
      <c r="L119" s="3388">
        <f t="shared" si="36"/>
        <v>0.81510000000000005</v>
      </c>
      <c r="M119" s="3411">
        <f t="shared" si="36"/>
        <v>0.81510000000000005</v>
      </c>
      <c r="N119" s="3398"/>
    </row>
    <row r="120" spans="1:14">
      <c r="A120" s="3410" t="s">
        <v>3325</v>
      </c>
      <c r="B120" s="3388">
        <f>ROUND(0.9448-0.0115*B116,4)</f>
        <v>0.93030000000000002</v>
      </c>
      <c r="C120" s="3388">
        <f>B120</f>
        <v>0.93030000000000002</v>
      </c>
      <c r="D120" s="3388">
        <f>ROUND(0.937-0.0145*B116,4)</f>
        <v>0.91869999999999996</v>
      </c>
      <c r="E120" s="3388">
        <f t="shared" si="37"/>
        <v>0.91869999999999996</v>
      </c>
      <c r="F120" s="3388">
        <f t="shared" si="37"/>
        <v>0.91869999999999996</v>
      </c>
      <c r="G120" s="3388">
        <f t="shared" si="37"/>
        <v>0.91869999999999996</v>
      </c>
      <c r="H120" s="3388">
        <f t="shared" si="37"/>
        <v>0.91869999999999996</v>
      </c>
      <c r="I120" s="3388">
        <f>ROUND(0.7965-0.0185*B116,4)</f>
        <v>0.7732</v>
      </c>
      <c r="J120" s="3388">
        <f t="shared" si="36"/>
        <v>0.7732</v>
      </c>
      <c r="K120" s="3388">
        <f t="shared" si="36"/>
        <v>0.7732</v>
      </c>
      <c r="L120" s="3388">
        <f t="shared" si="36"/>
        <v>0.7732</v>
      </c>
      <c r="M120" s="3411">
        <f t="shared" si="36"/>
        <v>0.7732</v>
      </c>
      <c r="N120" s="3398"/>
    </row>
    <row r="121" spans="1:14" ht="13.5" thickBot="1">
      <c r="A121" s="3412" t="s">
        <v>3326</v>
      </c>
      <c r="B121" s="3413">
        <f>ROUND(0.7836-0.012*B116,4)</f>
        <v>0.76849999999999996</v>
      </c>
      <c r="C121" s="3413">
        <f>B121</f>
        <v>0.76849999999999996</v>
      </c>
      <c r="D121" s="3413">
        <f>ROUND(0.753-0.015*B116,4)</f>
        <v>0.73409999999999997</v>
      </c>
      <c r="E121" s="3413">
        <f>D121</f>
        <v>0.73409999999999997</v>
      </c>
      <c r="F121" s="3413">
        <f>E121</f>
        <v>0.73409999999999997</v>
      </c>
      <c r="G121" s="3413">
        <f>ROUND(0.6612-0.018*B116,4)</f>
        <v>0.63849999999999996</v>
      </c>
      <c r="H121" s="3413">
        <f>G121</f>
        <v>0.63849999999999996</v>
      </c>
      <c r="I121" s="3413">
        <f>ROUND(0.5905-0.019*B116,4)</f>
        <v>0.56659999999999999</v>
      </c>
      <c r="J121" s="3413">
        <f t="shared" si="36"/>
        <v>0.56659999999999999</v>
      </c>
      <c r="K121" s="3413">
        <f t="shared" si="36"/>
        <v>0.56659999999999999</v>
      </c>
      <c r="L121" s="3413">
        <f t="shared" si="36"/>
        <v>0.56659999999999999</v>
      </c>
      <c r="M121" s="3414">
        <f t="shared" si="36"/>
        <v>0.56659999999999999</v>
      </c>
      <c r="N121" s="3398"/>
    </row>
    <row r="122" spans="1:14">
      <c r="A122" s="3415" t="s">
        <v>2607</v>
      </c>
      <c r="B122" s="3388">
        <f>ROUND(0.9404-0.0106*B116,4)</f>
        <v>0.92700000000000005</v>
      </c>
      <c r="C122" s="3388">
        <f>B122</f>
        <v>0.92700000000000005</v>
      </c>
      <c r="D122" s="3388">
        <f>ROUND(0.8955-0.0135*B116,4)</f>
        <v>0.87849999999999995</v>
      </c>
      <c r="E122" s="3388">
        <f t="shared" ref="E122:H122" si="38">D122</f>
        <v>0.87849999999999995</v>
      </c>
      <c r="F122" s="3388">
        <f t="shared" si="38"/>
        <v>0.87849999999999995</v>
      </c>
      <c r="G122" s="3388">
        <f t="shared" si="38"/>
        <v>0.87849999999999995</v>
      </c>
      <c r="H122" s="3388">
        <f t="shared" si="38"/>
        <v>0.87849999999999995</v>
      </c>
      <c r="I122" s="3388">
        <f>ROUND(0.7632-0.0166*B116,4)</f>
        <v>0.74229999999999996</v>
      </c>
      <c r="J122" s="3388">
        <f t="shared" si="36"/>
        <v>0.74229999999999996</v>
      </c>
      <c r="K122" s="3388">
        <f t="shared" si="36"/>
        <v>0.74229999999999996</v>
      </c>
      <c r="L122" s="3388">
        <f t="shared" si="36"/>
        <v>0.74229999999999996</v>
      </c>
      <c r="M122" s="3411">
        <f t="shared" si="36"/>
        <v>0.74229999999999996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41" t="s">
        <v>2602</v>
      </c>
      <c r="B20" s="3836" t="s">
        <v>2623</v>
      </c>
      <c r="C20" s="3103" t="s">
        <v>2434</v>
      </c>
      <c r="D20" s="3104"/>
      <c r="E20" s="3105">
        <v>1</v>
      </c>
      <c r="F20" s="3106" t="s">
        <v>2435</v>
      </c>
      <c r="G20" s="3106"/>
    </row>
    <row r="21" spans="1:13" ht="19.5" customHeight="1">
      <c r="A21" s="3842"/>
      <c r="B21" s="3835"/>
      <c r="C21" s="3107" t="s">
        <v>2436</v>
      </c>
      <c r="D21" s="3108"/>
      <c r="E21" s="3109">
        <v>1</v>
      </c>
      <c r="F21" s="3106" t="s">
        <v>2437</v>
      </c>
      <c r="G21" s="3106"/>
    </row>
    <row r="22" spans="1:13" ht="19.5" customHeight="1">
      <c r="A22" s="3842"/>
      <c r="B22" s="3835"/>
      <c r="C22" s="3107" t="s">
        <v>2438</v>
      </c>
      <c r="D22" s="3108"/>
      <c r="E22" s="3109">
        <v>0.9</v>
      </c>
      <c r="F22" s="3106" t="s">
        <v>2439</v>
      </c>
      <c r="G22" s="3106"/>
    </row>
    <row r="23" spans="1:13" ht="19.5" customHeight="1">
      <c r="A23" s="3842"/>
      <c r="B23" s="3835"/>
      <c r="C23" s="3107" t="s">
        <v>2440</v>
      </c>
      <c r="D23" s="3108"/>
      <c r="E23" s="3109">
        <v>0.9</v>
      </c>
      <c r="F23" s="3106" t="s">
        <v>2441</v>
      </c>
      <c r="G23" s="3106"/>
    </row>
    <row r="24" spans="1:13" ht="19.5" customHeight="1">
      <c r="A24" s="3842"/>
      <c r="B24" s="3835"/>
      <c r="C24" s="3107" t="s">
        <v>2442</v>
      </c>
      <c r="D24" s="3108"/>
      <c r="E24" s="3109">
        <v>0.8</v>
      </c>
      <c r="F24" s="3106" t="s">
        <v>2443</v>
      </c>
      <c r="G24" s="3106"/>
    </row>
    <row r="25" spans="1:13" ht="19.5" customHeight="1" thickBot="1">
      <c r="A25" s="3843"/>
      <c r="B25" s="3837"/>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838" t="s">
        <v>2626</v>
      </c>
      <c r="B27" s="3836" t="s">
        <v>2607</v>
      </c>
      <c r="C27" s="3103" t="s">
        <v>2447</v>
      </c>
      <c r="D27" s="3104"/>
      <c r="E27" s="3105">
        <v>1</v>
      </c>
      <c r="F27" s="3106" t="s">
        <v>2448</v>
      </c>
      <c r="G27" s="3106"/>
    </row>
    <row r="28" spans="1:13" ht="19.5" customHeight="1">
      <c r="A28" s="3839"/>
      <c r="B28" s="3835"/>
      <c r="C28" s="3107" t="s">
        <v>2449</v>
      </c>
      <c r="D28" s="3108"/>
      <c r="E28" s="3109">
        <v>1</v>
      </c>
      <c r="F28" s="3106" t="s">
        <v>2450</v>
      </c>
      <c r="G28" s="3106"/>
    </row>
    <row r="29" spans="1:13" ht="19.5" customHeight="1">
      <c r="A29" s="3839"/>
      <c r="B29" s="3835"/>
      <c r="C29" s="3107" t="s">
        <v>2451</v>
      </c>
      <c r="D29" s="3108"/>
      <c r="E29" s="3109">
        <v>0.8</v>
      </c>
      <c r="F29" s="3106" t="s">
        <v>2452</v>
      </c>
      <c r="G29" s="3106"/>
    </row>
    <row r="30" spans="1:13" ht="19.5" customHeight="1">
      <c r="A30" s="3839"/>
      <c r="B30" s="3835"/>
      <c r="C30" s="3107" t="s">
        <v>2453</v>
      </c>
      <c r="D30" s="3108"/>
      <c r="E30" s="3109">
        <v>0.8</v>
      </c>
      <c r="F30" s="3106" t="s">
        <v>2454</v>
      </c>
      <c r="G30" s="3106"/>
    </row>
    <row r="31" spans="1:13" ht="19.5" customHeight="1">
      <c r="A31" s="3839"/>
      <c r="B31" s="3835"/>
      <c r="C31" s="3107" t="s">
        <v>2455</v>
      </c>
      <c r="D31" s="3108"/>
      <c r="E31" s="3109">
        <v>0.8</v>
      </c>
      <c r="F31" s="3106" t="s">
        <v>2456</v>
      </c>
      <c r="G31" s="3106"/>
    </row>
    <row r="32" spans="1:13" ht="19.5" customHeight="1">
      <c r="A32" s="3839"/>
      <c r="B32" s="3835"/>
      <c r="C32" s="3107" t="s">
        <v>2457</v>
      </c>
      <c r="D32" s="3108"/>
      <c r="E32" s="3109">
        <v>0.7</v>
      </c>
      <c r="F32" s="3106" t="s">
        <v>2458</v>
      </c>
      <c r="G32" s="3106"/>
    </row>
    <row r="33" spans="1:7" ht="19.5" customHeight="1">
      <c r="A33" s="3839"/>
      <c r="B33" s="3835"/>
      <c r="C33" s="3107" t="s">
        <v>2459</v>
      </c>
      <c r="D33" s="3108"/>
      <c r="E33" s="3109">
        <v>0.8</v>
      </c>
      <c r="F33" s="3106" t="s">
        <v>2460</v>
      </c>
      <c r="G33" s="3106"/>
    </row>
    <row r="34" spans="1:7" ht="19.5" customHeight="1">
      <c r="A34" s="3839"/>
      <c r="B34" s="3835"/>
      <c r="C34" s="3107" t="s">
        <v>2461</v>
      </c>
      <c r="D34" s="3108"/>
      <c r="E34" s="3109">
        <v>0.6</v>
      </c>
      <c r="F34" s="3106" t="s">
        <v>2462</v>
      </c>
      <c r="G34" s="3106"/>
    </row>
    <row r="35" spans="1:7" ht="19.5" customHeight="1">
      <c r="A35" s="3839"/>
      <c r="B35" s="3835"/>
      <c r="C35" s="3107" t="s">
        <v>2463</v>
      </c>
      <c r="D35" s="3108"/>
      <c r="E35" s="3109">
        <v>0.2</v>
      </c>
      <c r="F35" s="3106" t="s">
        <v>2464</v>
      </c>
      <c r="G35" s="3106"/>
    </row>
    <row r="36" spans="1:7" ht="19.5" customHeight="1">
      <c r="A36" s="3839"/>
      <c r="B36" s="3835"/>
      <c r="C36" s="3107" t="s">
        <v>2465</v>
      </c>
      <c r="D36" s="3108"/>
      <c r="E36" s="3109">
        <v>0.2</v>
      </c>
      <c r="F36" s="3106" t="s">
        <v>2466</v>
      </c>
      <c r="G36" s="3106"/>
    </row>
    <row r="37" spans="1:7" ht="19.5" customHeight="1">
      <c r="A37" s="3839"/>
      <c r="B37" s="3833" t="s">
        <v>2627</v>
      </c>
      <c r="C37" s="3107" t="s">
        <v>2467</v>
      </c>
      <c r="D37" s="3108"/>
      <c r="E37" s="3109">
        <v>0.6</v>
      </c>
      <c r="F37" s="3106" t="s">
        <v>2468</v>
      </c>
      <c r="G37" s="3106"/>
    </row>
    <row r="38" spans="1:7" ht="19.5" customHeight="1">
      <c r="A38" s="3839"/>
      <c r="B38" s="3835"/>
      <c r="C38" s="3107" t="s">
        <v>2469</v>
      </c>
      <c r="D38" s="3108"/>
      <c r="E38" s="3109">
        <v>0.6</v>
      </c>
      <c r="F38" s="3106" t="s">
        <v>2470</v>
      </c>
      <c r="G38" s="3106"/>
    </row>
    <row r="39" spans="1:7" ht="19.5" customHeight="1" thickBot="1">
      <c r="A39" s="3840"/>
      <c r="B39" s="3837"/>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41" t="s">
        <v>2605</v>
      </c>
      <c r="B41" s="3836" t="s">
        <v>2629</v>
      </c>
      <c r="C41" s="3103" t="s">
        <v>2474</v>
      </c>
      <c r="D41" s="3104"/>
      <c r="E41" s="3105">
        <v>1</v>
      </c>
      <c r="F41" s="3106" t="s">
        <v>2475</v>
      </c>
      <c r="G41" s="3106"/>
    </row>
    <row r="42" spans="1:7" ht="19.5" customHeight="1">
      <c r="A42" s="3842"/>
      <c r="B42" s="3835"/>
      <c r="C42" s="3107" t="s">
        <v>2476</v>
      </c>
      <c r="D42" s="3108"/>
      <c r="E42" s="3109">
        <v>1</v>
      </c>
      <c r="F42" s="3106" t="s">
        <v>2477</v>
      </c>
      <c r="G42" s="3106"/>
    </row>
    <row r="43" spans="1:7" ht="19.5" customHeight="1">
      <c r="A43" s="3842"/>
      <c r="B43" s="3834"/>
      <c r="C43" s="3107" t="s">
        <v>2478</v>
      </c>
      <c r="D43" s="3108"/>
      <c r="E43" s="3109">
        <v>1.5</v>
      </c>
      <c r="F43" s="3106" t="s">
        <v>2479</v>
      </c>
      <c r="G43" s="3106"/>
    </row>
    <row r="44" spans="1:7" ht="19.5" customHeight="1">
      <c r="A44" s="3842"/>
      <c r="B44" s="3118" t="s">
        <v>2630</v>
      </c>
      <c r="C44" s="3107" t="s">
        <v>2631</v>
      </c>
      <c r="D44" s="3108"/>
      <c r="E44" s="3109">
        <v>2</v>
      </c>
      <c r="F44" s="3106" t="s">
        <v>2480</v>
      </c>
      <c r="G44" s="3106"/>
    </row>
    <row r="45" spans="1:7" ht="19.5" customHeight="1">
      <c r="A45" s="3842"/>
      <c r="B45" s="3833" t="s">
        <v>2632</v>
      </c>
      <c r="C45" s="3107" t="s">
        <v>2481</v>
      </c>
      <c r="D45" s="3108"/>
      <c r="E45" s="3109">
        <v>1</v>
      </c>
      <c r="F45" s="3106" t="s">
        <v>2482</v>
      </c>
      <c r="G45" s="3106"/>
    </row>
    <row r="46" spans="1:7" ht="19.5" customHeight="1">
      <c r="A46" s="3842"/>
      <c r="B46" s="3835"/>
      <c r="C46" s="3107" t="s">
        <v>2483</v>
      </c>
      <c r="D46" s="3108"/>
      <c r="E46" s="3109">
        <v>1</v>
      </c>
      <c r="F46" s="3106" t="s">
        <v>2484</v>
      </c>
      <c r="G46" s="3106"/>
    </row>
    <row r="47" spans="1:7" ht="19.5" customHeight="1">
      <c r="A47" s="3842"/>
      <c r="B47" s="3835"/>
      <c r="C47" s="3107" t="s">
        <v>2485</v>
      </c>
      <c r="D47" s="3108"/>
      <c r="E47" s="3109">
        <v>1</v>
      </c>
      <c r="F47" s="3106" t="s">
        <v>2486</v>
      </c>
      <c r="G47" s="3106"/>
    </row>
    <row r="48" spans="1:7" ht="19.5" customHeight="1">
      <c r="A48" s="3842"/>
      <c r="B48" s="3835"/>
      <c r="C48" s="3107" t="s">
        <v>2487</v>
      </c>
      <c r="D48" s="3108"/>
      <c r="E48" s="3109">
        <v>1</v>
      </c>
      <c r="F48" s="3106" t="s">
        <v>2488</v>
      </c>
      <c r="G48" s="3106"/>
    </row>
    <row r="49" spans="1:7" ht="19.5" customHeight="1">
      <c r="A49" s="3842"/>
      <c r="B49" s="3835"/>
      <c r="C49" s="3107" t="s">
        <v>2489</v>
      </c>
      <c r="D49" s="3108"/>
      <c r="E49" s="3109">
        <v>1</v>
      </c>
      <c r="F49" s="3106" t="s">
        <v>2490</v>
      </c>
      <c r="G49" s="3106"/>
    </row>
    <row r="50" spans="1:7" ht="19.5" customHeight="1">
      <c r="A50" s="3842"/>
      <c r="B50" s="3835"/>
      <c r="C50" s="3107" t="s">
        <v>2491</v>
      </c>
      <c r="D50" s="3108"/>
      <c r="E50" s="3109">
        <v>1</v>
      </c>
      <c r="F50" s="3106" t="s">
        <v>2492</v>
      </c>
      <c r="G50" s="3106"/>
    </row>
    <row r="51" spans="1:7" ht="19.5" customHeight="1" thickBot="1">
      <c r="A51" s="3843"/>
      <c r="B51" s="3837"/>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833" t="s">
        <v>2646</v>
      </c>
      <c r="C73" s="3092" t="s">
        <v>2647</v>
      </c>
      <c r="D73" s="3092" t="s">
        <v>2648</v>
      </c>
      <c r="E73" s="3118">
        <v>0.2</v>
      </c>
      <c r="F73" s="3118">
        <v>25</v>
      </c>
    </row>
    <row r="74" spans="1:7" ht="24">
      <c r="A74" s="3118">
        <v>2</v>
      </c>
      <c r="B74" s="3835"/>
      <c r="C74" s="3092" t="s">
        <v>2649</v>
      </c>
      <c r="D74" s="3092" t="s">
        <v>2650</v>
      </c>
      <c r="E74" s="3118">
        <v>0.2</v>
      </c>
      <c r="F74" s="3118">
        <v>25</v>
      </c>
    </row>
    <row r="75" spans="1:7" ht="24">
      <c r="A75" s="3118">
        <v>3</v>
      </c>
      <c r="B75" s="3835"/>
      <c r="C75" s="3092" t="s">
        <v>2651</v>
      </c>
      <c r="D75" s="3092" t="s">
        <v>2652</v>
      </c>
      <c r="E75" s="3118">
        <v>0.2</v>
      </c>
      <c r="F75" s="3118">
        <v>25</v>
      </c>
    </row>
    <row r="76" spans="1:7" ht="13.5">
      <c r="A76" s="3118">
        <v>4</v>
      </c>
      <c r="B76" s="3835"/>
      <c r="C76" s="3092" t="s">
        <v>2653</v>
      </c>
      <c r="D76" s="3092" t="s">
        <v>2654</v>
      </c>
      <c r="E76" s="3118">
        <v>0.15</v>
      </c>
      <c r="F76" s="3118">
        <v>20</v>
      </c>
    </row>
    <row r="77" spans="1:7" ht="24">
      <c r="A77" s="3118">
        <v>5</v>
      </c>
      <c r="B77" s="3835"/>
      <c r="C77" s="3092" t="s">
        <v>2655</v>
      </c>
      <c r="D77" s="3092" t="s">
        <v>2656</v>
      </c>
      <c r="E77" s="3118">
        <v>0.15</v>
      </c>
      <c r="F77" s="3118">
        <v>20</v>
      </c>
    </row>
    <row r="78" spans="1:7" ht="24">
      <c r="A78" s="3118">
        <v>6</v>
      </c>
      <c r="B78" s="3835"/>
      <c r="C78" s="3092" t="s">
        <v>2657</v>
      </c>
      <c r="D78" s="3092" t="s">
        <v>2658</v>
      </c>
      <c r="E78" s="3118">
        <v>0.15</v>
      </c>
      <c r="F78" s="3118">
        <v>20</v>
      </c>
    </row>
    <row r="79" spans="1:7" ht="24">
      <c r="A79" s="3118">
        <v>7</v>
      </c>
      <c r="B79" s="3835"/>
      <c r="C79" s="3092" t="s">
        <v>2659</v>
      </c>
      <c r="D79" s="3092" t="s">
        <v>2660</v>
      </c>
      <c r="E79" s="3118">
        <v>0.15</v>
      </c>
      <c r="F79" s="3118">
        <v>20</v>
      </c>
    </row>
    <row r="80" spans="1:7" ht="24">
      <c r="A80" s="3118">
        <v>8</v>
      </c>
      <c r="B80" s="3835"/>
      <c r="C80" s="3092" t="s">
        <v>2661</v>
      </c>
      <c r="D80" s="3092" t="s">
        <v>2662</v>
      </c>
      <c r="E80" s="3118">
        <v>0.1</v>
      </c>
      <c r="F80" s="3118">
        <v>15</v>
      </c>
    </row>
    <row r="81" spans="1:6" ht="24">
      <c r="A81" s="3118">
        <v>9</v>
      </c>
      <c r="B81" s="3835"/>
      <c r="C81" s="3092" t="s">
        <v>2663</v>
      </c>
      <c r="D81" s="3092" t="s">
        <v>2664</v>
      </c>
      <c r="E81" s="3118">
        <v>0.1</v>
      </c>
      <c r="F81" s="3118">
        <v>15</v>
      </c>
    </row>
    <row r="82" spans="1:6" ht="24">
      <c r="A82" s="3118">
        <v>10</v>
      </c>
      <c r="B82" s="3835"/>
      <c r="C82" s="3092" t="s">
        <v>2665</v>
      </c>
      <c r="D82" s="3092" t="s">
        <v>2666</v>
      </c>
      <c r="E82" s="3118">
        <v>0.1</v>
      </c>
      <c r="F82" s="3118">
        <v>15</v>
      </c>
    </row>
    <row r="83" spans="1:6" ht="24">
      <c r="A83" s="3118">
        <v>11</v>
      </c>
      <c r="B83" s="3835"/>
      <c r="C83" s="3092" t="s">
        <v>2667</v>
      </c>
      <c r="D83" s="3092" t="s">
        <v>2668</v>
      </c>
      <c r="E83" s="3118">
        <v>0.1</v>
      </c>
      <c r="F83" s="3118">
        <v>15</v>
      </c>
    </row>
    <row r="84" spans="1:6" ht="24">
      <c r="A84" s="3118">
        <v>12</v>
      </c>
      <c r="B84" s="3835"/>
      <c r="C84" s="3092" t="s">
        <v>2669</v>
      </c>
      <c r="D84" s="3092" t="s">
        <v>2670</v>
      </c>
      <c r="E84" s="3118">
        <v>0.1</v>
      </c>
      <c r="F84" s="3118">
        <v>15</v>
      </c>
    </row>
    <row r="85" spans="1:6" ht="13.5">
      <c r="A85" s="3118">
        <v>13</v>
      </c>
      <c r="B85" s="3835"/>
      <c r="C85" s="3092" t="s">
        <v>2671</v>
      </c>
      <c r="D85" s="3092" t="s">
        <v>2672</v>
      </c>
      <c r="E85" s="3118">
        <v>0.1</v>
      </c>
      <c r="F85" s="3118">
        <v>15</v>
      </c>
    </row>
    <row r="86" spans="1:6" ht="13.5">
      <c r="A86" s="3118">
        <v>14</v>
      </c>
      <c r="B86" s="3835"/>
      <c r="C86" s="3092" t="s">
        <v>2673</v>
      </c>
      <c r="D86" s="3092" t="s">
        <v>2674</v>
      </c>
      <c r="E86" s="3118">
        <v>0.1</v>
      </c>
      <c r="F86" s="3118">
        <v>15</v>
      </c>
    </row>
    <row r="87" spans="1:6" ht="13.5">
      <c r="A87" s="3118">
        <v>15</v>
      </c>
      <c r="B87" s="3835"/>
      <c r="C87" s="3092" t="s">
        <v>2675</v>
      </c>
      <c r="D87" s="3092" t="s">
        <v>2676</v>
      </c>
      <c r="E87" s="3118">
        <v>0.1</v>
      </c>
      <c r="F87" s="3118">
        <v>15</v>
      </c>
    </row>
    <row r="88" spans="1:6" ht="24">
      <c r="A88" s="3118">
        <v>16</v>
      </c>
      <c r="B88" s="3835"/>
      <c r="C88" s="3092" t="s">
        <v>2677</v>
      </c>
      <c r="D88" s="3092" t="s">
        <v>2678</v>
      </c>
      <c r="E88" s="3118">
        <v>0.1</v>
      </c>
      <c r="F88" s="3118">
        <v>15</v>
      </c>
    </row>
    <row r="89" spans="1:6" ht="24">
      <c r="A89" s="3118">
        <v>17</v>
      </c>
      <c r="B89" s="3834"/>
      <c r="C89" s="3092" t="s">
        <v>2679</v>
      </c>
      <c r="D89" s="3092" t="s">
        <v>2680</v>
      </c>
      <c r="E89" s="3118">
        <v>0.1</v>
      </c>
      <c r="F89" s="3118">
        <v>15</v>
      </c>
    </row>
    <row r="90" spans="1:6" ht="13.5">
      <c r="A90" s="3118">
        <v>18</v>
      </c>
      <c r="B90" s="3833" t="s">
        <v>2681</v>
      </c>
      <c r="C90" s="3092" t="s">
        <v>2682</v>
      </c>
      <c r="D90" s="3092" t="s">
        <v>2683</v>
      </c>
      <c r="E90" s="3118">
        <v>0.2</v>
      </c>
      <c r="F90" s="3118">
        <v>25</v>
      </c>
    </row>
    <row r="91" spans="1:6" ht="24">
      <c r="A91" s="3118">
        <v>19</v>
      </c>
      <c r="B91" s="3835"/>
      <c r="C91" s="3092" t="s">
        <v>2684</v>
      </c>
      <c r="D91" s="3092" t="s">
        <v>2685</v>
      </c>
      <c r="E91" s="3118">
        <v>0.2</v>
      </c>
      <c r="F91" s="3118">
        <v>25</v>
      </c>
    </row>
    <row r="92" spans="1:6" ht="13.5">
      <c r="A92" s="3118">
        <v>20</v>
      </c>
      <c r="B92" s="3835"/>
      <c r="C92" s="3092" t="s">
        <v>2686</v>
      </c>
      <c r="D92" s="3092" t="s">
        <v>2687</v>
      </c>
      <c r="E92" s="3118">
        <v>0.15</v>
      </c>
      <c r="F92" s="3118">
        <v>20</v>
      </c>
    </row>
    <row r="93" spans="1:6" ht="13.5">
      <c r="A93" s="3118">
        <v>21</v>
      </c>
      <c r="B93" s="3835"/>
      <c r="C93" s="3092" t="s">
        <v>2688</v>
      </c>
      <c r="D93" s="3092" t="s">
        <v>2689</v>
      </c>
      <c r="E93" s="3118">
        <v>0.15</v>
      </c>
      <c r="F93" s="3118">
        <v>20</v>
      </c>
    </row>
    <row r="94" spans="1:6" ht="13.5">
      <c r="A94" s="3118">
        <v>22</v>
      </c>
      <c r="B94" s="3835"/>
      <c r="C94" s="3092" t="s">
        <v>2690</v>
      </c>
      <c r="D94" s="3092" t="s">
        <v>2691</v>
      </c>
      <c r="E94" s="3118">
        <v>0.15</v>
      </c>
      <c r="F94" s="3118">
        <v>20</v>
      </c>
    </row>
    <row r="95" spans="1:6" ht="36">
      <c r="A95" s="3118">
        <v>23</v>
      </c>
      <c r="B95" s="3835"/>
      <c r="C95" s="3092" t="s">
        <v>2692</v>
      </c>
      <c r="D95" s="3092" t="s">
        <v>2693</v>
      </c>
      <c r="E95" s="3118">
        <v>0.15</v>
      </c>
      <c r="F95" s="3118">
        <v>20</v>
      </c>
    </row>
    <row r="96" spans="1:6" ht="13.5">
      <c r="A96" s="3118">
        <v>24</v>
      </c>
      <c r="B96" s="3835"/>
      <c r="C96" s="3092" t="s">
        <v>2694</v>
      </c>
      <c r="D96" s="3092" t="s">
        <v>2695</v>
      </c>
      <c r="E96" s="3118">
        <v>0.1</v>
      </c>
      <c r="F96" s="3118">
        <v>15</v>
      </c>
    </row>
    <row r="97" spans="1:6" ht="13.5">
      <c r="A97" s="3118">
        <v>25</v>
      </c>
      <c r="B97" s="3835"/>
      <c r="C97" s="3092" t="s">
        <v>2696</v>
      </c>
      <c r="D97" s="3092" t="s">
        <v>2697</v>
      </c>
      <c r="E97" s="3118">
        <v>0.1</v>
      </c>
      <c r="F97" s="3118">
        <v>15</v>
      </c>
    </row>
    <row r="98" spans="1:6" ht="24">
      <c r="A98" s="3118">
        <v>26</v>
      </c>
      <c r="B98" s="3835"/>
      <c r="C98" s="3092" t="s">
        <v>2698</v>
      </c>
      <c r="D98" s="3092" t="s">
        <v>2699</v>
      </c>
      <c r="E98" s="3118">
        <v>0.1</v>
      </c>
      <c r="F98" s="3118">
        <v>15</v>
      </c>
    </row>
    <row r="99" spans="1:6" ht="24">
      <c r="A99" s="3118">
        <v>27</v>
      </c>
      <c r="B99" s="3835"/>
      <c r="C99" s="3092" t="s">
        <v>2700</v>
      </c>
      <c r="D99" s="3092" t="s">
        <v>2701</v>
      </c>
      <c r="E99" s="3118">
        <v>0.1</v>
      </c>
      <c r="F99" s="3118">
        <v>15</v>
      </c>
    </row>
    <row r="100" spans="1:6" ht="13.5">
      <c r="A100" s="3118">
        <v>28</v>
      </c>
      <c r="B100" s="3835"/>
      <c r="C100" s="3092" t="s">
        <v>2702</v>
      </c>
      <c r="D100" s="3092" t="s">
        <v>2703</v>
      </c>
      <c r="E100" s="3118">
        <v>0.1</v>
      </c>
      <c r="F100" s="3118">
        <v>15</v>
      </c>
    </row>
    <row r="101" spans="1:6" ht="13.5">
      <c r="A101" s="3118">
        <v>29</v>
      </c>
      <c r="B101" s="3835"/>
      <c r="C101" s="3092" t="s">
        <v>2704</v>
      </c>
      <c r="D101" s="3092" t="s">
        <v>2705</v>
      </c>
      <c r="E101" s="3118">
        <v>0.1</v>
      </c>
      <c r="F101" s="3118">
        <v>15</v>
      </c>
    </row>
    <row r="102" spans="1:6" ht="13.5">
      <c r="A102" s="3118">
        <v>30</v>
      </c>
      <c r="B102" s="3835"/>
      <c r="C102" s="3092" t="s">
        <v>2706</v>
      </c>
      <c r="D102" s="3092" t="s">
        <v>2707</v>
      </c>
      <c r="E102" s="3118">
        <v>0.1</v>
      </c>
      <c r="F102" s="3118">
        <v>15</v>
      </c>
    </row>
    <row r="103" spans="1:6" ht="24">
      <c r="A103" s="3118">
        <v>31</v>
      </c>
      <c r="B103" s="3835"/>
      <c r="C103" s="3092" t="s">
        <v>2708</v>
      </c>
      <c r="D103" s="3092" t="s">
        <v>2709</v>
      </c>
      <c r="E103" s="3118">
        <v>0.1</v>
      </c>
      <c r="F103" s="3118">
        <v>15</v>
      </c>
    </row>
    <row r="104" spans="1:6" ht="24">
      <c r="A104" s="3118">
        <v>32</v>
      </c>
      <c r="B104" s="3835"/>
      <c r="C104" s="3092" t="s">
        <v>2710</v>
      </c>
      <c r="D104" s="3092" t="s">
        <v>2711</v>
      </c>
      <c r="E104" s="3118">
        <v>0.1</v>
      </c>
      <c r="F104" s="3118">
        <v>15</v>
      </c>
    </row>
    <row r="105" spans="1:6" ht="24">
      <c r="A105" s="3118">
        <v>33</v>
      </c>
      <c r="B105" s="3835"/>
      <c r="C105" s="3092" t="s">
        <v>2712</v>
      </c>
      <c r="D105" s="3092" t="s">
        <v>2713</v>
      </c>
      <c r="E105" s="3118">
        <v>0.1</v>
      </c>
      <c r="F105" s="3118">
        <v>15</v>
      </c>
    </row>
    <row r="106" spans="1:6" ht="24">
      <c r="A106" s="3118">
        <v>34</v>
      </c>
      <c r="B106" s="3834"/>
      <c r="C106" s="3092" t="s">
        <v>2714</v>
      </c>
      <c r="D106" s="3092" t="s">
        <v>2715</v>
      </c>
      <c r="E106" s="3118">
        <v>0.1</v>
      </c>
      <c r="F106" s="3118">
        <v>15</v>
      </c>
    </row>
    <row r="107" spans="1:6" ht="24">
      <c r="A107" s="3118">
        <v>35</v>
      </c>
      <c r="B107" s="3833" t="s">
        <v>2716</v>
      </c>
      <c r="C107" s="3118" t="s">
        <v>2717</v>
      </c>
      <c r="D107" s="3092" t="s">
        <v>2718</v>
      </c>
      <c r="E107" s="3118">
        <v>0.15</v>
      </c>
      <c r="F107" s="3118">
        <v>20</v>
      </c>
    </row>
    <row r="108" spans="1:6" ht="13.5">
      <c r="A108" s="3118">
        <v>36</v>
      </c>
      <c r="B108" s="3835"/>
      <c r="C108" s="3118" t="s">
        <v>2719</v>
      </c>
      <c r="D108" s="3092" t="s">
        <v>2720</v>
      </c>
      <c r="E108" s="3118">
        <v>0.15</v>
      </c>
      <c r="F108" s="3118">
        <v>20</v>
      </c>
    </row>
    <row r="109" spans="1:6" ht="13.5">
      <c r="A109" s="3118">
        <v>37</v>
      </c>
      <c r="B109" s="3835"/>
      <c r="C109" s="3118" t="s">
        <v>2721</v>
      </c>
      <c r="D109" s="3092" t="s">
        <v>2722</v>
      </c>
      <c r="E109" s="3118">
        <v>0.15</v>
      </c>
      <c r="F109" s="3118">
        <v>20</v>
      </c>
    </row>
    <row r="110" spans="1:6" ht="13.5">
      <c r="A110" s="3118">
        <v>38</v>
      </c>
      <c r="B110" s="3835"/>
      <c r="C110" s="3118" t="s">
        <v>2723</v>
      </c>
      <c r="D110" s="3092" t="s">
        <v>2724</v>
      </c>
      <c r="E110" s="3118">
        <v>0.1</v>
      </c>
      <c r="F110" s="3118">
        <v>15</v>
      </c>
    </row>
    <row r="111" spans="1:6" ht="24">
      <c r="A111" s="3118">
        <v>39</v>
      </c>
      <c r="B111" s="3835"/>
      <c r="C111" s="3118" t="s">
        <v>2725</v>
      </c>
      <c r="D111" s="3092" t="s">
        <v>2726</v>
      </c>
      <c r="E111" s="3118">
        <v>0.1</v>
      </c>
      <c r="F111" s="3118">
        <v>15</v>
      </c>
    </row>
    <row r="112" spans="1:6" ht="24">
      <c r="A112" s="3118">
        <v>40</v>
      </c>
      <c r="B112" s="3834"/>
      <c r="C112" s="3118" t="s">
        <v>2727</v>
      </c>
      <c r="D112" s="3092" t="s">
        <v>2728</v>
      </c>
      <c r="E112" s="3118">
        <v>0.1</v>
      </c>
      <c r="F112" s="3118">
        <v>15</v>
      </c>
    </row>
    <row r="113" spans="1:6" ht="13.5">
      <c r="A113" s="3118">
        <v>41</v>
      </c>
      <c r="B113" s="3832" t="s">
        <v>2729</v>
      </c>
      <c r="C113" s="3118" t="s">
        <v>2730</v>
      </c>
      <c r="D113" s="3092" t="s">
        <v>2731</v>
      </c>
      <c r="E113" s="3118">
        <v>0.1</v>
      </c>
      <c r="F113" s="3118">
        <v>15</v>
      </c>
    </row>
    <row r="114" spans="1:6" ht="13.5">
      <c r="A114" s="3118">
        <v>42</v>
      </c>
      <c r="B114" s="3832"/>
      <c r="C114" s="3118" t="s">
        <v>2732</v>
      </c>
      <c r="D114" s="3092" t="s">
        <v>2733</v>
      </c>
      <c r="E114" s="3118">
        <v>0.1</v>
      </c>
      <c r="F114" s="3118">
        <v>15</v>
      </c>
    </row>
    <row r="115" spans="1:6" ht="24">
      <c r="A115" s="3118">
        <v>43</v>
      </c>
      <c r="B115" s="3832"/>
      <c r="C115" s="3118" t="s">
        <v>2734</v>
      </c>
      <c r="D115" s="3092" t="s">
        <v>2735</v>
      </c>
      <c r="E115" s="3118">
        <v>0.1</v>
      </c>
      <c r="F115" s="3118">
        <v>15</v>
      </c>
    </row>
    <row r="116" spans="1:6" ht="13.5">
      <c r="A116" s="3118">
        <v>44</v>
      </c>
      <c r="B116" s="3833" t="s">
        <v>2736</v>
      </c>
      <c r="C116" s="3118" t="s">
        <v>2737</v>
      </c>
      <c r="D116" s="3092" t="s">
        <v>2738</v>
      </c>
      <c r="E116" s="3118">
        <v>0.1</v>
      </c>
      <c r="F116" s="3118">
        <v>15</v>
      </c>
    </row>
    <row r="117" spans="1:6" ht="24">
      <c r="A117" s="3118">
        <v>45</v>
      </c>
      <c r="B117" s="3834"/>
      <c r="C117" s="3092" t="s">
        <v>2739</v>
      </c>
      <c r="D117" s="3092" t="s">
        <v>2740</v>
      </c>
      <c r="E117" s="3118">
        <v>0.1</v>
      </c>
      <c r="F117" s="3118">
        <v>15</v>
      </c>
    </row>
    <row r="118" spans="1:6" ht="24">
      <c r="A118" s="3118">
        <v>46</v>
      </c>
      <c r="B118" s="3833" t="s">
        <v>2741</v>
      </c>
      <c r="C118" s="3118" t="s">
        <v>2742</v>
      </c>
      <c r="D118" s="3092" t="s">
        <v>2743</v>
      </c>
      <c r="E118" s="3118">
        <v>0.1</v>
      </c>
      <c r="F118" s="3118">
        <v>15</v>
      </c>
    </row>
    <row r="119" spans="1:6" ht="24">
      <c r="A119" s="3118">
        <v>47</v>
      </c>
      <c r="B119" s="3834"/>
      <c r="C119" s="3118" t="s">
        <v>2744</v>
      </c>
      <c r="D119" s="3092" t="s">
        <v>2745</v>
      </c>
      <c r="E119" s="3118">
        <v>0.1</v>
      </c>
      <c r="F119" s="3118">
        <v>15</v>
      </c>
    </row>
    <row r="120" spans="1:6" ht="13.5">
      <c r="A120" s="3118">
        <v>48</v>
      </c>
      <c r="B120" s="3833" t="s">
        <v>2746</v>
      </c>
      <c r="C120" s="3118" t="s">
        <v>2747</v>
      </c>
      <c r="D120" s="3092" t="s">
        <v>2748</v>
      </c>
      <c r="E120" s="3118">
        <v>0.1</v>
      </c>
      <c r="F120" s="3118">
        <v>15</v>
      </c>
    </row>
    <row r="121" spans="1:6" ht="13.5">
      <c r="A121" s="3118">
        <v>49</v>
      </c>
      <c r="B121" s="3834"/>
      <c r="C121" s="3118" t="s">
        <v>2749</v>
      </c>
      <c r="D121" s="3092" t="s">
        <v>2750</v>
      </c>
      <c r="E121" s="3118">
        <v>0.1</v>
      </c>
      <c r="F121" s="3118">
        <v>15</v>
      </c>
    </row>
    <row r="122" spans="1:6" ht="24">
      <c r="A122" s="3118">
        <v>50</v>
      </c>
      <c r="B122" s="3832" t="s">
        <v>2751</v>
      </c>
      <c r="C122" s="3118" t="s">
        <v>2752</v>
      </c>
      <c r="D122" s="3092" t="s">
        <v>2753</v>
      </c>
      <c r="E122" s="3118">
        <v>0.1</v>
      </c>
      <c r="F122" s="3118">
        <v>15</v>
      </c>
    </row>
    <row r="123" spans="1:6" ht="24">
      <c r="A123" s="3118">
        <v>51</v>
      </c>
      <c r="B123" s="3832"/>
      <c r="C123" s="3118" t="s">
        <v>2754</v>
      </c>
      <c r="D123" s="3092" t="s">
        <v>2755</v>
      </c>
      <c r="E123" s="3118">
        <v>0.1</v>
      </c>
      <c r="F123" s="3118">
        <v>15</v>
      </c>
    </row>
    <row r="124" spans="1:6" ht="24">
      <c r="A124" s="3118">
        <v>52</v>
      </c>
      <c r="B124" s="3832" t="s">
        <v>2756</v>
      </c>
      <c r="C124" s="3118" t="s">
        <v>2757</v>
      </c>
      <c r="D124" s="3092" t="s">
        <v>2758</v>
      </c>
      <c r="E124" s="3118">
        <v>0.1</v>
      </c>
      <c r="F124" s="3118">
        <v>15</v>
      </c>
    </row>
    <row r="125" spans="1:6" ht="24">
      <c r="A125" s="3118">
        <v>53</v>
      </c>
      <c r="B125" s="3832"/>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832" t="s">
        <v>2764</v>
      </c>
      <c r="C127" s="3118" t="s">
        <v>2765</v>
      </c>
      <c r="D127" s="3092" t="s">
        <v>2766</v>
      </c>
      <c r="E127" s="3118">
        <v>0.1</v>
      </c>
      <c r="F127" s="3118">
        <v>15</v>
      </c>
    </row>
    <row r="128" spans="1:6" ht="13.5">
      <c r="A128" s="3118">
        <v>56</v>
      </c>
      <c r="B128" s="3832"/>
      <c r="C128" s="3118" t="s">
        <v>2767</v>
      </c>
      <c r="D128" s="3092" t="s">
        <v>2768</v>
      </c>
      <c r="E128" s="3118">
        <v>0.1</v>
      </c>
      <c r="F128" s="3118">
        <v>15</v>
      </c>
    </row>
    <row r="129" spans="1:6" ht="24">
      <c r="A129" s="3118">
        <v>57</v>
      </c>
      <c r="B129" s="3832"/>
      <c r="C129" s="3118" t="s">
        <v>2769</v>
      </c>
      <c r="D129" s="3092" t="s">
        <v>2770</v>
      </c>
      <c r="E129" s="3118">
        <v>0.1</v>
      </c>
      <c r="F129" s="3118">
        <v>15</v>
      </c>
    </row>
    <row r="130" spans="1:6" ht="24">
      <c r="A130" s="3118">
        <v>58</v>
      </c>
      <c r="B130" s="3832" t="s">
        <v>2771</v>
      </c>
      <c r="C130" s="3118" t="s">
        <v>2772</v>
      </c>
      <c r="D130" s="3092" t="s">
        <v>2773</v>
      </c>
      <c r="E130" s="3118">
        <v>0.1</v>
      </c>
      <c r="F130" s="3118">
        <v>15</v>
      </c>
    </row>
    <row r="131" spans="1:6" ht="13.5">
      <c r="A131" s="3118">
        <v>59</v>
      </c>
      <c r="B131" s="3832"/>
      <c r="C131" s="3118" t="s">
        <v>2774</v>
      </c>
      <c r="D131" s="3092" t="s">
        <v>2775</v>
      </c>
      <c r="E131" s="3118">
        <v>0.1</v>
      </c>
      <c r="F131" s="3118">
        <v>15</v>
      </c>
    </row>
    <row r="132" spans="1:6" ht="13.5">
      <c r="A132" s="3118">
        <v>60</v>
      </c>
      <c r="B132" s="3833" t="s">
        <v>2776</v>
      </c>
      <c r="C132" s="3118" t="s">
        <v>2777</v>
      </c>
      <c r="D132" s="3092" t="s">
        <v>2778</v>
      </c>
      <c r="E132" s="3118">
        <v>0.1</v>
      </c>
      <c r="F132" s="3118">
        <v>15</v>
      </c>
    </row>
    <row r="133" spans="1:6" ht="13.5">
      <c r="A133" s="3118">
        <v>61</v>
      </c>
      <c r="B133" s="3834"/>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832" t="s">
        <v>2784</v>
      </c>
      <c r="C135" s="3118" t="s">
        <v>2785</v>
      </c>
      <c r="D135" s="3092" t="s">
        <v>2786</v>
      </c>
      <c r="E135" s="3118">
        <v>0.1</v>
      </c>
      <c r="F135" s="3118">
        <v>15</v>
      </c>
    </row>
    <row r="136" spans="1:6" ht="13.5">
      <c r="A136" s="3118">
        <v>64</v>
      </c>
      <c r="B136" s="3832"/>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1.1748000000000001</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1.1174999999999999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72773</v>
      </c>
      <c r="C2" s="2" t="s">
        <v>106</v>
      </c>
      <c r="D2" s="199"/>
      <c r="E2" s="199"/>
      <c r="F2" s="199"/>
      <c r="G2" s="199"/>
    </row>
    <row r="3" spans="1:7" s="200" customFormat="1" ht="18" customHeight="1" thickBot="1">
      <c r="A3" s="203" t="s">
        <v>58</v>
      </c>
      <c r="B3" s="204">
        <f ca="1">ROUND(B2*10000/'数据-汇总表'!E3,0)</f>
        <v>10154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1433</v>
      </c>
      <c r="D10" s="845">
        <f>'数据-汇总表'!E6</f>
        <v>71671.429999999993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1433</v>
      </c>
      <c r="D19" s="849">
        <f>'数据-汇总表'!E3</f>
        <v>71671.429999999993</v>
      </c>
      <c r="E19" s="211">
        <f>'数据-取费表'!B31</f>
        <v>200</v>
      </c>
      <c r="F19" s="231"/>
      <c r="G19" s="1" t="s">
        <v>436</v>
      </c>
    </row>
    <row r="20" spans="1:7" s="214" customFormat="1" ht="13.5" customHeight="1">
      <c r="A20" s="777" t="s">
        <v>419</v>
      </c>
      <c r="B20" s="210" t="s">
        <v>77</v>
      </c>
      <c r="C20" s="232">
        <f>ROUND((C5+C19)*F20,0)</f>
        <v>441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2248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2248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35836</v>
      </c>
      <c r="D34" s="217"/>
      <c r="E34" s="220"/>
      <c r="F34" s="257">
        <f>IF('数据-取费表'!B24=0,1,'数据-取费表'!N16)</f>
        <v>1</v>
      </c>
      <c r="G34" s="219" t="s">
        <v>89</v>
      </c>
    </row>
    <row r="35" spans="1:7" ht="13.5" customHeight="1">
      <c r="A35" s="780" t="s">
        <v>351</v>
      </c>
      <c r="B35" s="215" t="s">
        <v>33</v>
      </c>
      <c r="C35" s="220">
        <f>ROUND(C34*F35,0)</f>
        <v>1075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1433</v>
      </c>
      <c r="D37" s="217">
        <f>'数据-汇总表'!E3</f>
        <v>71671.429999999993</v>
      </c>
      <c r="E37" s="249">
        <f>'数据-取费表'!B35</f>
        <v>200</v>
      </c>
      <c r="F37" s="259"/>
      <c r="G37" s="261" t="s">
        <v>92</v>
      </c>
    </row>
    <row r="38" spans="1:7" ht="13.5" customHeight="1">
      <c r="A38" s="780" t="s">
        <v>354</v>
      </c>
      <c r="B38" s="215" t="s">
        <v>36</v>
      </c>
      <c r="C38" s="220">
        <f>ROUND(C34*F38,0)</f>
        <v>538</v>
      </c>
      <c r="D38" s="220"/>
      <c r="E38" s="220"/>
      <c r="F38" s="259">
        <f>'数据-取费表'!B36</f>
        <v>1.4999999999999999E-2</v>
      </c>
      <c r="G38" s="219" t="s">
        <v>90</v>
      </c>
    </row>
    <row r="39" spans="1:7" s="214" customFormat="1" ht="13.5" customHeight="1">
      <c r="A39" s="777" t="s">
        <v>338</v>
      </c>
      <c r="B39" s="210" t="s">
        <v>77</v>
      </c>
      <c r="C39" s="232">
        <f>ROUND(C33*F20,0)</f>
        <v>778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1368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1341</v>
      </c>
      <c r="D42" s="238"/>
      <c r="E42" s="238"/>
      <c r="F42" s="239"/>
      <c r="G42" s="3706" t="s">
        <v>94</v>
      </c>
    </row>
    <row r="43" spans="1:7" ht="13.5" customHeight="1">
      <c r="A43" s="780" t="s">
        <v>347</v>
      </c>
      <c r="B43" s="215" t="s">
        <v>426</v>
      </c>
      <c r="C43" s="238">
        <f ca="1">ROUND(IF('数据-取费表'!B22&lt;=1,C39*F22*'数据-取费表'!B21/2,C39*(POWER((1+F22),'数据-取费表'!B21/2)-1)),0)</f>
        <v>27</v>
      </c>
      <c r="D43" s="238"/>
      <c r="E43" s="238"/>
      <c r="F43" s="239"/>
      <c r="G43" s="3707"/>
    </row>
    <row r="44" spans="1:7" ht="13.5" customHeight="1">
      <c r="A44" s="780" t="s">
        <v>348</v>
      </c>
      <c r="B44" s="215" t="s">
        <v>428</v>
      </c>
      <c r="C44" s="238">
        <f ca="1">ROUND(IF('数据-取费表'!B22&lt;=1,C40*F22*'数据-取费表'!B21/2,C40*(POWER((1+F22),'数据-取费表'!B21/2)-1)),4)</f>
        <v>6.9999999999999999E-4</v>
      </c>
      <c r="D44" s="238"/>
      <c r="E44" s="238"/>
      <c r="F44" s="239"/>
      <c r="G44" s="3708"/>
    </row>
    <row r="45" spans="1:7" s="214" customFormat="1" ht="13.5" customHeight="1">
      <c r="A45" s="777" t="s">
        <v>341</v>
      </c>
      <c r="B45" s="244" t="s">
        <v>85</v>
      </c>
      <c r="C45" s="245">
        <f>C46</f>
        <v>3966</v>
      </c>
      <c r="D45" s="235">
        <f>C47</f>
        <v>2E-3</v>
      </c>
      <c r="E45" s="236" t="s">
        <v>102</v>
      </c>
      <c r="F45" s="246"/>
      <c r="G45" s="247" t="s">
        <v>434</v>
      </c>
    </row>
    <row r="46" spans="1:7" s="214" customFormat="1" ht="13.5" customHeight="1">
      <c r="A46" s="780" t="s">
        <v>349</v>
      </c>
      <c r="B46" s="248" t="s">
        <v>427</v>
      </c>
      <c r="C46" s="249">
        <f>ROUND((C33+C39)*F27,0)</f>
        <v>3966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48697</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44314</v>
      </c>
      <c r="D51" s="232"/>
      <c r="E51" s="232"/>
      <c r="F51" s="264"/>
      <c r="G51" s="234" t="s">
        <v>37</v>
      </c>
    </row>
    <row r="52" spans="1:7" s="208" customFormat="1" ht="16.5" thickBot="1">
      <c r="A52" s="265" t="s">
        <v>38</v>
      </c>
      <c r="B52" s="266"/>
      <c r="C52" s="267">
        <f ca="1">C31+C51</f>
        <v>72773</v>
      </c>
      <c r="D52" s="266"/>
      <c r="E52" s="266"/>
      <c r="F52" s="266"/>
      <c r="G52" s="268"/>
    </row>
    <row r="55" spans="1:7" ht="15">
      <c r="B55" s="270" t="s">
        <v>39</v>
      </c>
      <c r="C55" s="271"/>
    </row>
    <row r="56" spans="1:7">
      <c r="B56" s="273" t="s">
        <v>40</v>
      </c>
      <c r="C56" s="274">
        <f ca="1">ROUND(C51/C52,3)</f>
        <v>0.60899999999999999</v>
      </c>
    </row>
    <row r="57" spans="1:7">
      <c r="B57" s="273" t="s">
        <v>41</v>
      </c>
      <c r="C57" s="275">
        <f ca="1">1-C56</f>
        <v>0.39100000000000001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93"/>
      <c r="B4" s="3527" t="s">
        <v>917</v>
      </c>
      <c r="C4" s="3527"/>
      <c r="D4" s="3527"/>
      <c r="E4" s="1493"/>
    </row>
    <row r="5" spans="1:5" ht="16.5" thickTop="1">
      <c r="A5" s="1491"/>
      <c r="B5" s="3525" t="s">
        <v>909</v>
      </c>
      <c r="C5" s="1494" t="s">
        <v>910</v>
      </c>
      <c r="D5" s="850">
        <f ca="1">结果表!H101</f>
        <v>80297</v>
      </c>
      <c r="E5" s="1491"/>
    </row>
    <row r="6" spans="1:5" ht="15.75">
      <c r="A6" s="1491"/>
      <c r="B6" s="3525"/>
      <c r="C6" s="1494" t="s">
        <v>911</v>
      </c>
      <c r="D6" s="850" t="str">
        <f ca="1">NUMBERSTRING(INT(D5*10000),2)&amp;"元整"</f>
        <v>捌亿零贰佰玖拾柒万元整</v>
      </c>
      <c r="E6" s="1491"/>
    </row>
    <row r="7" spans="1:5" ht="15.75">
      <c r="A7" s="1491"/>
      <c r="B7" s="3530"/>
      <c r="C7" s="1495" t="s">
        <v>912</v>
      </c>
      <c r="D7" s="851">
        <f ca="1">结果表!H102</f>
        <v>11203</v>
      </c>
      <c r="E7" s="1491"/>
    </row>
    <row r="8" spans="1:5" ht="15.75">
      <c r="A8" s="1491"/>
      <c r="B8" s="3531" t="str">
        <f>结果表!E103</f>
        <v>2.估价师知悉的法定优先受偿款</v>
      </c>
      <c r="C8" s="1496" t="s">
        <v>913</v>
      </c>
      <c r="D8" s="851">
        <f>结果表!H103</f>
        <v>0</v>
      </c>
      <c r="E8" s="1491"/>
    </row>
    <row r="9" spans="1:5" ht="15.75">
      <c r="A9" s="1491"/>
      <c r="B9" s="353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4" t="str">
        <f>结果表!E107</f>
        <v>3.房地产抵押价值</v>
      </c>
      <c r="C13" s="1499" t="s">
        <v>910</v>
      </c>
      <c r="D13" s="853">
        <f ca="1">结果表!H107</f>
        <v>80297</v>
      </c>
      <c r="E13" s="1491"/>
    </row>
    <row r="14" spans="1:5" ht="15.75">
      <c r="A14" s="1491"/>
      <c r="B14" s="3525"/>
      <c r="C14" s="1494" t="s">
        <v>911</v>
      </c>
      <c r="D14" s="850" t="str">
        <f ca="1">NUMBERSTRING(INT(D13*10000),2)&amp;"元整"</f>
        <v>捌亿零贰佰玖拾柒万元整</v>
      </c>
      <c r="E14" s="1491"/>
    </row>
    <row r="15" spans="1:5" ht="15">
      <c r="A15" s="1491"/>
      <c r="B15" s="3530"/>
      <c r="C15" s="1495" t="s">
        <v>921</v>
      </c>
      <c r="D15" s="859">
        <f ca="1">结果表!H108</f>
        <v>11203</v>
      </c>
      <c r="E15" s="1491"/>
    </row>
    <row r="16" spans="1:5" ht="15">
      <c r="A16" s="1491"/>
      <c r="B16" s="3531" t="str">
        <f>结果表!E109</f>
        <v>4.抵押担保权已注销时的房地产抵押价值</v>
      </c>
      <c r="C16" s="1499" t="s">
        <v>922</v>
      </c>
      <c r="D16" s="1500">
        <f ca="1">结果表!H109</f>
        <v>80297</v>
      </c>
      <c r="E16" s="1491"/>
    </row>
    <row r="17" spans="1:5" ht="15.75">
      <c r="A17" s="1491"/>
      <c r="B17" s="3532"/>
      <c r="C17" s="1494" t="s">
        <v>923</v>
      </c>
      <c r="D17" s="850" t="str">
        <f ca="1">NUMBERSTRING(INT(D16*10000),2)&amp;"元整"</f>
        <v>捌亿零贰佰玖拾柒万元整</v>
      </c>
      <c r="E17" s="1491"/>
    </row>
    <row r="18" spans="1:5" ht="15">
      <c r="A18" s="1491"/>
      <c r="B18" s="3533"/>
      <c r="C18" s="1495" t="s">
        <v>912</v>
      </c>
      <c r="D18" s="859">
        <f ca="1">结果表!H110</f>
        <v>11203</v>
      </c>
      <c r="E18" s="1491"/>
    </row>
    <row r="19" spans="1:5" ht="15.75">
      <c r="A19" s="1491"/>
      <c r="B19" s="3524" t="str">
        <f>结果表!E111</f>
        <v>——</v>
      </c>
      <c r="C19" s="1499" t="s">
        <v>910</v>
      </c>
      <c r="D19" s="851" t="str">
        <f>结果表!H111</f>
        <v>——</v>
      </c>
      <c r="E19" s="1491"/>
    </row>
    <row r="20" spans="1:5" ht="15.75">
      <c r="A20" s="1491"/>
      <c r="B20" s="3525"/>
      <c r="C20" s="1494" t="s">
        <v>923</v>
      </c>
      <c r="D20" s="850" t="e">
        <f>NUMBERSTRING(INT(D19*10000),2)&amp;"元整"</f>
        <v>#VALUE!</v>
      </c>
      <c r="E20" s="1491"/>
    </row>
    <row r="21" spans="1:5" ht="15.75" thickBot="1">
      <c r="A21" s="1491"/>
      <c r="B21" s="352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46" t="s">
        <v>2834</v>
      </c>
      <c r="B1" s="3846"/>
      <c r="C1" s="3846"/>
      <c r="D1" s="3846"/>
      <c r="E1" s="3846"/>
      <c r="F1" s="3846"/>
      <c r="G1" s="3847"/>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44"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845"/>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8" t="s">
        <v>3176</v>
      </c>
      <c r="B1" s="3848"/>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49" t="s">
        <v>3227</v>
      </c>
      <c r="B1" s="3849"/>
      <c r="C1" s="3849"/>
      <c r="D1" s="3849"/>
      <c r="E1" s="3849"/>
      <c r="F1" s="3850"/>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45245</v>
      </c>
      <c r="B1" s="3210" t="s">
        <v>3367</v>
      </c>
      <c r="C1" s="3211"/>
      <c r="D1" s="3211"/>
      <c r="E1" s="3211"/>
      <c r="F1" s="3211"/>
      <c r="G1" s="3211"/>
      <c r="H1" s="3211"/>
      <c r="I1" s="3211"/>
      <c r="J1" s="3165"/>
      <c r="K1" s="3211" t="s">
        <v>454</v>
      </c>
      <c r="L1" s="3211"/>
      <c r="M1" s="3211"/>
      <c r="N1" s="3211"/>
      <c r="O1" s="3211"/>
      <c r="P1" s="3211"/>
      <c r="Q1" s="3165"/>
      <c r="R1" s="3851" t="s">
        <v>456</v>
      </c>
      <c r="S1" s="3852"/>
      <c r="T1" s="3852"/>
      <c r="U1" s="3852"/>
      <c r="V1" s="3852"/>
      <c r="W1" s="3852"/>
      <c r="X1" s="3165"/>
      <c r="Y1" s="3851" t="s">
        <v>457</v>
      </c>
      <c r="Z1" s="3852"/>
      <c r="AA1" s="3852"/>
      <c r="AB1" s="3852"/>
      <c r="AC1" s="3852"/>
      <c r="AD1" s="3852"/>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3371</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3372</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3373</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3365</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3366</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3364</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3363</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3359</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3350</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3361</v>
      </c>
    </row>
    <row r="21" spans="1:30" s="3009" customFormat="1">
      <c r="I21" s="3208" t="s">
        <v>2820</v>
      </c>
    </row>
    <row r="22" spans="1:30" s="3009" customFormat="1"/>
    <row r="23" spans="1:30" s="3209" customFormat="1" ht="12.75">
      <c r="B23" s="3210" t="s">
        <v>3368</v>
      </c>
      <c r="C23" s="3211"/>
      <c r="D23" s="3211"/>
      <c r="E23" s="3211"/>
      <c r="F23" s="3211"/>
      <c r="G23" s="3211"/>
      <c r="H23" s="3211"/>
      <c r="I23" s="3211"/>
      <c r="J23" s="3165"/>
      <c r="K23" s="3211" t="s">
        <v>2821</v>
      </c>
      <c r="L23" s="3211"/>
      <c r="M23" s="3211"/>
      <c r="N23" s="3211"/>
      <c r="O23" s="3211"/>
      <c r="P23" s="3211"/>
      <c r="Q23" s="3165"/>
      <c r="R23" s="3851" t="s">
        <v>2822</v>
      </c>
      <c r="S23" s="3852"/>
      <c r="T23" s="3852"/>
      <c r="U23" s="3852"/>
      <c r="V23" s="3852"/>
      <c r="W23" s="3852"/>
      <c r="X23" s="3165"/>
      <c r="Y23" s="3851" t="s">
        <v>2823</v>
      </c>
      <c r="Z23" s="3852"/>
      <c r="AA23" s="3852"/>
      <c r="AB23" s="3852"/>
      <c r="AC23" s="3852"/>
      <c r="AD23" s="3852"/>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3371</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3372</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3373</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3369</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3370</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3364</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3363</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3360</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3350</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8" t="s">
        <v>452</v>
      </c>
      <c r="C1" s="3858"/>
      <c r="D1" s="3858"/>
      <c r="E1" s="3858"/>
      <c r="F1" s="3858"/>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J14" sqref="J14"/>
    </sheetView>
  </sheetViews>
  <sheetFormatPr defaultRowHeight="13.5"/>
  <cols>
    <col min="3" max="3" width="10.125" bestFit="1" customWidth="1"/>
    <col min="4" max="4" width="12.875" bestFit="1" customWidth="1"/>
    <col min="7" max="7" width="14.875" bestFit="1" customWidth="1"/>
    <col min="11" max="11" width="12.875" bestFit="1" customWidth="1"/>
    <col min="12" max="12" width="11.125" bestFit="1" customWidth="1"/>
    <col min="14" max="14" width="10.125" bestFit="1" customWidth="1"/>
  </cols>
  <sheetData>
    <row r="1" spans="1:13">
      <c r="A1" s="3449" t="s">
        <v>3379</v>
      </c>
      <c r="B1" s="3450" t="s">
        <v>3380</v>
      </c>
      <c r="C1" s="3450" t="s">
        <v>3381</v>
      </c>
      <c r="D1" s="3450" t="s">
        <v>3382</v>
      </c>
      <c r="E1" s="3450" t="s">
        <v>3383</v>
      </c>
      <c r="F1" s="3450" t="s">
        <v>3384</v>
      </c>
      <c r="G1" s="3450" t="s">
        <v>3385</v>
      </c>
      <c r="I1" s="3451" t="s">
        <v>3386</v>
      </c>
      <c r="J1" s="3451" t="s">
        <v>3387</v>
      </c>
      <c r="K1" s="3451" t="s">
        <v>3388</v>
      </c>
      <c r="L1" s="3452" t="s">
        <v>3389</v>
      </c>
      <c r="M1" s="3452" t="s">
        <v>3390</v>
      </c>
    </row>
    <row r="2" spans="1:13" ht="54">
      <c r="A2" s="3453">
        <v>1</v>
      </c>
      <c r="B2" s="3454" t="s">
        <v>3391</v>
      </c>
      <c r="C2" s="3455">
        <v>22583.56</v>
      </c>
      <c r="D2" s="3455">
        <f>C2-E2</f>
        <v>18819.63</v>
      </c>
      <c r="E2" s="3456">
        <f>ROUND(C2/H2,2)</f>
        <v>3763.93</v>
      </c>
      <c r="F2" s="3457" t="s">
        <v>3392</v>
      </c>
      <c r="G2" s="3454" t="s">
        <v>3393</v>
      </c>
      <c r="H2" s="3457">
        <v>6</v>
      </c>
      <c r="I2" s="3458">
        <v>2019</v>
      </c>
      <c r="J2" s="3520">
        <f t="shared" ref="J2:J7" si="0">ROUND(1-(2023-I2)/50,2)</f>
        <v>0.92</v>
      </c>
      <c r="K2" s="3864">
        <f>SUM(C2:C5)</f>
        <v>50693.11</v>
      </c>
      <c r="L2" s="3866">
        <f ca="1">ROUND((K2/C8*结果表!G19),0)</f>
        <v>56794</v>
      </c>
      <c r="M2" s="3867">
        <f ca="1">ROUND((K2/C8*结果表!N59),0)</f>
        <v>51339</v>
      </c>
    </row>
    <row r="3" spans="1:13">
      <c r="A3" s="3453">
        <v>2</v>
      </c>
      <c r="B3" s="3455" t="s">
        <v>3394</v>
      </c>
      <c r="C3" s="3455">
        <v>16022.53</v>
      </c>
      <c r="D3" s="3455">
        <f t="shared" ref="D3:D7" si="1">C3-E3</f>
        <v>16022.53</v>
      </c>
      <c r="E3" s="3456"/>
      <c r="F3" s="3457">
        <v>3</v>
      </c>
      <c r="G3" s="3455" t="s">
        <v>3395</v>
      </c>
      <c r="H3" s="3457">
        <v>3</v>
      </c>
      <c r="I3" s="3458">
        <v>2019</v>
      </c>
      <c r="J3" s="3520">
        <f t="shared" si="0"/>
        <v>0.92</v>
      </c>
      <c r="K3" s="3865"/>
      <c r="L3" s="3866"/>
      <c r="M3" s="3867"/>
    </row>
    <row r="4" spans="1:13">
      <c r="A4" s="3453">
        <v>3</v>
      </c>
      <c r="B4" s="3455" t="s">
        <v>3396</v>
      </c>
      <c r="C4" s="3455">
        <v>4865.5200000000004</v>
      </c>
      <c r="D4" s="3455">
        <f t="shared" si="1"/>
        <v>4054.6000000000004</v>
      </c>
      <c r="E4" s="3456">
        <f t="shared" ref="E4:E7" si="2">ROUND(C4/H4,2)</f>
        <v>810.92</v>
      </c>
      <c r="F4" s="3457" t="s">
        <v>3397</v>
      </c>
      <c r="G4" s="3455" t="s">
        <v>3398</v>
      </c>
      <c r="H4" s="3457">
        <v>6</v>
      </c>
      <c r="I4" s="3458">
        <v>2019</v>
      </c>
      <c r="J4" s="3520">
        <f t="shared" si="0"/>
        <v>0.92</v>
      </c>
      <c r="K4" s="3865"/>
      <c r="L4" s="3866"/>
      <c r="M4" s="3867"/>
    </row>
    <row r="5" spans="1:13">
      <c r="A5" s="3453">
        <v>4</v>
      </c>
      <c r="B5" s="3455" t="s">
        <v>3399</v>
      </c>
      <c r="C5" s="3455">
        <v>7221.5</v>
      </c>
      <c r="D5" s="3455">
        <f t="shared" si="1"/>
        <v>6017.92</v>
      </c>
      <c r="E5" s="3456">
        <f t="shared" si="2"/>
        <v>1203.58</v>
      </c>
      <c r="F5" s="3457" t="s">
        <v>3397</v>
      </c>
      <c r="G5" s="3455" t="s">
        <v>3400</v>
      </c>
      <c r="H5" s="3457">
        <v>6</v>
      </c>
      <c r="I5" s="3458">
        <v>2019</v>
      </c>
      <c r="J5" s="3520">
        <f t="shared" si="0"/>
        <v>0.92</v>
      </c>
      <c r="K5" s="3865"/>
      <c r="L5" s="3866"/>
      <c r="M5" s="3867"/>
    </row>
    <row r="6" spans="1:13">
      <c r="A6" s="3459">
        <v>5</v>
      </c>
      <c r="B6" s="3460" t="s">
        <v>3401</v>
      </c>
      <c r="C6" s="3460">
        <v>13721.94</v>
      </c>
      <c r="D6" s="3460">
        <f t="shared" si="1"/>
        <v>11761.66</v>
      </c>
      <c r="E6" s="3461">
        <f t="shared" si="2"/>
        <v>1960.28</v>
      </c>
      <c r="F6" s="3462" t="s">
        <v>3402</v>
      </c>
      <c r="G6" s="3460" t="s">
        <v>3403</v>
      </c>
      <c r="H6" s="3462">
        <v>7</v>
      </c>
      <c r="I6" s="3463">
        <v>2018</v>
      </c>
      <c r="J6" s="3521">
        <f t="shared" si="0"/>
        <v>0.9</v>
      </c>
      <c r="K6" s="3868">
        <f>SUM(C6:C7)</f>
        <v>20978.32</v>
      </c>
      <c r="L6" s="3870">
        <f ca="1">ROUND((K6/C8*结果表!G19),0)</f>
        <v>23503</v>
      </c>
      <c r="M6" s="3867">
        <f ca="1">ROUND((K6/C8*结果表!N59),0)</f>
        <v>21245</v>
      </c>
    </row>
    <row r="7" spans="1:13">
      <c r="A7" s="3459">
        <v>6</v>
      </c>
      <c r="B7" s="3460" t="s">
        <v>3404</v>
      </c>
      <c r="C7" s="3460">
        <v>7256.38</v>
      </c>
      <c r="D7" s="3460">
        <f t="shared" si="1"/>
        <v>6046.98</v>
      </c>
      <c r="E7" s="3461">
        <f t="shared" si="2"/>
        <v>1209.4000000000001</v>
      </c>
      <c r="F7" s="3462" t="s">
        <v>3397</v>
      </c>
      <c r="G7" s="3460" t="s">
        <v>3405</v>
      </c>
      <c r="H7" s="3462">
        <v>6</v>
      </c>
      <c r="I7" s="3463">
        <v>2018</v>
      </c>
      <c r="J7" s="3521">
        <f t="shared" si="0"/>
        <v>0.9</v>
      </c>
      <c r="K7" s="3869"/>
      <c r="L7" s="3870"/>
      <c r="M7" s="3867"/>
    </row>
    <row r="8" spans="1:13">
      <c r="A8" s="3464"/>
      <c r="B8" s="3450" t="s">
        <v>3406</v>
      </c>
      <c r="C8" s="3450">
        <f>SUM(C2:C7)</f>
        <v>71671.430000000008</v>
      </c>
      <c r="D8" s="3450">
        <f>SUM(D2:D7)</f>
        <v>62723.319999999992</v>
      </c>
      <c r="E8" s="3465">
        <f>SUM(E2:E7)</f>
        <v>8948.1099999999988</v>
      </c>
      <c r="F8" s="3450"/>
      <c r="G8" s="3450"/>
      <c r="J8" s="3466">
        <f>ROUND((J2*C2+J3*C3+J4*C4+J5*C5+J6*C6+J7*C7)/C8,2)</f>
        <v>0.91</v>
      </c>
      <c r="L8" s="3450">
        <f ca="1">SUM(L2:L7)</f>
        <v>80297</v>
      </c>
      <c r="M8" s="3467">
        <f ca="1">M2+M6</f>
        <v>72584</v>
      </c>
    </row>
    <row r="9" spans="1:13">
      <c r="A9" s="3254"/>
      <c r="B9" s="3468" t="s">
        <v>3407</v>
      </c>
      <c r="C9" s="3468"/>
      <c r="D9" s="3468">
        <v>49786</v>
      </c>
      <c r="E9" s="3468"/>
      <c r="F9" s="3468"/>
      <c r="G9" s="3468"/>
    </row>
    <row r="10" spans="1:13">
      <c r="A10" s="3254"/>
      <c r="B10" s="3468" t="s">
        <v>3408</v>
      </c>
      <c r="C10" s="3468"/>
      <c r="D10" s="3468">
        <f>D8/D9</f>
        <v>1.2598585947856826</v>
      </c>
      <c r="E10" s="3468"/>
      <c r="F10" s="3468"/>
      <c r="G10" s="3468"/>
    </row>
    <row r="11" spans="1:13">
      <c r="B11" s="3468"/>
      <c r="C11" s="3468"/>
      <c r="D11" s="3468"/>
      <c r="E11" s="3468"/>
      <c r="F11" s="3468"/>
      <c r="G11" s="3468"/>
    </row>
    <row r="17" spans="3:10">
      <c r="C17" s="3511"/>
      <c r="D17" s="3511"/>
      <c r="E17" s="3511"/>
      <c r="F17" s="3511"/>
      <c r="G17" s="3511"/>
      <c r="H17" s="3511"/>
      <c r="I17" s="3511"/>
      <c r="J17" s="3511"/>
    </row>
    <row r="18" spans="3:10">
      <c r="C18" s="3511"/>
      <c r="D18" s="3512"/>
      <c r="E18" s="3513"/>
      <c r="F18" s="3512"/>
      <c r="G18" s="3513"/>
      <c r="H18" s="3512"/>
      <c r="I18" s="3511"/>
      <c r="J18" s="3511"/>
    </row>
    <row r="19" spans="3:10">
      <c r="C19" s="3511"/>
      <c r="D19" s="3514"/>
      <c r="E19" s="3515"/>
      <c r="F19" s="3512"/>
      <c r="G19" s="3513"/>
      <c r="H19" s="3516"/>
      <c r="I19" s="3511"/>
      <c r="J19" s="3511"/>
    </row>
    <row r="20" spans="3:10">
      <c r="C20" s="3511"/>
      <c r="D20" s="3514"/>
      <c r="E20" s="3513"/>
      <c r="F20" s="3512"/>
      <c r="G20" s="3513"/>
      <c r="H20" s="3516"/>
      <c r="I20" s="3511"/>
      <c r="J20" s="3511"/>
    </row>
    <row r="21" spans="3:10">
      <c r="C21" s="3511"/>
      <c r="D21" s="3514"/>
      <c r="E21" s="3513"/>
      <c r="F21" s="3512"/>
      <c r="G21" s="3513"/>
      <c r="H21" s="3516"/>
      <c r="I21" s="3511"/>
      <c r="J21" s="3511"/>
    </row>
    <row r="22" spans="3:10">
      <c r="C22" s="3511"/>
      <c r="D22" s="3514"/>
      <c r="E22" s="3513"/>
      <c r="F22" s="3512"/>
      <c r="G22" s="3513"/>
      <c r="H22" s="3516"/>
      <c r="I22" s="3511"/>
      <c r="J22" s="3511"/>
    </row>
    <row r="23" spans="3:10">
      <c r="C23" s="3511"/>
      <c r="D23" s="3514"/>
      <c r="E23" s="3513"/>
      <c r="F23" s="3512"/>
      <c r="G23" s="3513"/>
      <c r="H23" s="3516"/>
      <c r="I23" s="3511"/>
      <c r="J23" s="3511"/>
    </row>
    <row r="24" spans="3:10">
      <c r="C24" s="3511"/>
      <c r="D24" s="3514"/>
      <c r="E24" s="3513"/>
      <c r="F24" s="3512"/>
      <c r="G24" s="3513"/>
      <c r="H24" s="3516"/>
      <c r="I24" s="3511"/>
      <c r="J24" s="3511"/>
    </row>
    <row r="25" spans="3:10">
      <c r="C25" s="3511"/>
      <c r="D25" s="3514"/>
      <c r="E25" s="3513"/>
      <c r="F25" s="3512"/>
      <c r="G25" s="3513"/>
      <c r="H25" s="3516"/>
      <c r="I25" s="3511"/>
      <c r="J25" s="3511"/>
    </row>
    <row r="26" spans="3:10">
      <c r="C26" s="3511"/>
      <c r="D26" s="3511"/>
      <c r="E26" s="3511"/>
      <c r="F26" s="3511"/>
      <c r="G26" s="3511"/>
      <c r="H26" s="3511"/>
      <c r="I26" s="3511"/>
      <c r="J26" s="3511"/>
    </row>
  </sheetData>
  <mergeCells count="6">
    <mergeCell ref="K2:K5"/>
    <mergeCell ref="L2:L5"/>
    <mergeCell ref="M2:M5"/>
    <mergeCell ref="K6:K7"/>
    <mergeCell ref="L6:L7"/>
    <mergeCell ref="M6:M7"/>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topLeftCell="A13" zoomScale="115" zoomScaleNormal="115" workbookViewId="0">
      <selection activeCell="D11" sqref="D11:G21"/>
    </sheetView>
  </sheetViews>
  <sheetFormatPr defaultRowHeight="13.5"/>
  <cols>
    <col min="1" max="1" width="9" style="3482"/>
    <col min="2" max="2" width="12.75" style="3494" bestFit="1" customWidth="1"/>
    <col min="3" max="3" width="28.25" style="3482" bestFit="1" customWidth="1"/>
    <col min="4" max="4" width="9" style="3494"/>
    <col min="5" max="5" width="10.625" style="3482" bestFit="1" customWidth="1"/>
    <col min="6" max="6" width="11.625" style="3482" bestFit="1" customWidth="1"/>
    <col min="7" max="7" width="9" style="3482"/>
    <col min="8" max="8" width="12.75" style="3482" bestFit="1" customWidth="1"/>
    <col min="9" max="16384" width="9" style="3482"/>
  </cols>
  <sheetData>
    <row r="2" spans="1:16" ht="14.25" thickBot="1">
      <c r="A2" s="3480"/>
      <c r="B2" s="3481"/>
      <c r="C2" s="3480"/>
      <c r="D2" s="3481"/>
      <c r="E2" s="3480"/>
      <c r="F2" s="3480"/>
      <c r="G2" s="3480"/>
    </row>
    <row r="3" spans="1:16" ht="15" thickBot="1">
      <c r="A3" s="3483"/>
      <c r="B3" s="3484"/>
      <c r="C3" s="3483"/>
      <c r="D3" s="3484"/>
      <c r="E3" s="3483"/>
      <c r="F3" s="3483"/>
      <c r="G3" s="3485"/>
    </row>
    <row r="4" spans="1:16" ht="16.5">
      <c r="A4" s="3873" t="s">
        <v>3453</v>
      </c>
      <c r="B4" s="3875" t="s">
        <v>3454</v>
      </c>
      <c r="C4" s="3873" t="s">
        <v>3455</v>
      </c>
      <c r="D4" s="3486" t="s">
        <v>3456</v>
      </c>
      <c r="E4" s="3871" t="s">
        <v>3457</v>
      </c>
      <c r="F4" s="3871" t="s">
        <v>3458</v>
      </c>
      <c r="G4" s="3871" t="s">
        <v>3459</v>
      </c>
    </row>
    <row r="5" spans="1:16" ht="33.75" thickBot="1">
      <c r="A5" s="3874"/>
      <c r="B5" s="3876"/>
      <c r="C5" s="3874"/>
      <c r="D5" s="3487" t="s">
        <v>3460</v>
      </c>
      <c r="E5" s="3872"/>
      <c r="F5" s="3872"/>
      <c r="G5" s="3872"/>
    </row>
    <row r="6" spans="1:16" ht="17.25" thickBot="1">
      <c r="A6" s="3488" t="s">
        <v>3461</v>
      </c>
      <c r="B6" s="3489">
        <f>6203+5978.62+16022.53</f>
        <v>28204.15</v>
      </c>
      <c r="C6" s="3490" t="s">
        <v>3462</v>
      </c>
      <c r="D6" s="3489">
        <v>2.2000000000000002</v>
      </c>
      <c r="E6" s="3491">
        <v>44197</v>
      </c>
      <c r="F6" s="3491">
        <v>48213</v>
      </c>
      <c r="G6" s="3492"/>
      <c r="H6" s="3493">
        <f>B6*D6</f>
        <v>62049.130000000005</v>
      </c>
      <c r="I6" s="3494"/>
      <c r="J6" s="3494"/>
      <c r="K6" s="3494"/>
      <c r="L6" s="3494"/>
      <c r="M6" s="3494"/>
      <c r="N6" s="3494"/>
      <c r="O6" s="3494"/>
      <c r="P6" s="3494"/>
    </row>
    <row r="7" spans="1:16" ht="17.25" thickBot="1">
      <c r="A7" s="3488" t="s">
        <v>3463</v>
      </c>
      <c r="B7" s="3489">
        <v>5120.1499999999996</v>
      </c>
      <c r="C7" s="3490" t="s">
        <v>3464</v>
      </c>
      <c r="D7" s="3489" t="s">
        <v>3465</v>
      </c>
      <c r="E7" s="3491">
        <v>44378</v>
      </c>
      <c r="F7" s="3491">
        <v>45473</v>
      </c>
      <c r="G7" s="3492"/>
      <c r="H7" s="3495">
        <f>B7*2.8</f>
        <v>14336.419999999998</v>
      </c>
      <c r="I7" s="3494"/>
      <c r="J7" s="3494"/>
      <c r="K7" s="3494"/>
      <c r="L7" s="3494"/>
      <c r="M7" s="3494"/>
      <c r="N7" s="3494"/>
      <c r="O7" s="3494"/>
      <c r="P7" s="3494"/>
    </row>
    <row r="8" spans="1:16" ht="17.25" thickBot="1">
      <c r="A8" s="3488" t="s">
        <v>3466</v>
      </c>
      <c r="B8" s="3489">
        <v>6216.64</v>
      </c>
      <c r="C8" s="3490" t="s">
        <v>3467</v>
      </c>
      <c r="D8" s="3489">
        <v>2</v>
      </c>
      <c r="E8" s="3491">
        <v>44090</v>
      </c>
      <c r="F8" s="3491">
        <v>45915</v>
      </c>
      <c r="G8" s="3490" t="s">
        <v>3468</v>
      </c>
      <c r="H8" s="3493">
        <f t="shared" ref="H8:H27" si="0">B8*D8</f>
        <v>12433.28</v>
      </c>
      <c r="I8" s="3494"/>
      <c r="J8" s="3494"/>
      <c r="K8" s="3494"/>
      <c r="L8" s="3494"/>
      <c r="M8" s="3494"/>
      <c r="N8" s="3494"/>
      <c r="O8" s="3494"/>
      <c r="P8" s="3494"/>
    </row>
    <row r="9" spans="1:16" ht="17.25" thickBot="1">
      <c r="A9" s="3488" t="s">
        <v>3469</v>
      </c>
      <c r="B9" s="3489">
        <v>6371.25</v>
      </c>
      <c r="C9" s="3490" t="s">
        <v>3470</v>
      </c>
      <c r="D9" s="3489">
        <v>3.02</v>
      </c>
      <c r="E9" s="3491">
        <v>44866</v>
      </c>
      <c r="F9" s="3491">
        <v>46326</v>
      </c>
      <c r="G9" s="3492"/>
      <c r="H9" s="3493">
        <f t="shared" si="0"/>
        <v>19241.174999999999</v>
      </c>
      <c r="I9" s="3494"/>
      <c r="J9" s="3494"/>
      <c r="K9" s="3494"/>
      <c r="L9" s="3494"/>
      <c r="M9" s="3494"/>
      <c r="N9" s="3494"/>
      <c r="O9" s="3494"/>
      <c r="P9" s="3494"/>
    </row>
    <row r="10" spans="1:16" ht="17.25" thickBot="1">
      <c r="A10" s="3488" t="s">
        <v>3471</v>
      </c>
      <c r="B10" s="3489">
        <f>SUM(B11:B21)</f>
        <v>9673</v>
      </c>
      <c r="C10" s="3490" t="s">
        <v>3472</v>
      </c>
      <c r="D10" s="3496"/>
      <c r="E10" s="3497"/>
      <c r="F10" s="3497"/>
      <c r="G10" s="3497"/>
      <c r="H10" s="3493">
        <f t="shared" si="0"/>
        <v>0</v>
      </c>
      <c r="I10" s="3494"/>
      <c r="J10" s="3494"/>
      <c r="K10" s="3494"/>
      <c r="L10" s="3494"/>
      <c r="M10" s="3494"/>
      <c r="N10" s="3494"/>
      <c r="O10" s="3494"/>
      <c r="P10" s="3494"/>
    </row>
    <row r="11" spans="1:16" ht="17.25" thickBot="1">
      <c r="A11" s="3488" t="s">
        <v>3473</v>
      </c>
      <c r="B11" s="3489">
        <v>654.5</v>
      </c>
      <c r="C11" s="3490" t="s">
        <v>3474</v>
      </c>
      <c r="D11" s="3489">
        <v>3.5</v>
      </c>
      <c r="E11" s="3491">
        <v>43831</v>
      </c>
      <c r="F11" s="3491">
        <v>45291</v>
      </c>
      <c r="G11" s="3497"/>
      <c r="H11" s="3493">
        <f t="shared" si="0"/>
        <v>2290.75</v>
      </c>
      <c r="I11" s="3494"/>
      <c r="J11" s="3494"/>
      <c r="K11" s="3494"/>
      <c r="L11" s="3494"/>
      <c r="M11" s="3494"/>
      <c r="N11" s="3494"/>
      <c r="O11" s="3494"/>
      <c r="P11" s="3494"/>
    </row>
    <row r="12" spans="1:16" ht="17.25" thickBot="1">
      <c r="A12" s="3498" t="s">
        <v>3473</v>
      </c>
      <c r="B12" s="3499">
        <f>1963.5</f>
        <v>1963.5</v>
      </c>
      <c r="C12" s="3490" t="s">
        <v>3475</v>
      </c>
      <c r="D12" s="3489">
        <v>3.5</v>
      </c>
      <c r="E12" s="3491">
        <v>43252</v>
      </c>
      <c r="F12" s="3491">
        <v>45291</v>
      </c>
      <c r="G12" s="3497"/>
      <c r="H12" s="3493">
        <f t="shared" si="0"/>
        <v>6872.25</v>
      </c>
      <c r="I12" s="3494"/>
      <c r="J12" s="3494"/>
      <c r="K12" s="3494"/>
      <c r="L12" s="3494"/>
      <c r="M12" s="3494"/>
      <c r="N12" s="3494"/>
      <c r="O12" s="3494"/>
      <c r="P12" s="3494"/>
    </row>
    <row r="13" spans="1:16" ht="17.25" thickBot="1">
      <c r="A13" s="3488" t="s">
        <v>3476</v>
      </c>
      <c r="B13" s="3499">
        <v>105</v>
      </c>
      <c r="C13" s="3490" t="s">
        <v>3475</v>
      </c>
      <c r="D13" s="3489">
        <v>3.5</v>
      </c>
      <c r="E13" s="3491">
        <v>44562</v>
      </c>
      <c r="F13" s="3491">
        <v>45291</v>
      </c>
      <c r="G13" s="3497"/>
      <c r="H13" s="3493">
        <f t="shared" si="0"/>
        <v>367.5</v>
      </c>
      <c r="I13" s="3494"/>
      <c r="J13" s="3494"/>
      <c r="K13" s="3494"/>
      <c r="L13" s="3494"/>
      <c r="M13" s="3494"/>
      <c r="N13" s="3494"/>
      <c r="O13" s="3494"/>
      <c r="P13" s="3494"/>
    </row>
    <row r="14" spans="1:16" ht="17.25" thickBot="1">
      <c r="A14" s="3488" t="s">
        <v>3477</v>
      </c>
      <c r="B14" s="3489">
        <f>1987</f>
        <v>1987</v>
      </c>
      <c r="C14" s="3490" t="s">
        <v>3478</v>
      </c>
      <c r="D14" s="3499">
        <v>3.5</v>
      </c>
      <c r="E14" s="3491">
        <v>43101</v>
      </c>
      <c r="F14" s="3491">
        <v>45291</v>
      </c>
      <c r="G14" s="3497"/>
      <c r="H14" s="3493">
        <f t="shared" si="0"/>
        <v>6954.5</v>
      </c>
      <c r="I14" s="3494"/>
      <c r="J14" s="3494"/>
      <c r="K14" s="3494"/>
      <c r="L14" s="3494"/>
      <c r="M14" s="3494"/>
      <c r="N14" s="3494"/>
      <c r="O14" s="3494"/>
      <c r="P14" s="3494"/>
    </row>
    <row r="15" spans="1:16" ht="17.25" thickBot="1">
      <c r="A15" s="3488" t="s">
        <v>3477</v>
      </c>
      <c r="B15" s="3489">
        <v>1140</v>
      </c>
      <c r="C15" s="3490" t="s">
        <v>3478</v>
      </c>
      <c r="D15" s="3489">
        <v>4.63</v>
      </c>
      <c r="E15" s="3491">
        <v>44348</v>
      </c>
      <c r="F15" s="3491">
        <v>45291</v>
      </c>
      <c r="G15" s="3497"/>
      <c r="H15" s="3493">
        <f t="shared" si="0"/>
        <v>5278.2</v>
      </c>
      <c r="I15" s="3494"/>
      <c r="J15" s="3494"/>
      <c r="K15" s="3494"/>
      <c r="L15" s="3494"/>
      <c r="M15" s="3494"/>
      <c r="N15" s="3494"/>
      <c r="O15" s="3494"/>
      <c r="P15" s="3494"/>
    </row>
    <row r="16" spans="1:16" ht="17.25" thickBot="1">
      <c r="A16" s="3488" t="s">
        <v>3476</v>
      </c>
      <c r="B16" s="3499">
        <v>92</v>
      </c>
      <c r="C16" s="3490" t="s">
        <v>3478</v>
      </c>
      <c r="D16" s="3489">
        <v>3.5</v>
      </c>
      <c r="E16" s="3491">
        <v>44562</v>
      </c>
      <c r="F16" s="3491">
        <v>45291</v>
      </c>
      <c r="G16" s="3497"/>
      <c r="H16" s="3493">
        <f t="shared" si="0"/>
        <v>322</v>
      </c>
      <c r="I16" s="3494"/>
      <c r="J16" s="3494"/>
      <c r="K16" s="3494"/>
      <c r="L16" s="3494"/>
      <c r="M16" s="3494"/>
      <c r="N16" s="3494"/>
      <c r="O16" s="3494"/>
      <c r="P16" s="3494"/>
    </row>
    <row r="17" spans="1:16" ht="17.25" thickBot="1">
      <c r="A17" s="3488" t="s">
        <v>3476</v>
      </c>
      <c r="B17" s="3489">
        <v>54</v>
      </c>
      <c r="C17" s="3490" t="s">
        <v>3479</v>
      </c>
      <c r="D17" s="3489">
        <v>3.5</v>
      </c>
      <c r="E17" s="3491">
        <v>44562</v>
      </c>
      <c r="F17" s="3491">
        <v>45291</v>
      </c>
      <c r="G17" s="3497"/>
      <c r="H17" s="3493">
        <f t="shared" si="0"/>
        <v>189</v>
      </c>
      <c r="I17" s="3494"/>
      <c r="J17" s="3494"/>
      <c r="K17" s="3494"/>
      <c r="L17" s="3494"/>
      <c r="M17" s="3494"/>
      <c r="N17" s="3494"/>
      <c r="O17" s="3494"/>
      <c r="P17" s="3494"/>
    </row>
    <row r="18" spans="1:16" ht="17.25" thickBot="1">
      <c r="A18" s="3488" t="s">
        <v>3480</v>
      </c>
      <c r="B18" s="3489">
        <v>457</v>
      </c>
      <c r="C18" s="3490" t="s">
        <v>3481</v>
      </c>
      <c r="D18" s="3489">
        <v>3.5</v>
      </c>
      <c r="E18" s="3491">
        <v>43252</v>
      </c>
      <c r="F18" s="3491">
        <v>45291</v>
      </c>
      <c r="G18" s="3497"/>
      <c r="H18" s="3493">
        <f t="shared" si="0"/>
        <v>1599.5</v>
      </c>
      <c r="I18" s="3494"/>
      <c r="J18" s="3494"/>
      <c r="K18" s="3494"/>
      <c r="L18" s="3494"/>
      <c r="M18" s="3494"/>
      <c r="N18" s="3494"/>
      <c r="O18" s="3494"/>
      <c r="P18" s="3494"/>
    </row>
    <row r="19" spans="1:16" ht="17.25" thickBot="1">
      <c r="A19" s="3488" t="s">
        <v>3476</v>
      </c>
      <c r="B19" s="3489">
        <v>103</v>
      </c>
      <c r="C19" s="3490" t="s">
        <v>3481</v>
      </c>
      <c r="D19" s="3489">
        <v>3.5</v>
      </c>
      <c r="E19" s="3491">
        <v>44562</v>
      </c>
      <c r="F19" s="3491">
        <v>45291</v>
      </c>
      <c r="G19" s="3497"/>
      <c r="H19" s="3493">
        <f t="shared" si="0"/>
        <v>360.5</v>
      </c>
      <c r="I19" s="3494"/>
      <c r="J19" s="3494"/>
      <c r="K19" s="3494"/>
      <c r="L19" s="3494"/>
      <c r="M19" s="3494"/>
      <c r="N19" s="3494"/>
      <c r="O19" s="3494"/>
      <c r="P19" s="3494"/>
    </row>
    <row r="20" spans="1:16" ht="17.25" thickBot="1">
      <c r="A20" s="3488" t="s">
        <v>3482</v>
      </c>
      <c r="B20" s="3489">
        <v>528</v>
      </c>
      <c r="C20" s="3490" t="s">
        <v>3481</v>
      </c>
      <c r="D20" s="3489">
        <v>3.62</v>
      </c>
      <c r="E20" s="3491">
        <v>43252</v>
      </c>
      <c r="F20" s="3491">
        <v>45291</v>
      </c>
      <c r="G20" s="3497"/>
      <c r="H20" s="3493">
        <f t="shared" si="0"/>
        <v>1911.3600000000001</v>
      </c>
      <c r="I20" s="3494"/>
      <c r="J20" s="3494"/>
      <c r="K20" s="3494"/>
      <c r="L20" s="3494"/>
      <c r="M20" s="3494"/>
      <c r="N20" s="3494"/>
      <c r="O20" s="3494"/>
      <c r="P20" s="3494"/>
    </row>
    <row r="21" spans="1:16" ht="17.25" thickBot="1">
      <c r="A21" s="3488" t="s">
        <v>3483</v>
      </c>
      <c r="B21" s="3489">
        <v>2589</v>
      </c>
      <c r="C21" s="3500" t="s">
        <v>3484</v>
      </c>
      <c r="D21" s="3489">
        <v>3.75</v>
      </c>
      <c r="E21" s="3491">
        <v>43831</v>
      </c>
      <c r="F21" s="3491">
        <v>45291</v>
      </c>
      <c r="G21" s="3497"/>
      <c r="H21" s="3493">
        <f t="shared" si="0"/>
        <v>9708.75</v>
      </c>
      <c r="I21" s="3494"/>
      <c r="J21" s="3494"/>
      <c r="K21" s="3494"/>
      <c r="L21" s="3494"/>
      <c r="M21" s="3494"/>
      <c r="N21" s="3494"/>
      <c r="O21" s="3494"/>
      <c r="P21" s="3494"/>
    </row>
    <row r="22" spans="1:16" ht="17.25" thickBot="1">
      <c r="A22" s="3488" t="s">
        <v>3485</v>
      </c>
      <c r="B22" s="3489">
        <f>SUM(B23:B27)</f>
        <v>6259.74</v>
      </c>
      <c r="C22" s="3501"/>
      <c r="D22" s="3489"/>
      <c r="E22" s="3497"/>
      <c r="F22" s="3497"/>
      <c r="G22" s="3497"/>
      <c r="H22" s="3493">
        <f t="shared" si="0"/>
        <v>0</v>
      </c>
      <c r="I22" s="3494"/>
      <c r="J22" s="3494"/>
      <c r="K22" s="3494"/>
      <c r="L22" s="3494"/>
      <c r="M22" s="3494"/>
      <c r="N22" s="3494"/>
      <c r="O22" s="3494"/>
      <c r="P22" s="3494"/>
    </row>
    <row r="23" spans="1:16" s="3507" customFormat="1" ht="17.25" thickBot="1">
      <c r="A23" s="3502" t="s">
        <v>3486</v>
      </c>
      <c r="B23" s="3503">
        <v>1236.8</v>
      </c>
      <c r="C23" s="3490" t="s">
        <v>3487</v>
      </c>
      <c r="D23" s="3503">
        <v>3.6</v>
      </c>
      <c r="E23" s="3504">
        <v>44470</v>
      </c>
      <c r="F23" s="3504">
        <v>45565</v>
      </c>
      <c r="G23" s="3505"/>
      <c r="H23" s="3493">
        <f t="shared" si="0"/>
        <v>4452.4799999999996</v>
      </c>
      <c r="I23" s="3506"/>
      <c r="J23" s="3506"/>
      <c r="K23" s="3506"/>
      <c r="L23" s="3506"/>
      <c r="M23" s="3506"/>
      <c r="N23" s="3506"/>
      <c r="O23" s="3506"/>
      <c r="P23" s="3506"/>
    </row>
    <row r="24" spans="1:16" ht="17.25" thickBot="1">
      <c r="A24" s="3508" t="s">
        <v>3488</v>
      </c>
      <c r="B24" s="3489">
        <v>1299.18</v>
      </c>
      <c r="C24" s="3490" t="s">
        <v>3470</v>
      </c>
      <c r="D24" s="3489">
        <v>3</v>
      </c>
      <c r="E24" s="3491">
        <v>44866</v>
      </c>
      <c r="F24" s="3491">
        <v>46326</v>
      </c>
      <c r="G24" s="3492"/>
      <c r="H24" s="3493">
        <f t="shared" si="0"/>
        <v>3897.54</v>
      </c>
      <c r="I24" s="3494"/>
      <c r="J24" s="3494"/>
      <c r="K24" s="3494"/>
      <c r="L24" s="3494"/>
      <c r="M24" s="3494"/>
      <c r="N24" s="3494"/>
      <c r="O24" s="3494"/>
      <c r="P24" s="3494"/>
    </row>
    <row r="25" spans="1:16" ht="17.25" thickBot="1">
      <c r="A25" s="3508" t="s">
        <v>3489</v>
      </c>
      <c r="B25" s="3489">
        <v>1234.4000000000001</v>
      </c>
      <c r="C25" s="3490" t="s">
        <v>3470</v>
      </c>
      <c r="D25" s="3496">
        <v>3.2</v>
      </c>
      <c r="E25" s="3509">
        <v>44470</v>
      </c>
      <c r="F25" s="3509">
        <v>45565</v>
      </c>
      <c r="G25" s="3492"/>
      <c r="H25" s="3493">
        <f t="shared" si="0"/>
        <v>3950.0800000000004</v>
      </c>
      <c r="I25" s="3494"/>
      <c r="J25" s="3494"/>
      <c r="K25" s="3494"/>
      <c r="L25" s="3494"/>
      <c r="M25" s="3494"/>
      <c r="N25" s="3494"/>
      <c r="O25" s="3494"/>
      <c r="P25" s="3494"/>
    </row>
    <row r="26" spans="1:16" s="3507" customFormat="1" ht="17.25" thickBot="1">
      <c r="A26" s="3502" t="s">
        <v>3490</v>
      </c>
      <c r="B26" s="3503">
        <v>1307.58</v>
      </c>
      <c r="C26" s="3510" t="s">
        <v>3487</v>
      </c>
      <c r="D26" s="3503">
        <v>3.08</v>
      </c>
      <c r="E26" s="3504">
        <v>44927</v>
      </c>
      <c r="F26" s="3504">
        <v>46022</v>
      </c>
      <c r="G26" s="3505"/>
      <c r="H26" s="3493">
        <f t="shared" si="0"/>
        <v>4027.3463999999999</v>
      </c>
      <c r="I26" s="3506"/>
      <c r="J26" s="3506"/>
      <c r="K26" s="3506"/>
      <c r="L26" s="3506"/>
      <c r="M26" s="3506"/>
      <c r="N26" s="3506"/>
      <c r="O26" s="3506"/>
      <c r="P26" s="3506"/>
    </row>
    <row r="27" spans="1:16" ht="17.25" thickBot="1">
      <c r="A27" s="3508" t="s">
        <v>3491</v>
      </c>
      <c r="B27" s="3489">
        <v>1181.78</v>
      </c>
      <c r="C27" s="3490" t="s">
        <v>3492</v>
      </c>
      <c r="D27" s="3489">
        <v>2.8</v>
      </c>
      <c r="E27" s="3491">
        <v>43983</v>
      </c>
      <c r="F27" s="3491">
        <v>45077</v>
      </c>
      <c r="G27" s="3492"/>
      <c r="H27" s="3493">
        <f t="shared" si="0"/>
        <v>3308.9839999999999</v>
      </c>
      <c r="I27" s="3494"/>
      <c r="J27" s="3494"/>
      <c r="K27" s="3494"/>
      <c r="L27" s="3494"/>
      <c r="M27" s="3494"/>
      <c r="N27" s="3494"/>
      <c r="O27" s="3494"/>
      <c r="P27" s="3494"/>
    </row>
    <row r="28" spans="1:16" ht="17.25" thickBot="1">
      <c r="A28" s="3508" t="s">
        <v>3493</v>
      </c>
      <c r="B28" s="3496">
        <f>B6+B7+B8+B9+B10+B22</f>
        <v>61844.93</v>
      </c>
      <c r="C28" s="3497"/>
      <c r="D28" s="3496"/>
      <c r="E28" s="3497"/>
      <c r="F28" s="3497"/>
      <c r="G28" s="3497"/>
      <c r="H28" s="3494">
        <f>SUM(H6:H27)</f>
        <v>163550.74540000001</v>
      </c>
      <c r="I28" s="3494"/>
      <c r="J28" s="3494"/>
      <c r="K28" s="3494"/>
      <c r="L28" s="3494"/>
      <c r="M28" s="3494"/>
      <c r="N28" s="3494"/>
      <c r="O28" s="3494"/>
      <c r="P28" s="3494"/>
    </row>
    <row r="29" spans="1:16">
      <c r="H29" s="3494">
        <f>H28/B28</f>
        <v>2.6445295580413788</v>
      </c>
      <c r="I29" s="3494"/>
      <c r="J29" s="3494"/>
      <c r="K29" s="3494"/>
      <c r="L29" s="3494"/>
      <c r="M29" s="3494"/>
      <c r="N29" s="3494"/>
      <c r="O29" s="3494"/>
      <c r="P29" s="3494"/>
    </row>
    <row r="30" spans="1:16">
      <c r="H30" s="3494"/>
      <c r="I30" s="3494"/>
      <c r="J30" s="3494"/>
      <c r="K30" s="3494"/>
      <c r="L30" s="3494"/>
      <c r="M30" s="3494"/>
      <c r="N30" s="3494"/>
      <c r="O30" s="3494"/>
      <c r="P30" s="3494"/>
    </row>
  </sheetData>
  <mergeCells count="6">
    <mergeCell ref="G4:G5"/>
    <mergeCell ref="A4:A5"/>
    <mergeCell ref="B4:B5"/>
    <mergeCell ref="C4:C5"/>
    <mergeCell ref="E4:E5"/>
    <mergeCell ref="F4:F5"/>
  </mergeCells>
  <phoneticPr fontId="134" type="noConversion"/>
  <pageMargins left="0.70866141732283472" right="0.70866141732283472" top="0.74803149606299213" bottom="0.74803149606299213" header="0.31496062992125984" footer="0.31496062992125984"/>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cols>
    <col min="1" max="16384" width="9" style="3478"/>
  </cols>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75"/>
  <sheetViews>
    <sheetView topLeftCell="A40" workbookViewId="0">
      <selection activeCell="N75" sqref="N75"/>
    </sheetView>
  </sheetViews>
  <sheetFormatPr defaultRowHeight="13.5"/>
  <cols>
    <col min="1" max="13" width="9" style="3478"/>
    <col min="14" max="14" width="19.25" style="3478" bestFit="1" customWidth="1"/>
    <col min="15" max="16384" width="9" style="3478"/>
  </cols>
  <sheetData>
    <row r="5" spans="14:14">
      <c r="N5" s="3517">
        <f>ROUND(7.53/30/916*10000,2)</f>
        <v>2.74</v>
      </c>
    </row>
    <row r="40" spans="14:14">
      <c r="N40" s="3517">
        <f>ROUND(16.52/30/2088*10000,2)</f>
        <v>2.64</v>
      </c>
    </row>
    <row r="75" spans="14:14">
      <c r="N75" s="3517">
        <f>ROUND(8.51/30/1035.06*10000,2)</f>
        <v>2.74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1" t="str">
        <f>IF(项目基本情况!B9="房地产市场价值","估价结果一览表","结果表-2")</f>
        <v>结果表-2</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spans="1:9" ht="15">
      <c r="A3" s="3537"/>
      <c r="B3" s="3537"/>
      <c r="C3" s="3537"/>
      <c r="D3" s="854" t="s">
        <v>925</v>
      </c>
      <c r="E3" s="854" t="s">
        <v>931</v>
      </c>
      <c r="F3" s="854" t="s">
        <v>925</v>
      </c>
      <c r="G3" s="854" t="s">
        <v>926</v>
      </c>
      <c r="H3" s="854" t="s">
        <v>925</v>
      </c>
      <c r="I3" s="854" t="s">
        <v>926</v>
      </c>
    </row>
    <row r="4" spans="1:9" ht="15">
      <c r="A4" s="1505" t="str">
        <f>项目基本情况!S2</f>
        <v>北京市房地产</v>
      </c>
      <c r="B4" s="854">
        <f>项目基本情况!C17</f>
        <v>71671.429999999993</v>
      </c>
      <c r="C4" s="854">
        <f>项目基本情况!C18</f>
        <v>49786</v>
      </c>
      <c r="D4" s="854">
        <f ca="1">结果表!D118</f>
        <v>24410</v>
      </c>
      <c r="E4" s="854">
        <f ca="1">结果表!E118</f>
        <v>3405</v>
      </c>
      <c r="F4" s="854">
        <f ca="1">结果表!F118</f>
        <v>55887</v>
      </c>
      <c r="G4" s="854">
        <f ca="1">结果表!G118</f>
        <v>7798</v>
      </c>
      <c r="H4" s="854">
        <f ca="1">结果表!H118</f>
        <v>80297</v>
      </c>
      <c r="I4" s="854">
        <f ca="1">结果表!I118</f>
        <v>11203</v>
      </c>
    </row>
    <row r="5" spans="1:9" ht="30" customHeight="1">
      <c r="A5" s="3537" t="s">
        <v>927</v>
      </c>
      <c r="B5" s="3537"/>
      <c r="C5" s="3537"/>
      <c r="D5" s="3537" t="str">
        <f ca="1">结果表!D119</f>
        <v>贰亿肆仟肆佰壹拾万元整</v>
      </c>
      <c r="E5" s="3537"/>
      <c r="F5" s="3537" t="str">
        <f ca="1">结果表!F119</f>
        <v>伍亿伍仟捌佰捌拾柒万元整</v>
      </c>
      <c r="G5" s="3537"/>
      <c r="H5" s="3537" t="str">
        <f ca="1">结果表!H119</f>
        <v>捌亿零贰佰玖拾柒万元整</v>
      </c>
      <c r="I5" s="3537"/>
    </row>
    <row r="6" spans="1:9" ht="15.75">
      <c r="A6" s="3536" t="str">
        <f>结果表!A120</f>
        <v>估价师知悉的法定优先受偿款</v>
      </c>
      <c r="B6" s="3536"/>
      <c r="C6" s="3536"/>
      <c r="D6" s="3536">
        <f>结果表!D120</f>
        <v>0</v>
      </c>
      <c r="E6" s="3536"/>
      <c r="F6" s="3536"/>
      <c r="G6" s="3536"/>
      <c r="H6" s="3536"/>
      <c r="I6" s="3536"/>
    </row>
    <row r="7" spans="1:9" ht="15">
      <c r="A7" s="3537" t="s">
        <v>927</v>
      </c>
      <c r="B7" s="3537"/>
      <c r="C7" s="3537"/>
      <c r="D7" s="3538" t="str">
        <f>结果表!D121</f>
        <v>零元整</v>
      </c>
      <c r="E7" s="3539"/>
      <c r="F7" s="3539"/>
      <c r="G7" s="3539"/>
      <c r="H7" s="3539"/>
      <c r="I7" s="3540"/>
    </row>
    <row r="8" spans="1:9" ht="15.75">
      <c r="A8" s="3536" t="str">
        <f>结果表!A122</f>
        <v>房地产抵押价值</v>
      </c>
      <c r="B8" s="3536"/>
      <c r="C8" s="3536"/>
      <c r="D8" s="3536">
        <f ca="1">结果表!D122</f>
        <v>80297</v>
      </c>
      <c r="E8" s="3536"/>
      <c r="F8" s="3536"/>
      <c r="G8" s="3536"/>
      <c r="H8" s="3536"/>
      <c r="I8" s="3536"/>
    </row>
    <row r="9" spans="1:9" ht="15">
      <c r="A9" s="3537" t="s">
        <v>927</v>
      </c>
      <c r="B9" s="3537"/>
      <c r="C9" s="3537"/>
      <c r="D9" s="3537" t="str">
        <f ca="1">结果表!D123</f>
        <v>捌亿零贰佰玖拾柒万元整</v>
      </c>
      <c r="E9" s="3537"/>
      <c r="F9" s="3537"/>
      <c r="G9" s="3537"/>
      <c r="H9" s="3537"/>
      <c r="I9" s="3537"/>
    </row>
    <row r="10" spans="1:9" ht="15.75">
      <c r="A10" s="3536" t="str">
        <f>结果表!A124</f>
        <v>抵押担保权已注销时的房地产抵押价值</v>
      </c>
      <c r="B10" s="3536"/>
      <c r="C10" s="3536"/>
      <c r="D10" s="3536">
        <f ca="1">结果表!D124</f>
        <v>80297</v>
      </c>
      <c r="E10" s="3536"/>
      <c r="F10" s="3536"/>
      <c r="G10" s="3536"/>
      <c r="H10" s="3536"/>
      <c r="I10" s="3536"/>
    </row>
    <row r="11" spans="1:9" ht="15">
      <c r="A11" s="3537" t="s">
        <v>927</v>
      </c>
      <c r="B11" s="3537"/>
      <c r="C11" s="3537"/>
      <c r="D11" s="3537" t="str">
        <f ca="1">结果表!D125</f>
        <v>捌亿零贰佰玖拾柒万元整</v>
      </c>
      <c r="E11" s="3537"/>
      <c r="F11" s="3537"/>
      <c r="G11" s="3537"/>
      <c r="H11" s="3537"/>
      <c r="I11" s="3537"/>
    </row>
    <row r="12" spans="1:9" ht="15.75">
      <c r="A12" s="3536" t="str">
        <f>结果表!A126</f>
        <v/>
      </c>
      <c r="B12" s="3536"/>
      <c r="C12" s="3536"/>
      <c r="D12" s="3536" t="str">
        <f>结果表!D126</f>
        <v>——</v>
      </c>
      <c r="E12" s="3536"/>
      <c r="F12" s="3536"/>
      <c r="G12" s="3536"/>
      <c r="H12" s="3536"/>
      <c r="I12" s="3536"/>
    </row>
    <row r="13" spans="1:9" ht="15.75" thickBot="1">
      <c r="A13" s="3534" t="s">
        <v>927</v>
      </c>
      <c r="B13" s="3534"/>
      <c r="C13" s="3534"/>
      <c r="D13" s="3534" t="e">
        <f>结果表!D127</f>
        <v>#VALUE!</v>
      </c>
      <c r="E13" s="3534"/>
      <c r="F13" s="3534"/>
      <c r="G13" s="3534"/>
      <c r="H13" s="3534"/>
      <c r="I13" s="3534"/>
    </row>
    <row r="14" spans="1:9" ht="15" thickTop="1">
      <c r="A14" s="3535" t="s">
        <v>932</v>
      </c>
      <c r="B14" s="3535"/>
      <c r="C14" s="3535"/>
      <c r="D14" s="3535"/>
      <c r="E14" s="3535"/>
      <c r="F14" s="3535"/>
      <c r="G14" s="3535"/>
      <c r="H14" s="3535"/>
      <c r="I14" s="353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9" t="s">
        <v>949</v>
      </c>
      <c r="B1" s="3549"/>
      <c r="C1" s="3549"/>
      <c r="D1" s="3549"/>
    </row>
    <row r="2" spans="1:4" ht="18">
      <c r="A2" s="3550" t="s">
        <v>933</v>
      </c>
      <c r="B2" s="3550"/>
      <c r="C2" s="3550"/>
      <c r="D2" s="355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50" t="s">
        <v>939</v>
      </c>
      <c r="B6" s="3550"/>
      <c r="C6" s="3550"/>
      <c r="D6" s="355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1"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3" t="str">
        <f>IF(项目基本情况!B8="抵押","4.本次评估估价师所知悉的法定优先受偿款情况说明如下：","——")</f>
        <v>4.本次评估估价师所知悉的法定优先受偿款情况说明如下：</v>
      </c>
      <c r="B14" s="3548"/>
      <c r="C14" s="3548"/>
      <c r="D14" s="3548"/>
    </row>
    <row r="15" spans="1:4" ht="42" customHeight="1">
      <c r="A15" s="35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3"/>
      <c r="C15" s="3543"/>
      <c r="D15" s="3543"/>
    </row>
    <row r="16" spans="1:4" ht="30" customHeight="1">
      <c r="A16" s="3545" t="s">
        <v>943</v>
      </c>
      <c r="B16" s="3545"/>
      <c r="C16" s="3545"/>
      <c r="D16" s="3545"/>
    </row>
    <row r="17" spans="1:4" ht="144" customHeight="1">
      <c r="A17" s="3545" t="s">
        <v>944</v>
      </c>
      <c r="B17" s="3545"/>
      <c r="C17" s="3545"/>
      <c r="D17" s="3545"/>
    </row>
    <row r="18" spans="1:4" ht="15.75" customHeight="1">
      <c r="A18" s="3543" t="str">
        <f>IF(项目基本情况!B8="抵押",结果表!K120,"——")</f>
        <v>故，本次评估不存在估价师知悉的法定优先受偿款</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3"/>
      <c r="C20" s="3543"/>
      <c r="D20" s="3543"/>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6"/>
      <c r="C21" s="3546"/>
      <c r="D21" s="3546"/>
    </row>
    <row r="22" spans="1:4" ht="18.75" customHeight="1">
      <c r="A22" s="3547" t="s">
        <v>945</v>
      </c>
      <c r="B22" s="3547"/>
      <c r="C22" s="3547"/>
      <c r="D22" s="354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4">
        <v>42551</v>
      </c>
      <c r="D31" s="35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7" t="s">
        <v>956</v>
      </c>
      <c r="B15" s="3552" t="s">
        <v>109</v>
      </c>
      <c r="C15" s="3553"/>
    </row>
    <row r="16" spans="1:7" ht="13.5">
      <c r="A16" s="3558"/>
      <c r="B16" s="3552" t="s">
        <v>42</v>
      </c>
      <c r="C16" s="3553"/>
    </row>
    <row r="17" spans="1:3" ht="13.5">
      <c r="A17" s="3558"/>
      <c r="B17" s="3555" t="s">
        <v>957</v>
      </c>
      <c r="C17" s="1532" t="s">
        <v>956</v>
      </c>
    </row>
    <row r="18" spans="1:3" ht="13.5">
      <c r="A18" s="3558"/>
      <c r="B18" s="3555"/>
      <c r="C18" s="1532" t="s">
        <v>958</v>
      </c>
    </row>
    <row r="19" spans="1:3" ht="13.5">
      <c r="A19" s="3558"/>
      <c r="B19" s="3555"/>
      <c r="C19" s="1532" t="s">
        <v>959</v>
      </c>
    </row>
    <row r="20" spans="1:3" ht="13.5">
      <c r="A20" s="3559"/>
      <c r="B20" s="3554" t="s">
        <v>960</v>
      </c>
      <c r="C20" s="3553"/>
    </row>
    <row r="21" spans="1:3" ht="13.5">
      <c r="A21" s="1533" t="s">
        <v>961</v>
      </c>
      <c r="B21" s="1534"/>
      <c r="C21" s="153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32" t="s">
        <v>967</v>
      </c>
    </row>
    <row r="26" spans="1:3" ht="13.5">
      <c r="A26" s="3556"/>
      <c r="B26" s="3555"/>
      <c r="C26" s="1532" t="s">
        <v>968</v>
      </c>
    </row>
    <row r="27" spans="1:3" ht="13.5">
      <c r="A27" s="3556"/>
      <c r="B27" s="3555"/>
      <c r="C27" s="1532" t="s">
        <v>969</v>
      </c>
    </row>
    <row r="28" spans="1:3" ht="13.5">
      <c r="A28" s="3556"/>
      <c r="B28" s="3555"/>
      <c r="C28" s="1532" t="s">
        <v>970</v>
      </c>
    </row>
    <row r="29" spans="1:3" ht="13.5">
      <c r="A29" s="3556"/>
      <c r="B29" s="3555"/>
      <c r="C29" s="1532" t="s">
        <v>971</v>
      </c>
    </row>
    <row r="30" spans="1:3" ht="13.5">
      <c r="A30" s="3556"/>
      <c r="B30" s="3555"/>
      <c r="C30" s="1532" t="s">
        <v>972</v>
      </c>
    </row>
    <row r="31" spans="1:3" ht="13.5">
      <c r="A31" s="3556"/>
      <c r="B31" s="3555"/>
      <c r="C31" s="1532" t="s">
        <v>973</v>
      </c>
    </row>
    <row r="32" spans="1:3" ht="13.5">
      <c r="A32" s="3556"/>
      <c r="B32" s="3555"/>
      <c r="C32" s="1532" t="s">
        <v>974</v>
      </c>
    </row>
    <row r="33" spans="1:3" ht="13.5">
      <c r="A33" s="3556"/>
      <c r="B33" s="355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43"/>
      <c r="E18" s="3562" t="s">
        <v>2162</v>
      </c>
      <c r="F18" s="3561"/>
      <c r="G18" s="356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2023-11-20T06:07:10Z</dcterms:modified>
</cp:coreProperties>
</file>