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s>
  <externalReferences>
    <externalReference r:id="rId54"/>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7"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6"/>
  <c r="F8" i="86"/>
  <c r="F7" i="86"/>
  <c r="F9" i="86"/>
  <c r="C6" i="86"/>
  <c r="F11" i="86"/>
  <c r="C10" i="86"/>
  <c r="C5" i="86"/>
  <c r="C32" i="86"/>
  <c r="C33" i="86"/>
  <c r="R8" i="1"/>
  <c r="F35" i="86"/>
  <c r="C34" i="86"/>
  <c r="C31" i="86"/>
  <c r="C14" i="86"/>
  <c r="C15" i="86"/>
  <c r="F16" i="86"/>
  <c r="C16" i="86"/>
  <c r="F43"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8" i="1"/>
  <c r="F41" i="86"/>
  <c r="C40" i="86"/>
  <c r="M6" i="86"/>
  <c r="M8" i="86"/>
  <c r="M7" i="86"/>
  <c r="M9" i="86"/>
  <c r="J6" i="86"/>
  <c r="M11" i="86"/>
  <c r="J10" i="86"/>
  <c r="J5" i="86"/>
  <c r="J26" i="86"/>
  <c r="J29" i="86"/>
  <c r="J60" i="86"/>
  <c r="L46" i="86"/>
  <c r="B2" i="86"/>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D14" i="74"/>
  <c r="D17" i="74"/>
  <c r="G17" i="74"/>
  <c r="G16" i="74"/>
  <c r="G15" i="74"/>
  <c r="C17" i="74"/>
  <c r="B17" i="74"/>
  <c r="G21" i="6"/>
  <c r="G20" i="6"/>
  <c r="F19" i="6"/>
  <c r="D16" i="74"/>
  <c r="C16" i="74"/>
  <c r="B16" i="74"/>
  <c r="D15" i="74"/>
  <c r="C15" i="74"/>
  <c r="B15" i="74"/>
  <c r="I13" i="84"/>
  <c r="S17" i="3"/>
  <c r="I14" i="84"/>
  <c r="Q17" i="3"/>
  <c r="I10" i="84"/>
  <c r="K17" i="3"/>
  <c r="I11" i="84"/>
  <c r="AJ17" i="3"/>
  <c r="BP17" i="3"/>
  <c r="BP16" i="3"/>
  <c r="BP5" i="3"/>
  <c r="BN16" i="3"/>
  <c r="BN5" i="3"/>
  <c r="G29" i="6"/>
  <c r="AN16" i="3"/>
  <c r="BR16" i="3"/>
  <c r="BR5" i="3"/>
  <c r="BT16" i="3"/>
  <c r="BT5" i="3"/>
  <c r="G28" i="6"/>
  <c r="I12" i="84"/>
  <c r="AL17" i="3"/>
  <c r="BQ17" i="3"/>
  <c r="BQ16" i="3"/>
  <c r="BQ5" i="3"/>
  <c r="BS16" i="3"/>
  <c r="BS5" i="3"/>
  <c r="F28" i="6"/>
  <c r="BM16" i="3"/>
  <c r="BO16" i="3"/>
  <c r="BL16" i="3"/>
  <c r="BB16" i="3"/>
  <c r="BC16" i="3"/>
  <c r="BD16" i="3"/>
  <c r="BE16" i="3"/>
  <c r="BF16" i="3"/>
  <c r="BG16" i="3"/>
  <c r="BH16" i="3"/>
  <c r="BI16" i="3"/>
  <c r="BJ16" i="3"/>
  <c r="BK16" i="3"/>
  <c r="BA16" i="3"/>
  <c r="AZ16" i="3"/>
  <c r="BC17" i="3"/>
  <c r="BF17" i="3"/>
  <c r="BG17" i="3"/>
  <c r="BA17" i="3"/>
  <c r="BL17" i="3"/>
  <c r="AZ17" i="3"/>
  <c r="AZ5" i="3"/>
  <c r="E3" i="6"/>
  <c r="AC16" i="3"/>
  <c r="G16" i="3"/>
  <c r="H17" i="3"/>
  <c r="AC17" i="3"/>
  <c r="G17" i="3"/>
  <c r="G5" i="3"/>
  <c r="B3" i="3"/>
  <c r="AY6" i="3"/>
  <c r="D3" i="6"/>
  <c r="L18" i="9"/>
  <c r="L19" i="9"/>
  <c r="K21" i="3"/>
  <c r="F19" i="84"/>
  <c r="F10" i="84"/>
  <c r="BP21" i="3"/>
  <c r="BN21" i="3"/>
  <c r="BR21" i="3"/>
  <c r="BT21" i="3"/>
  <c r="BQ21" i="3"/>
  <c r="BS21" i="3"/>
  <c r="BB21" i="3"/>
  <c r="BC21" i="3"/>
  <c r="BD21" i="3"/>
  <c r="BE21" i="3"/>
  <c r="BF21" i="3"/>
  <c r="BG21" i="3"/>
  <c r="BH21" i="3"/>
  <c r="BI21" i="3"/>
  <c r="BJ21" i="3"/>
  <c r="BK21" i="3"/>
  <c r="BA21" i="3"/>
  <c r="BM21" i="3"/>
  <c r="BO21" i="3"/>
  <c r="BL21" i="3"/>
  <c r="AZ21" i="3"/>
  <c r="K16" i="3"/>
  <c r="H16" i="3"/>
  <c r="H21" i="3"/>
  <c r="G21" i="3"/>
  <c r="I47" i="21"/>
  <c r="G47" i="21"/>
  <c r="E47" i="21"/>
  <c r="K11" i="21"/>
  <c r="I11" i="21"/>
  <c r="G11" i="21"/>
  <c r="E11" i="21"/>
  <c r="B28" i="1"/>
  <c r="B27" i="1"/>
  <c r="I15" i="84"/>
  <c r="F11" i="84"/>
  <c r="D6" i="84"/>
  <c r="D7" i="84"/>
  <c r="B7" i="84"/>
  <c r="Q72" i="86"/>
  <c r="Q59" i="86"/>
  <c r="K59" i="86"/>
  <c r="P74" i="86"/>
  <c r="F59" i="86"/>
  <c r="Q58" i="86"/>
  <c r="Q51" i="86"/>
  <c r="J50" i="86"/>
  <c r="M47" i="86"/>
  <c r="D46" i="86"/>
  <c r="F33" i="86"/>
  <c r="F61" i="86"/>
  <c r="F31" i="86"/>
  <c r="F23" i="86"/>
  <c r="D23" i="86"/>
  <c r="F21" i="86"/>
  <c r="F20" i="86"/>
  <c r="M19" i="86"/>
  <c r="F18" i="86"/>
  <c r="M17" i="86"/>
  <c r="F17" i="86"/>
  <c r="F15" i="86"/>
  <c r="D24" i="86"/>
  <c r="P61" i="86"/>
  <c r="D22" i="86"/>
  <c r="N7" i="1"/>
  <c r="N8" i="1"/>
  <c r="N14" i="1"/>
  <c r="L33" i="84"/>
  <c r="C36" i="33"/>
  <c r="M15" i="3"/>
  <c r="M20" i="3"/>
  <c r="B33" i="31"/>
  <c r="B32" i="31"/>
  <c r="B31" i="31"/>
  <c r="B30" i="31"/>
  <c r="B29" i="31"/>
  <c r="B28" i="31"/>
  <c r="B27" i="31"/>
  <c r="B26" i="31"/>
  <c r="B25" i="31"/>
  <c r="I46" i="39"/>
  <c r="G46" i="39"/>
  <c r="E46" i="39"/>
  <c r="I38" i="39"/>
  <c r="G38" i="39"/>
  <c r="E38" i="39"/>
  <c r="C38" i="39"/>
  <c r="I5" i="39"/>
  <c r="G5" i="39"/>
  <c r="E5" i="39"/>
  <c r="I7" i="39"/>
  <c r="G7" i="39"/>
  <c r="E7" i="39"/>
  <c r="M21" i="1"/>
  <c r="K19" i="3"/>
  <c r="I18" i="3"/>
  <c r="I14" i="3"/>
  <c r="I13" i="3"/>
  <c r="B24" i="31"/>
  <c r="I29" i="84"/>
  <c r="F12" i="84"/>
  <c r="Q16" i="3"/>
  <c r="F15" i="84"/>
  <c r="AL16" i="3"/>
  <c r="F14" i="84"/>
  <c r="S16" i="3"/>
  <c r="F13" i="84"/>
  <c r="AJ16" i="3"/>
  <c r="C53" i="84"/>
  <c r="C50" i="84"/>
  <c r="F9" i="84"/>
  <c r="F16" i="84"/>
  <c r="C41" i="84"/>
  <c r="C38" i="84"/>
  <c r="C35" i="84"/>
  <c r="C32" i="84"/>
  <c r="C29" i="84"/>
  <c r="C26" i="84"/>
  <c r="C23" i="84"/>
  <c r="C19" i="84"/>
  <c r="C15" i="84"/>
  <c r="C12" i="84"/>
  <c r="F17" i="84"/>
  <c r="M22" i="1"/>
  <c r="I48" i="34"/>
  <c r="G48" i="34"/>
  <c r="E48" i="34"/>
  <c r="C37" i="34"/>
  <c r="F10" i="83"/>
  <c r="F9" i="83"/>
  <c r="C5" i="83"/>
  <c r="D5" i="83"/>
  <c r="C4" i="83"/>
  <c r="D4" i="83"/>
  <c r="C3" i="83"/>
  <c r="D3" i="83"/>
  <c r="B13" i="83"/>
  <c r="B16" i="83"/>
  <c r="I37" i="34"/>
  <c r="G37" i="34"/>
  <c r="E37" i="34"/>
  <c r="C13" i="83"/>
  <c r="C16" i="83"/>
  <c r="I34" i="34"/>
  <c r="G34" i="34"/>
  <c r="I42" i="34"/>
  <c r="G42" i="34"/>
  <c r="E42" i="34"/>
  <c r="E34" i="34"/>
  <c r="I25" i="34"/>
  <c r="G25" i="34"/>
  <c r="F70" i="82"/>
  <c r="F52" i="82"/>
  <c r="F49" i="82"/>
  <c r="C42" i="34"/>
  <c r="Q72" i="82"/>
  <c r="Q59" i="82"/>
  <c r="K59" i="82"/>
  <c r="P74" i="82"/>
  <c r="F59" i="82"/>
  <c r="Q58" i="82"/>
  <c r="Q51" i="82"/>
  <c r="J50" i="82"/>
  <c r="M47" i="82"/>
  <c r="D46" i="82"/>
  <c r="F33" i="82"/>
  <c r="F61" i="82"/>
  <c r="F31" i="82"/>
  <c r="F23" i="82"/>
  <c r="D23" i="82"/>
  <c r="F21" i="82"/>
  <c r="F20" i="82"/>
  <c r="M19" i="82"/>
  <c r="F18" i="82"/>
  <c r="M17" i="82"/>
  <c r="F17" i="82"/>
  <c r="F15" i="82"/>
  <c r="D24" i="82"/>
  <c r="P61" i="82"/>
  <c r="D22" i="82"/>
  <c r="B131" i="79"/>
  <c r="B129" i="79"/>
  <c r="B127" i="79"/>
  <c r="F45" i="79"/>
  <c r="AA45"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F30" i="79"/>
  <c r="AA30"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H14" i="79"/>
  <c r="AB14"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H9" i="79"/>
  <c r="AB9" i="79"/>
  <c r="I55" i="79"/>
  <c r="J55" i="79"/>
  <c r="G55" i="79"/>
  <c r="H55" i="79"/>
  <c r="E55" i="79"/>
  <c r="F55" i="79"/>
  <c r="P50" i="79"/>
  <c r="P49" i="79"/>
  <c r="V48" i="79"/>
  <c r="T48" i="79"/>
  <c r="R48" i="79"/>
  <c r="P48" i="79"/>
  <c r="Q47" i="79"/>
  <c r="Z47" i="79"/>
  <c r="J47" i="79"/>
  <c r="AC47" i="79"/>
  <c r="H47" i="79"/>
  <c r="AB47" i="79"/>
  <c r="F47" i="79"/>
  <c r="AA47" i="79"/>
  <c r="Q46" i="79"/>
  <c r="Z46" i="79"/>
  <c r="J46" i="79"/>
  <c r="AC46" i="79"/>
  <c r="H46" i="79"/>
  <c r="AB46" i="79"/>
  <c r="F46" i="79"/>
  <c r="AA46" i="79"/>
  <c r="Q45" i="79"/>
  <c r="Z45" i="79"/>
  <c r="J45" i="79"/>
  <c r="AC45" i="79"/>
  <c r="H45" i="79"/>
  <c r="AB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J33" i="79"/>
  <c r="AC33" i="79"/>
  <c r="H33" i="79"/>
  <c r="AB33" i="79"/>
  <c r="F33" i="79"/>
  <c r="AA33" i="79"/>
  <c r="Q32" i="79"/>
  <c r="Z32" i="79"/>
  <c r="J32" i="79"/>
  <c r="AC32" i="79"/>
  <c r="H32" i="79"/>
  <c r="AB32" i="79"/>
  <c r="F32" i="79"/>
  <c r="AA32" i="79"/>
  <c r="Q31" i="79"/>
  <c r="Z31" i="79"/>
  <c r="J31" i="79"/>
  <c r="AC31" i="79"/>
  <c r="H31" i="79"/>
  <c r="AB31" i="79"/>
  <c r="F31" i="79"/>
  <c r="AA31" i="79"/>
  <c r="Q30" i="79"/>
  <c r="Z30" i="79"/>
  <c r="H30" i="79"/>
  <c r="AB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5" i="79"/>
  <c r="Z25" i="79"/>
  <c r="J25" i="79"/>
  <c r="AC25" i="79"/>
  <c r="H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Q9" i="79"/>
  <c r="Z9" i="79"/>
  <c r="J9" i="79"/>
  <c r="AC9" i="79"/>
  <c r="J8" i="79"/>
  <c r="W8" i="79"/>
  <c r="H8" i="79"/>
  <c r="AB8" i="79"/>
  <c r="F8" i="79"/>
  <c r="S8" i="79"/>
  <c r="D3" i="79"/>
  <c r="D2" i="79"/>
  <c r="J30" i="79"/>
  <c r="AC30" i="79"/>
  <c r="F9" i="79"/>
  <c r="AA9" i="79"/>
  <c r="F10" i="79"/>
  <c r="AA10" i="79"/>
  <c r="F14" i="79"/>
  <c r="AA14" i="79"/>
  <c r="U8" i="79"/>
  <c r="AA8" i="79"/>
  <c r="AC8" i="79"/>
  <c r="U9" i="79"/>
  <c r="W10" i="79"/>
  <c r="U11" i="79"/>
  <c r="S12" i="79"/>
  <c r="W12" i="79"/>
  <c r="U13" i="79"/>
  <c r="W14" i="79"/>
  <c r="S15" i="79"/>
  <c r="W15" i="79"/>
  <c r="S17" i="79"/>
  <c r="W17" i="79"/>
  <c r="S19" i="79"/>
  <c r="W19" i="79"/>
  <c r="S21" i="79"/>
  <c r="W21" i="79"/>
  <c r="S23" i="79"/>
  <c r="W23" i="79"/>
  <c r="AB25" i="79"/>
  <c r="U25" i="79"/>
  <c r="W25"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14" i="79"/>
  <c r="S9" i="79"/>
  <c r="S10" i="79"/>
  <c r="B112" i="77"/>
  <c r="F40" i="77"/>
  <c r="AA40" i="77"/>
  <c r="B110" i="77"/>
  <c r="H39" i="77"/>
  <c r="AB39" i="77"/>
  <c r="B108" i="77"/>
  <c r="D107" i="77"/>
  <c r="E107" i="77"/>
  <c r="F107" i="77"/>
  <c r="G107" i="77"/>
  <c r="H107" i="77"/>
  <c r="I107" i="77"/>
  <c r="J107" i="77"/>
  <c r="K107" i="77"/>
  <c r="L107" i="77"/>
  <c r="M107" i="77"/>
  <c r="D105" i="77"/>
  <c r="E105" i="77"/>
  <c r="F105" i="77"/>
  <c r="G105" i="77"/>
  <c r="D103" i="77"/>
  <c r="E103" i="77"/>
  <c r="F103" i="77"/>
  <c r="G103" i="77"/>
  <c r="H103" i="77"/>
  <c r="I103" i="77"/>
  <c r="J103" i="77"/>
  <c r="K103" i="77"/>
  <c r="L103" i="77"/>
  <c r="M103" i="77"/>
  <c r="D101" i="77"/>
  <c r="E101" i="77"/>
  <c r="F101" i="77"/>
  <c r="G101" i="77"/>
  <c r="H101" i="77"/>
  <c r="I101" i="77"/>
  <c r="J101" i="77"/>
  <c r="K101" i="77"/>
  <c r="L101" i="77"/>
  <c r="M101" i="77"/>
  <c r="D99" i="77"/>
  <c r="E99" i="77"/>
  <c r="F99" i="77"/>
  <c r="G99" i="77"/>
  <c r="H99" i="77"/>
  <c r="I99" i="77"/>
  <c r="J99" i="77"/>
  <c r="K99" i="77"/>
  <c r="L99" i="77"/>
  <c r="M99" i="77"/>
  <c r="G97" i="77"/>
  <c r="F97" i="77"/>
  <c r="E97" i="77"/>
  <c r="D97" i="77"/>
  <c r="C97" i="77"/>
  <c r="D96" i="77"/>
  <c r="E96" i="77"/>
  <c r="F96" i="77"/>
  <c r="G96" i="77"/>
  <c r="H96" i="77"/>
  <c r="I96" i="77"/>
  <c r="J96" i="77"/>
  <c r="K96" i="77"/>
  <c r="L96" i="77"/>
  <c r="M96" i="77"/>
  <c r="D94" i="77"/>
  <c r="E94" i="77"/>
  <c r="F94" i="77"/>
  <c r="G94" i="77"/>
  <c r="H94" i="77"/>
  <c r="I94" i="77"/>
  <c r="J94" i="77"/>
  <c r="K94" i="77"/>
  <c r="L94" i="77"/>
  <c r="M94" i="77"/>
  <c r="M90" i="77"/>
  <c r="L90" i="77"/>
  <c r="K90" i="77"/>
  <c r="J90" i="77"/>
  <c r="I90" i="77"/>
  <c r="H90" i="77"/>
  <c r="G90" i="77"/>
  <c r="F90" i="77"/>
  <c r="E90" i="77"/>
  <c r="D90" i="77"/>
  <c r="C90" i="77"/>
  <c r="D89" i="77"/>
  <c r="E89" i="77"/>
  <c r="F89" i="77"/>
  <c r="G89" i="77"/>
  <c r="H89" i="77"/>
  <c r="I89" i="77"/>
  <c r="J89" i="77"/>
  <c r="K89" i="77"/>
  <c r="L89" i="77"/>
  <c r="M89" i="77"/>
  <c r="B86" i="77"/>
  <c r="H28" i="77"/>
  <c r="AB28" i="77"/>
  <c r="B84" i="77"/>
  <c r="H27" i="77"/>
  <c r="AB27" i="77"/>
  <c r="B82" i="77"/>
  <c r="H26" i="77"/>
  <c r="AB26" i="77"/>
  <c r="B80" i="77"/>
  <c r="D79" i="77"/>
  <c r="E79" i="77"/>
  <c r="F79" i="77"/>
  <c r="G79" i="77"/>
  <c r="D77" i="77"/>
  <c r="E77" i="77"/>
  <c r="F77" i="77"/>
  <c r="G77" i="77"/>
  <c r="D75" i="77"/>
  <c r="E75" i="77"/>
  <c r="F75" i="77"/>
  <c r="G75" i="77"/>
  <c r="D73" i="77"/>
  <c r="E73" i="77"/>
  <c r="F73" i="77"/>
  <c r="G73" i="77"/>
  <c r="D71" i="77"/>
  <c r="E71" i="77"/>
  <c r="F71" i="77"/>
  <c r="G71" i="77"/>
  <c r="B68" i="77"/>
  <c r="F14" i="77"/>
  <c r="AA14" i="77"/>
  <c r="B66" i="77"/>
  <c r="J13" i="77"/>
  <c r="AC13" i="77"/>
  <c r="B64" i="77"/>
  <c r="D63" i="77"/>
  <c r="E63" i="77"/>
  <c r="F63" i="77"/>
  <c r="G63" i="77"/>
  <c r="H63" i="77"/>
  <c r="I63" i="77"/>
  <c r="J63" i="77"/>
  <c r="K63" i="77"/>
  <c r="L63" i="77"/>
  <c r="M63" i="77"/>
  <c r="M61" i="77"/>
  <c r="L61" i="77"/>
  <c r="K61" i="77"/>
  <c r="J61" i="77"/>
  <c r="I61" i="77"/>
  <c r="H61" i="77"/>
  <c r="G61" i="77"/>
  <c r="F61" i="77"/>
  <c r="E61" i="77"/>
  <c r="D61" i="77"/>
  <c r="C61" i="77"/>
  <c r="F60" i="77"/>
  <c r="G60" i="77"/>
  <c r="H60" i="77"/>
  <c r="I60" i="77"/>
  <c r="C57" i="77"/>
  <c r="F9" i="77"/>
  <c r="AA9" i="77"/>
  <c r="I48" i="77"/>
  <c r="J48" i="77"/>
  <c r="G48" i="77"/>
  <c r="H48" i="77"/>
  <c r="E48" i="77"/>
  <c r="F48" i="77"/>
  <c r="P43" i="77"/>
  <c r="P42" i="77"/>
  <c r="V41" i="77"/>
  <c r="T41" i="77"/>
  <c r="R41" i="77"/>
  <c r="P41" i="77"/>
  <c r="Q40" i="77"/>
  <c r="Z40" i="77"/>
  <c r="H40" i="77"/>
  <c r="AB40" i="77"/>
  <c r="Q39" i="77"/>
  <c r="Z39" i="77"/>
  <c r="J39" i="77"/>
  <c r="AC39" i="77"/>
  <c r="F39" i="77"/>
  <c r="AA39" i="77"/>
  <c r="Q38" i="77"/>
  <c r="Z38" i="77"/>
  <c r="J38" i="77"/>
  <c r="AC38" i="77"/>
  <c r="H38" i="77"/>
  <c r="AB38" i="77"/>
  <c r="F38" i="77"/>
  <c r="AA38" i="77"/>
  <c r="Q37" i="77"/>
  <c r="Z37" i="77"/>
  <c r="F37" i="77"/>
  <c r="AA37" i="77"/>
  <c r="Q36" i="77"/>
  <c r="Z36" i="77"/>
  <c r="J36" i="77"/>
  <c r="AC36" i="77"/>
  <c r="H36" i="77"/>
  <c r="F36" i="77"/>
  <c r="AA36" i="77"/>
  <c r="Q35" i="77"/>
  <c r="Z35" i="77"/>
  <c r="J35" i="77"/>
  <c r="W35" i="77"/>
  <c r="H35" i="77"/>
  <c r="AB35" i="77"/>
  <c r="F35" i="77"/>
  <c r="AA35" i="77"/>
  <c r="Q34" i="77"/>
  <c r="Z34" i="77"/>
  <c r="J34" i="77"/>
  <c r="AC34" i="77"/>
  <c r="H34" i="77"/>
  <c r="AB34" i="77"/>
  <c r="F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Q27" i="77"/>
  <c r="Z27" i="77"/>
  <c r="J27" i="77"/>
  <c r="AC27" i="77"/>
  <c r="Q26" i="77"/>
  <c r="Z26" i="77"/>
  <c r="J26" i="77"/>
  <c r="W26" i="77"/>
  <c r="F26" i="77"/>
  <c r="AA26" i="77"/>
  <c r="Q25" i="77"/>
  <c r="Z25" i="77"/>
  <c r="J25" i="77"/>
  <c r="AC25" i="77"/>
  <c r="H25" i="77"/>
  <c r="AB25" i="77"/>
  <c r="F25" i="77"/>
  <c r="AA25" i="77"/>
  <c r="Q23" i="77"/>
  <c r="Z23" i="77"/>
  <c r="J23" i="77"/>
  <c r="AC23" i="77"/>
  <c r="H23" i="77"/>
  <c r="AB23" i="77"/>
  <c r="F23" i="77"/>
  <c r="AA23" i="77"/>
  <c r="C23" i="77"/>
  <c r="Q21" i="77"/>
  <c r="Z21" i="77"/>
  <c r="J21" i="77"/>
  <c r="W21" i="77"/>
  <c r="H21" i="77"/>
  <c r="AB21" i="77"/>
  <c r="F21" i="77"/>
  <c r="AA21" i="77"/>
  <c r="C21" i="77"/>
  <c r="Q19" i="77"/>
  <c r="Z19" i="77"/>
  <c r="J19" i="77"/>
  <c r="AC19" i="77"/>
  <c r="H19" i="77"/>
  <c r="AB19" i="77"/>
  <c r="F19" i="77"/>
  <c r="AA19" i="77"/>
  <c r="C19" i="77"/>
  <c r="Q17" i="77"/>
  <c r="Z17" i="77"/>
  <c r="J17" i="77"/>
  <c r="W17" i="77"/>
  <c r="H17" i="77"/>
  <c r="AB17" i="77"/>
  <c r="F17" i="77"/>
  <c r="AA17" i="77"/>
  <c r="C17" i="77"/>
  <c r="Q15" i="77"/>
  <c r="Z15" i="77"/>
  <c r="J15" i="77"/>
  <c r="AC15" i="77"/>
  <c r="F15" i="77"/>
  <c r="AA15" i="77"/>
  <c r="C15" i="77"/>
  <c r="Q14" i="77"/>
  <c r="Z14" i="77"/>
  <c r="H14" i="77"/>
  <c r="AB14" i="77"/>
  <c r="Q13" i="77"/>
  <c r="Z13" i="77"/>
  <c r="H13" i="77"/>
  <c r="AB13" i="77"/>
  <c r="Q12" i="77"/>
  <c r="Z12" i="77"/>
  <c r="J12" i="77"/>
  <c r="AC12" i="77"/>
  <c r="H12" i="77"/>
  <c r="AB12" i="77"/>
  <c r="F12" i="77"/>
  <c r="AA12" i="77"/>
  <c r="Q11" i="77"/>
  <c r="Z11" i="77"/>
  <c r="J11" i="77"/>
  <c r="AC11" i="77"/>
  <c r="H11" i="77"/>
  <c r="AB11" i="77"/>
  <c r="F11" i="77"/>
  <c r="AA11" i="77"/>
  <c r="Q10" i="77"/>
  <c r="Z10" i="77"/>
  <c r="H10" i="77"/>
  <c r="AB10" i="77"/>
  <c r="Q9" i="77"/>
  <c r="Z9" i="77"/>
  <c r="H9" i="77"/>
  <c r="U9" i="77"/>
  <c r="J8" i="77"/>
  <c r="W8" i="77"/>
  <c r="H8" i="77"/>
  <c r="AB8" i="77"/>
  <c r="F8" i="77"/>
  <c r="S8" i="77"/>
  <c r="D3" i="77"/>
  <c r="D2" i="77"/>
  <c r="J9" i="77"/>
  <c r="AC9" i="77"/>
  <c r="J40" i="77"/>
  <c r="AC40" i="77"/>
  <c r="F27" i="77"/>
  <c r="AA27" i="77"/>
  <c r="F28" i="77"/>
  <c r="S28" i="77"/>
  <c r="J37" i="77"/>
  <c r="AC37" i="77"/>
  <c r="J14" i="77"/>
  <c r="W14" i="77"/>
  <c r="J28" i="77"/>
  <c r="AC28" i="77"/>
  <c r="AC14" i="77"/>
  <c r="U25" i="77"/>
  <c r="F10" i="77"/>
  <c r="AA10" i="77"/>
  <c r="J10" i="77"/>
  <c r="W10" i="77"/>
  <c r="F13" i="77"/>
  <c r="AA13" i="77"/>
  <c r="U13" i="77"/>
  <c r="H15" i="77"/>
  <c r="AB15" i="77"/>
  <c r="AC26" i="77"/>
  <c r="H37" i="77"/>
  <c r="AB37" i="77"/>
  <c r="AC35" i="77"/>
  <c r="U34" i="77"/>
  <c r="AC21" i="77"/>
  <c r="AC17" i="77"/>
  <c r="AB9" i="77"/>
  <c r="U8" i="77"/>
  <c r="AA8" i="77"/>
  <c r="S12" i="77"/>
  <c r="S15" i="77"/>
  <c r="S19" i="77"/>
  <c r="S23" i="77"/>
  <c r="AA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3" i="77"/>
  <c r="S10" i="77"/>
  <c r="U37" i="77"/>
  <c r="U15" i="77"/>
  <c r="AC10" i="77"/>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2" i="76"/>
  <c r="B11" i="76"/>
  <c r="E13" i="76"/>
  <c r="B13" i="76"/>
  <c r="B7" i="76"/>
  <c r="E9" i="76"/>
  <c r="E7" i="76"/>
  <c r="B10" i="76"/>
  <c r="E11" i="76"/>
  <c r="B8" i="76"/>
  <c r="E12" i="76"/>
  <c r="E10" i="76"/>
  <c r="B9" i="76"/>
  <c r="E8"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3" i="73"/>
  <c r="D3" i="73"/>
  <c r="F6" i="73"/>
  <c r="F5" i="73"/>
  <c r="D7" i="73"/>
  <c r="D6" i="73"/>
  <c r="D4" i="73"/>
  <c r="F11" i="82"/>
  <c r="M11" i="82"/>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86"/>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B64" i="71"/>
  <c r="B63" i="71"/>
  <c r="F64" i="71"/>
  <c r="F63"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O26" i="71"/>
  <c r="C27" i="71"/>
  <c r="N26" i="71"/>
  <c r="B27" i="71"/>
  <c r="D26" i="71"/>
  <c r="Q25" i="71"/>
  <c r="P25" i="71"/>
  <c r="O25" i="71"/>
  <c r="N25" i="71"/>
  <c r="Q24" i="71"/>
  <c r="P24" i="71"/>
  <c r="O24" i="71"/>
  <c r="N24" i="71"/>
  <c r="Q23" i="71"/>
  <c r="P23" i="71"/>
  <c r="O23" i="71"/>
  <c r="N23" i="71"/>
  <c r="Q22" i="71"/>
  <c r="F23" i="71"/>
  <c r="F24" i="71"/>
  <c r="F25" i="71"/>
  <c r="V25" i="71"/>
  <c r="P22" i="71"/>
  <c r="E23" i="71"/>
  <c r="O22" i="71"/>
  <c r="C23" i="71"/>
  <c r="N22" i="71"/>
  <c r="B23" i="71"/>
  <c r="D22" i="71"/>
  <c r="Q21" i="71"/>
  <c r="P21" i="71"/>
  <c r="O21" i="71"/>
  <c r="N21" i="71"/>
  <c r="Q20" i="71"/>
  <c r="AB20" i="71"/>
  <c r="P20" i="71"/>
  <c r="AA20" i="71"/>
  <c r="O20" i="71"/>
  <c r="Y20" i="71"/>
  <c r="Z20" i="71"/>
  <c r="N20" i="71"/>
  <c r="X20" i="71"/>
  <c r="Q19" i="71"/>
  <c r="AB19" i="71"/>
  <c r="P19" i="71"/>
  <c r="O19" i="71"/>
  <c r="Y19" i="71"/>
  <c r="Z19" i="71"/>
  <c r="N19" i="71"/>
  <c r="F19" i="71"/>
  <c r="F20" i="71"/>
  <c r="F21" i="71"/>
  <c r="V21" i="71"/>
  <c r="Q18" i="71"/>
  <c r="P18" i="71"/>
  <c r="O18" i="71"/>
  <c r="N18" i="71"/>
  <c r="D18" i="71"/>
  <c r="Q17" i="71"/>
  <c r="P17" i="71"/>
  <c r="O17" i="71"/>
  <c r="Y17" i="71"/>
  <c r="Z17" i="71"/>
  <c r="N17" i="71"/>
  <c r="Q16" i="71"/>
  <c r="P16" i="71"/>
  <c r="O16" i="71"/>
  <c r="Y16" i="71"/>
  <c r="Z16" i="71"/>
  <c r="N16" i="71"/>
  <c r="Q15" i="71"/>
  <c r="P15" i="71"/>
  <c r="O15" i="71"/>
  <c r="Y15" i="71"/>
  <c r="Z15" i="71"/>
  <c r="N15" i="71"/>
  <c r="Q14" i="71"/>
  <c r="F15" i="71"/>
  <c r="F16" i="71"/>
  <c r="F17" i="71"/>
  <c r="V17" i="71"/>
  <c r="P14" i="71"/>
  <c r="O14" i="71"/>
  <c r="N14" i="71"/>
  <c r="D14" i="71"/>
  <c r="Q13" i="71"/>
  <c r="AB13" i="71"/>
  <c r="P13" i="71"/>
  <c r="O13" i="71"/>
  <c r="N13" i="71"/>
  <c r="Q12" i="71"/>
  <c r="AB12" i="71"/>
  <c r="P12" i="71"/>
  <c r="O12" i="71"/>
  <c r="N12" i="71"/>
  <c r="Q11" i="71"/>
  <c r="AB11" i="71"/>
  <c r="P11" i="71"/>
  <c r="O11" i="71"/>
  <c r="N11" i="71"/>
  <c r="F11" i="71"/>
  <c r="F12" i="71"/>
  <c r="F13" i="71"/>
  <c r="V13" i="71"/>
  <c r="Q10" i="71"/>
  <c r="P10" i="71"/>
  <c r="O10" i="71"/>
  <c r="N10" i="71"/>
  <c r="D10" i="71"/>
  <c r="O9" i="71"/>
  <c r="N9" i="71"/>
  <c r="Y5" i="71"/>
  <c r="Z5" i="71"/>
  <c r="Y12" i="71"/>
  <c r="Z12" i="71"/>
  <c r="AB15" i="71"/>
  <c r="B48" i="71"/>
  <c r="B47" i="71"/>
  <c r="Y11" i="71"/>
  <c r="Z11" i="71"/>
  <c r="Y13" i="71"/>
  <c r="Z13" i="71"/>
  <c r="AB16" i="71"/>
  <c r="AB17" i="71"/>
  <c r="B60" i="71"/>
  <c r="B59" i="71"/>
  <c r="X5" i="71"/>
  <c r="B24" i="71"/>
  <c r="B25" i="71"/>
  <c r="S25" i="71"/>
  <c r="E24" i="71"/>
  <c r="E25" i="71"/>
  <c r="U25" i="71"/>
  <c r="B28" i="71"/>
  <c r="B29" i="71"/>
  <c r="S29" i="71"/>
  <c r="E28" i="71"/>
  <c r="E29" i="71"/>
  <c r="U29" i="71"/>
  <c r="F36" i="71"/>
  <c r="F37" i="71"/>
  <c r="V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D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Z21" i="37"/>
  <c r="Q21" i="37"/>
  <c r="D77" i="37"/>
  <c r="E77" i="37"/>
  <c r="C21" i="37"/>
  <c r="Z21" i="34"/>
  <c r="Q21" i="34"/>
  <c r="D84" i="34"/>
  <c r="E84" i="34"/>
  <c r="F21" i="34"/>
  <c r="AA21" i="34"/>
  <c r="C21" i="34"/>
  <c r="Q21" i="33"/>
  <c r="Z21" i="33"/>
  <c r="D83" i="33"/>
  <c r="E83" i="33"/>
  <c r="C21" i="33"/>
  <c r="C21" i="21"/>
  <c r="Q21" i="21"/>
  <c r="Z21" i="21"/>
  <c r="D83" i="21"/>
  <c r="F21" i="21"/>
  <c r="AA21" i="21"/>
  <c r="D81" i="21"/>
  <c r="G20" i="20"/>
  <c r="B86" i="43"/>
  <c r="C22" i="20"/>
  <c r="AO10" i="1"/>
  <c r="AO9" i="1"/>
  <c r="AO11" i="1"/>
  <c r="AO12"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5" i="66"/>
  <c r="I13" i="66"/>
  <c r="I12" i="66"/>
  <c r="I9" i="66"/>
  <c r="I8" i="66"/>
  <c r="I7" i="66"/>
  <c r="I6" i="66"/>
  <c r="I5" i="66"/>
  <c r="I10" i="66"/>
  <c r="I21" i="66"/>
  <c r="I4" i="66"/>
  <c r="I3" i="66"/>
  <c r="D1" i="43"/>
  <c r="F113" i="43"/>
  <c r="N99" i="43"/>
  <c r="N108" i="43"/>
  <c r="D99" i="43"/>
  <c r="D108" i="43"/>
  <c r="E99" i="43"/>
  <c r="F99" i="43"/>
  <c r="F108" i="43"/>
  <c r="G99" i="43"/>
  <c r="G108" i="43"/>
  <c r="H99" i="43"/>
  <c r="H108" i="43"/>
  <c r="I99" i="43"/>
  <c r="J99" i="43"/>
  <c r="J108" i="43"/>
  <c r="K99" i="43"/>
  <c r="L99" i="43"/>
  <c r="M99" i="43"/>
  <c r="C99" i="43"/>
  <c r="C108" i="43"/>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c r="F15" i="4"/>
  <c r="F9" i="1"/>
  <c r="F10" i="1"/>
  <c r="F11" i="1"/>
  <c r="G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AX21" i="3"/>
  <c r="AW21" i="3"/>
  <c r="AV21" i="3"/>
  <c r="AC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L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L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S13" i="3"/>
  <c r="BS14" i="3"/>
  <c r="BS15" i="3"/>
  <c r="BS17" i="3"/>
  <c r="BR14" i="3"/>
  <c r="BR15" i="3"/>
  <c r="BR17" i="3"/>
  <c r="BT13" i="3"/>
  <c r="BT14" i="3"/>
  <c r="BT15" i="3"/>
  <c r="BT17" i="3"/>
  <c r="BM14" i="3"/>
  <c r="BM15" i="3"/>
  <c r="BM17" i="3"/>
  <c r="BO13" i="3"/>
  <c r="BO14" i="3"/>
  <c r="BO15" i="3"/>
  <c r="BO17" i="3"/>
  <c r="BN13" i="3"/>
  <c r="BN14" i="3"/>
  <c r="BN15" i="3"/>
  <c r="BN17" i="3"/>
  <c r="BP13" i="3"/>
  <c r="BP14" i="3"/>
  <c r="BP15" i="3"/>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7" i="3"/>
  <c r="BD17" i="3"/>
  <c r="BE17" i="3"/>
  <c r="BH17" i="3"/>
  <c r="BI17" i="3"/>
  <c r="BJ17" i="3"/>
  <c r="BK17" i="3"/>
  <c r="BC10" i="3"/>
  <c r="BD10" i="3"/>
  <c r="BB10" i="3"/>
  <c r="H13" i="3"/>
  <c r="AC13" i="3"/>
  <c r="H14" i="3"/>
  <c r="AC14" i="3"/>
  <c r="H15" i="3"/>
  <c r="AC15"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A493" i="3"/>
  <c r="BE493" i="3"/>
  <c r="BF493" i="3"/>
  <c r="BG493" i="3"/>
  <c r="BH493" i="3"/>
  <c r="BH5" i="3"/>
  <c r="BI493" i="3"/>
  <c r="BJ493" i="3"/>
  <c r="BK493" i="3"/>
  <c r="BM493" i="3"/>
  <c r="BM5" i="3"/>
  <c r="BN493" i="3"/>
  <c r="BO493" i="3"/>
  <c r="BP493" i="3"/>
  <c r="BR493" i="3"/>
  <c r="BS493" i="3"/>
  <c r="BT493" i="3"/>
  <c r="H494" i="3"/>
  <c r="AC494" i="3"/>
  <c r="G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G498" i="3"/>
  <c r="AC498" i="3"/>
  <c r="BB498" i="3"/>
  <c r="BC498" i="3"/>
  <c r="BD498" i="3"/>
  <c r="BD5"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L502" i="3"/>
  <c r="BP502" i="3"/>
  <c r="BQ502" i="3"/>
  <c r="BR502" i="3"/>
  <c r="BS502" i="3"/>
  <c r="BT502" i="3"/>
  <c r="H503" i="3"/>
  <c r="AC503" i="3"/>
  <c r="G503" i="3"/>
  <c r="BB503" i="3"/>
  <c r="BC503" i="3"/>
  <c r="BD503" i="3"/>
  <c r="BE503" i="3"/>
  <c r="BF503" i="3"/>
  <c r="BG503" i="3"/>
  <c r="BH503" i="3"/>
  <c r="BI503" i="3"/>
  <c r="BJ503" i="3"/>
  <c r="BK503" i="3"/>
  <c r="BM503" i="3"/>
  <c r="BN503" i="3"/>
  <c r="BO503" i="3"/>
  <c r="BP503" i="3"/>
  <c r="BR503" i="3"/>
  <c r="BS503" i="3"/>
  <c r="BT503" i="3"/>
  <c r="H504" i="3"/>
  <c r="G504" i="3"/>
  <c r="AC504" i="3"/>
  <c r="BB504" i="3"/>
  <c r="BA504" i="3"/>
  <c r="BC504" i="3"/>
  <c r="BD504" i="3"/>
  <c r="BE504" i="3"/>
  <c r="BF504" i="3"/>
  <c r="BG504" i="3"/>
  <c r="BH504" i="3"/>
  <c r="BI504" i="3"/>
  <c r="BJ504" i="3"/>
  <c r="BK504" i="3"/>
  <c r="BM504" i="3"/>
  <c r="BN504" i="3"/>
  <c r="BO504" i="3"/>
  <c r="BP504" i="3"/>
  <c r="BQ504" i="3"/>
  <c r="BR504" i="3"/>
  <c r="BS504" i="3"/>
  <c r="BT504" i="3"/>
  <c r="H505" i="3"/>
  <c r="G505" i="3"/>
  <c r="AC505" i="3"/>
  <c r="BB505" i="3"/>
  <c r="BA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c r="BB516" i="3"/>
  <c r="BA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A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c r="AZ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L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c r="BE536" i="3"/>
  <c r="BF536" i="3"/>
  <c r="BG536" i="3"/>
  <c r="BH536" i="3"/>
  <c r="BI536" i="3"/>
  <c r="BJ536" i="3"/>
  <c r="BK536" i="3"/>
  <c r="BM536" i="3"/>
  <c r="BN536" i="3"/>
  <c r="BO536" i="3"/>
  <c r="BP536" i="3"/>
  <c r="BQ536" i="3"/>
  <c r="BR536" i="3"/>
  <c r="BS536" i="3"/>
  <c r="BT536" i="3"/>
  <c r="H537" i="3"/>
  <c r="G537" i="3"/>
  <c r="AC537" i="3"/>
  <c r="BB537" i="3"/>
  <c r="BC537" i="3"/>
  <c r="BD537" i="3"/>
  <c r="BA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L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L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L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c r="BF558" i="3"/>
  <c r="BG558" i="3"/>
  <c r="BH558" i="3"/>
  <c r="BI558" i="3"/>
  <c r="BJ558" i="3"/>
  <c r="BK558" i="3"/>
  <c r="BM558" i="3"/>
  <c r="BL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A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L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L584" i="3"/>
  <c r="BP584" i="3"/>
  <c r="BQ584" i="3"/>
  <c r="BR584" i="3"/>
  <c r="BS584" i="3"/>
  <c r="BT584" i="3"/>
  <c r="H7" i="12"/>
  <c r="I7" i="12"/>
  <c r="J7" i="12"/>
  <c r="K7" i="12"/>
  <c r="H111" i="21"/>
  <c r="B110" i="39"/>
  <c r="B112" i="39"/>
  <c r="H36" i="39"/>
  <c r="J30" i="36"/>
  <c r="H30" i="36"/>
  <c r="U30" i="36"/>
  <c r="F30" i="36"/>
  <c r="AA30" i="36"/>
  <c r="C26" i="35"/>
  <c r="C79" i="35"/>
  <c r="J31" i="35"/>
  <c r="W31" i="35"/>
  <c r="H31" i="35"/>
  <c r="AB31" i="35"/>
  <c r="F31" i="35"/>
  <c r="D87" i="35"/>
  <c r="E87" i="35"/>
  <c r="F87" i="35"/>
  <c r="G87" i="35"/>
  <c r="H87" i="35"/>
  <c r="I87" i="35"/>
  <c r="J87" i="35"/>
  <c r="K87" i="35"/>
  <c r="L87" i="35"/>
  <c r="M87" i="35"/>
  <c r="H34" i="37"/>
  <c r="U34" i="37"/>
  <c r="D101" i="37"/>
  <c r="E101" i="37"/>
  <c r="F101" i="37"/>
  <c r="G101" i="37"/>
  <c r="H101" i="37"/>
  <c r="I101" i="37"/>
  <c r="J101" i="37"/>
  <c r="K101" i="37"/>
  <c r="L101" i="37"/>
  <c r="M101" i="37"/>
  <c r="F34" i="37"/>
  <c r="S34" i="37"/>
  <c r="D99" i="37"/>
  <c r="E99" i="37"/>
  <c r="F99" i="37"/>
  <c r="G99" i="37"/>
  <c r="H99" i="37"/>
  <c r="I99" i="37"/>
  <c r="J99" i="37"/>
  <c r="K99" i="37"/>
  <c r="L99" i="37"/>
  <c r="M99" i="37"/>
  <c r="H42" i="34"/>
  <c r="AB42" i="34"/>
  <c r="J42" i="34"/>
  <c r="W42" i="34"/>
  <c r="F42" i="34"/>
  <c r="J38" i="34"/>
  <c r="W38" i="34"/>
  <c r="D114" i="34"/>
  <c r="F38" i="34"/>
  <c r="S38" i="34"/>
  <c r="D112" i="34"/>
  <c r="E112" i="34"/>
  <c r="F112" i="34"/>
  <c r="G112" i="34"/>
  <c r="H112" i="34"/>
  <c r="I112" i="34"/>
  <c r="J112" i="34"/>
  <c r="K112" i="34"/>
  <c r="L112" i="34"/>
  <c r="M112" i="34"/>
  <c r="F40" i="33"/>
  <c r="S40" i="33"/>
  <c r="D113" i="33"/>
  <c r="F37" i="33"/>
  <c r="D111" i="33"/>
  <c r="E111" i="33"/>
  <c r="F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B103" i="40"/>
  <c r="J32" i="40"/>
  <c r="B101" i="40"/>
  <c r="F31" i="40"/>
  <c r="AA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AB14" i="40"/>
  <c r="B79" i="40"/>
  <c r="H13" i="40"/>
  <c r="U13" i="40"/>
  <c r="B77" i="40"/>
  <c r="J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AB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F45" i="39"/>
  <c r="S45" i="39"/>
  <c r="B129" i="39"/>
  <c r="H44" i="39"/>
  <c r="B127" i="39"/>
  <c r="D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B86" i="39"/>
  <c r="B84" i="39"/>
  <c r="J13" i="39"/>
  <c r="W13" i="39"/>
  <c r="B8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H39" i="37"/>
  <c r="B108" i="37"/>
  <c r="F38" i="37"/>
  <c r="S38" i="37"/>
  <c r="C23" i="37"/>
  <c r="C19" i="37"/>
  <c r="C17" i="37"/>
  <c r="C15" i="37"/>
  <c r="B112" i="37"/>
  <c r="J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F27" i="37"/>
  <c r="AA27" i="37"/>
  <c r="B82" i="37"/>
  <c r="D79" i="37"/>
  <c r="E79" i="37"/>
  <c r="D75" i="37"/>
  <c r="E75" i="37"/>
  <c r="D73" i="37"/>
  <c r="E73" i="37"/>
  <c r="F73" i="37"/>
  <c r="D71" i="37"/>
  <c r="E71" i="37"/>
  <c r="F71" i="37"/>
  <c r="G71" i="37"/>
  <c r="H15" i="37"/>
  <c r="AB15" i="37"/>
  <c r="B68" i="37"/>
  <c r="B66" i="37"/>
  <c r="F13" i="37"/>
  <c r="S13" i="37"/>
  <c r="B64" i="37"/>
  <c r="J12" i="37"/>
  <c r="D63" i="37"/>
  <c r="E63" i="37"/>
  <c r="M61" i="37"/>
  <c r="L61" i="37"/>
  <c r="K61" i="37"/>
  <c r="J61" i="37"/>
  <c r="I61" i="37"/>
  <c r="H61" i="37"/>
  <c r="G61" i="37"/>
  <c r="F61" i="37"/>
  <c r="E61" i="37"/>
  <c r="D61" i="37"/>
  <c r="C61" i="37"/>
  <c r="F60" i="37"/>
  <c r="G60" i="37"/>
  <c r="C57" i="37"/>
  <c r="H9" i="37"/>
  <c r="AB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H26" i="37"/>
  <c r="AB26" i="37"/>
  <c r="F26" i="37"/>
  <c r="AA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B95" i="36"/>
  <c r="H34" i="36"/>
  <c r="D83" i="36"/>
  <c r="E83" i="36"/>
  <c r="F83" i="36"/>
  <c r="G83" i="36"/>
  <c r="H83" i="36"/>
  <c r="I83" i="36"/>
  <c r="J83" i="36"/>
  <c r="K83" i="36"/>
  <c r="L83" i="36"/>
  <c r="M83" i="36"/>
  <c r="D78" i="36"/>
  <c r="E78" i="36"/>
  <c r="F78" i="36"/>
  <c r="G78" i="36"/>
  <c r="H78" i="36"/>
  <c r="I78" i="36"/>
  <c r="J78" i="36"/>
  <c r="K78" i="36"/>
  <c r="L78" i="36"/>
  <c r="M78" i="36"/>
  <c r="B75" i="36"/>
  <c r="H25" i="36"/>
  <c r="AB25" i="36"/>
  <c r="B73" i="36"/>
  <c r="B71" i="36"/>
  <c r="H23" i="36"/>
  <c r="AB23" i="36"/>
  <c r="D70" i="36"/>
  <c r="H22" i="36"/>
  <c r="AB22" i="36"/>
  <c r="D68" i="36"/>
  <c r="E68" i="36"/>
  <c r="F68" i="36"/>
  <c r="G68" i="36"/>
  <c r="D64" i="36"/>
  <c r="E64" i="36"/>
  <c r="F64" i="36"/>
  <c r="G64" i="36"/>
  <c r="J16" i="36"/>
  <c r="W16" i="36"/>
  <c r="D62" i="36"/>
  <c r="E62" i="36"/>
  <c r="F62" i="36"/>
  <c r="G62" i="36"/>
  <c r="B59" i="36"/>
  <c r="H13" i="36"/>
  <c r="AB13" i="36"/>
  <c r="B57" i="36"/>
  <c r="F12" i="36"/>
  <c r="B55" i="36"/>
  <c r="F11" i="36"/>
  <c r="AA11"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U8" i="36"/>
  <c r="F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F36" i="35"/>
  <c r="S36" i="35"/>
  <c r="B99" i="35"/>
  <c r="B97" i="35"/>
  <c r="H34" i="35"/>
  <c r="B77" i="35"/>
  <c r="B75" i="35"/>
  <c r="B73" i="35"/>
  <c r="B57" i="35"/>
  <c r="B61" i="35"/>
  <c r="H13" i="35"/>
  <c r="U13" i="35"/>
  <c r="B59" i="35"/>
  <c r="B131" i="34"/>
  <c r="B129" i="34"/>
  <c r="F46" i="34"/>
  <c r="B127" i="34"/>
  <c r="B99" i="34"/>
  <c r="F32" i="34"/>
  <c r="B97" i="34"/>
  <c r="B95" i="34"/>
  <c r="F30" i="34"/>
  <c r="S30" i="34"/>
  <c r="B93" i="34"/>
  <c r="H29" i="34"/>
  <c r="AB29" i="34"/>
  <c r="B75" i="34"/>
  <c r="B73" i="34"/>
  <c r="B71" i="34"/>
  <c r="H12" i="34"/>
  <c r="B130" i="33"/>
  <c r="F46" i="33"/>
  <c r="AA46" i="33"/>
  <c r="B128" i="33"/>
  <c r="B126" i="33"/>
  <c r="B98" i="33"/>
  <c r="H31" i="33"/>
  <c r="B96" i="33"/>
  <c r="F30" i="33"/>
  <c r="B94" i="33"/>
  <c r="H29" i="33"/>
  <c r="U29"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D86" i="34"/>
  <c r="D82" i="34"/>
  <c r="D80" i="34"/>
  <c r="D78" i="34"/>
  <c r="H15" i="34"/>
  <c r="AB15"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D121" i="33"/>
  <c r="F41" i="33"/>
  <c r="AA41" i="33"/>
  <c r="F109" i="33"/>
  <c r="E109" i="33"/>
  <c r="D109" i="33"/>
  <c r="C109" i="33"/>
  <c r="D91" i="33"/>
  <c r="E91" i="33"/>
  <c r="B88" i="33"/>
  <c r="F26" i="33"/>
  <c r="AA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D81" i="33"/>
  <c r="D79" i="33"/>
  <c r="E79" i="33"/>
  <c r="D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D123" i="21"/>
  <c r="E123" i="21"/>
  <c r="F123" i="2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D77" i="21"/>
  <c r="E77" i="21"/>
  <c r="B130" i="21"/>
  <c r="J46" i="21"/>
  <c r="W46" i="21"/>
  <c r="B128" i="21"/>
  <c r="J45" i="21"/>
  <c r="W45" i="21"/>
  <c r="B126" i="21"/>
  <c r="H44" i="21"/>
  <c r="U44" i="21"/>
  <c r="B98" i="21"/>
  <c r="B96" i="21"/>
  <c r="B94" i="21"/>
  <c r="J29" i="21"/>
  <c r="AC29" i="21"/>
  <c r="B92" i="21"/>
  <c r="F28" i="21"/>
  <c r="AA28"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H26" i="21"/>
  <c r="AB26" i="21"/>
  <c r="J19" i="21"/>
  <c r="W19" i="21"/>
  <c r="H12" i="21"/>
  <c r="AB12" i="21"/>
  <c r="J26" i="21"/>
  <c r="W26" i="21"/>
  <c r="F26" i="21"/>
  <c r="S26" i="21"/>
  <c r="J44" i="39"/>
  <c r="AC44" i="39"/>
  <c r="W40" i="39"/>
  <c r="U30" i="37"/>
  <c r="F29" i="36"/>
  <c r="AA29" i="36"/>
  <c r="W8" i="36"/>
  <c r="F16" i="36"/>
  <c r="AA16" i="36"/>
  <c r="AA31" i="36"/>
  <c r="H22" i="35"/>
  <c r="AB22" i="35"/>
  <c r="U31" i="35"/>
  <c r="F36" i="34"/>
  <c r="J35" i="34"/>
  <c r="H39" i="33"/>
  <c r="AB39" i="33"/>
  <c r="F11" i="40"/>
  <c r="AA11" i="40"/>
  <c r="H11" i="40"/>
  <c r="AB11" i="40"/>
  <c r="AA9" i="40"/>
  <c r="U9" i="40"/>
  <c r="U34" i="40"/>
  <c r="S38" i="40"/>
  <c r="U40" i="40"/>
  <c r="F41" i="39"/>
  <c r="S41" i="39"/>
  <c r="H40" i="39"/>
  <c r="H39" i="39"/>
  <c r="U39" i="39"/>
  <c r="S34" i="39"/>
  <c r="H34" i="39"/>
  <c r="U34" i="39"/>
  <c r="F31" i="39"/>
  <c r="AA31" i="39"/>
  <c r="H19" i="39"/>
  <c r="AB19" i="39"/>
  <c r="F19" i="39"/>
  <c r="AA19" i="39"/>
  <c r="H17" i="39"/>
  <c r="AB17" i="39"/>
  <c r="F17" i="39"/>
  <c r="AA17" i="39"/>
  <c r="J23" i="40"/>
  <c r="AC23" i="40"/>
  <c r="F21" i="40"/>
  <c r="AA21" i="40"/>
  <c r="J21" i="40"/>
  <c r="AC21" i="40"/>
  <c r="W21" i="40"/>
  <c r="H42" i="39"/>
  <c r="AB42" i="39"/>
  <c r="J34" i="39"/>
  <c r="AC34" i="39"/>
  <c r="J31" i="39"/>
  <c r="H27" i="39"/>
  <c r="U27" i="39"/>
  <c r="J19" i="39"/>
  <c r="AC19" i="39"/>
  <c r="J17" i="39"/>
  <c r="J27" i="39"/>
  <c r="AC27" i="39"/>
  <c r="F27" i="39"/>
  <c r="C25" i="39"/>
  <c r="H32" i="33"/>
  <c r="AB32" i="33"/>
  <c r="H37" i="40"/>
  <c r="U37" i="40"/>
  <c r="H36" i="40"/>
  <c r="AB36" i="40"/>
  <c r="F35" i="40"/>
  <c r="AA35" i="40"/>
  <c r="H23" i="40"/>
  <c r="H17" i="40"/>
  <c r="U17" i="40"/>
  <c r="J15" i="40"/>
  <c r="W15" i="40"/>
  <c r="J11" i="40"/>
  <c r="AB8" i="39"/>
  <c r="S44" i="39"/>
  <c r="J30" i="35"/>
  <c r="W30" i="35"/>
  <c r="H30" i="35"/>
  <c r="AB30" i="35"/>
  <c r="F22" i="35"/>
  <c r="AA22" i="35"/>
  <c r="H10" i="35"/>
  <c r="U10" i="35"/>
  <c r="H16" i="36"/>
  <c r="AB16" i="36"/>
  <c r="J29" i="36"/>
  <c r="AC29" i="36"/>
  <c r="F34" i="36"/>
  <c r="S34" i="36"/>
  <c r="U8" i="35"/>
  <c r="F14" i="35"/>
  <c r="AA14" i="35"/>
  <c r="J32" i="35"/>
  <c r="AC32" i="35"/>
  <c r="J16" i="35"/>
  <c r="AC16" i="35"/>
  <c r="H16" i="35"/>
  <c r="U16" i="35"/>
  <c r="F16" i="35"/>
  <c r="S16" i="35"/>
  <c r="H14" i="35"/>
  <c r="AB14" i="35"/>
  <c r="J29" i="35"/>
  <c r="AC29" i="35"/>
  <c r="H33" i="35"/>
  <c r="AB33" i="35"/>
  <c r="AC8" i="35"/>
  <c r="J20" i="35"/>
  <c r="W20" i="35"/>
  <c r="F35" i="37"/>
  <c r="S35" i="37"/>
  <c r="J34" i="37"/>
  <c r="W34" i="37"/>
  <c r="AB34" i="37"/>
  <c r="J33" i="37"/>
  <c r="AC33" i="37"/>
  <c r="U42" i="34"/>
  <c r="H40" i="34"/>
  <c r="U40" i="34"/>
  <c r="E114" i="34"/>
  <c r="F114" i="34"/>
  <c r="G114" i="34"/>
  <c r="H114" i="34"/>
  <c r="I114" i="34"/>
  <c r="J114" i="34"/>
  <c r="K114" i="34"/>
  <c r="L114" i="34"/>
  <c r="M114" i="34"/>
  <c r="H36" i="34"/>
  <c r="U36" i="34"/>
  <c r="F37" i="34"/>
  <c r="AA37" i="34"/>
  <c r="S35" i="34"/>
  <c r="J23" i="34"/>
  <c r="H17" i="34"/>
  <c r="U17" i="34"/>
  <c r="J15" i="34"/>
  <c r="W15" i="34"/>
  <c r="W8" i="34"/>
  <c r="E113" i="33"/>
  <c r="F113" i="33"/>
  <c r="G113" i="33"/>
  <c r="H113" i="33"/>
  <c r="I113" i="33"/>
  <c r="J113" i="33"/>
  <c r="K113" i="33"/>
  <c r="L113" i="33"/>
  <c r="M113" i="33"/>
  <c r="F32" i="33"/>
  <c r="AA32" i="33"/>
  <c r="F11" i="33"/>
  <c r="AA11" i="33"/>
  <c r="F37" i="40"/>
  <c r="AA37" i="40"/>
  <c r="F36" i="40"/>
  <c r="AA36" i="40"/>
  <c r="H28" i="40"/>
  <c r="U28" i="40"/>
  <c r="F23" i="40"/>
  <c r="AA23" i="40"/>
  <c r="F17" i="40"/>
  <c r="AA17" i="40"/>
  <c r="J17" i="40"/>
  <c r="W17" i="40"/>
  <c r="F15" i="40"/>
  <c r="S15" i="40"/>
  <c r="H15" i="40"/>
  <c r="AB15" i="40"/>
  <c r="AB30" i="36"/>
  <c r="U30" i="35"/>
  <c r="F29" i="35"/>
  <c r="H29" i="35"/>
  <c r="AB29" i="35"/>
  <c r="H33" i="37"/>
  <c r="AB33" i="37"/>
  <c r="F33" i="37"/>
  <c r="AA33" i="37"/>
  <c r="W33" i="37"/>
  <c r="AA34" i="37"/>
  <c r="H38" i="34"/>
  <c r="AB38" i="34"/>
  <c r="J36" i="34"/>
  <c r="W36" i="34"/>
  <c r="J25" i="34"/>
  <c r="AC25" i="34"/>
  <c r="F23" i="34"/>
  <c r="AA23" i="34"/>
  <c r="J19" i="34"/>
  <c r="AC19" i="34"/>
  <c r="F17" i="34"/>
  <c r="AA17" i="34"/>
  <c r="H37" i="33"/>
  <c r="AB37" i="33"/>
  <c r="H11" i="33"/>
  <c r="AB11" i="33"/>
  <c r="F28" i="40"/>
  <c r="AA28" i="40"/>
  <c r="AA38" i="34"/>
  <c r="J11" i="33"/>
  <c r="W11" i="33"/>
  <c r="J42" i="21"/>
  <c r="AC42" i="21"/>
  <c r="J44" i="34"/>
  <c r="W44" i="34"/>
  <c r="F44" i="34"/>
  <c r="AA44" i="34"/>
  <c r="J10" i="35"/>
  <c r="W10" i="35"/>
  <c r="F14" i="21"/>
  <c r="S14" i="21"/>
  <c r="H28" i="21"/>
  <c r="AB28" i="21"/>
  <c r="J28" i="21"/>
  <c r="W28" i="21"/>
  <c r="F30" i="21"/>
  <c r="S30" i="21"/>
  <c r="J44" i="21"/>
  <c r="AC44" i="21"/>
  <c r="F44" i="21"/>
  <c r="AA44" i="21"/>
  <c r="J28" i="33"/>
  <c r="W28" i="33"/>
  <c r="F33" i="35"/>
  <c r="S33" i="35"/>
  <c r="J33" i="35"/>
  <c r="AC33" i="35"/>
  <c r="F30" i="35"/>
  <c r="S30" i="35"/>
  <c r="H10" i="36"/>
  <c r="AB10" i="36"/>
  <c r="J14" i="36"/>
  <c r="AC14" i="36"/>
  <c r="H14" i="36"/>
  <c r="U14" i="36"/>
  <c r="F28" i="36"/>
  <c r="AA28" i="36"/>
  <c r="J13" i="21"/>
  <c r="AC13" i="21"/>
  <c r="F27" i="21"/>
  <c r="AA27" i="21"/>
  <c r="H13" i="33"/>
  <c r="AB13" i="33"/>
  <c r="F14" i="34"/>
  <c r="S14" i="34"/>
  <c r="J30" i="34"/>
  <c r="H46" i="34"/>
  <c r="U46" i="34"/>
  <c r="J26" i="36"/>
  <c r="W26" i="36"/>
  <c r="H28" i="36"/>
  <c r="U28" i="36"/>
  <c r="H32" i="36"/>
  <c r="AB32" i="36"/>
  <c r="J13" i="36"/>
  <c r="AC13" i="36"/>
  <c r="J29" i="37"/>
  <c r="W29" i="37"/>
  <c r="F29" i="37"/>
  <c r="S29" i="37"/>
  <c r="H36" i="37"/>
  <c r="AB36" i="37"/>
  <c r="J37" i="37"/>
  <c r="AC37" i="37"/>
  <c r="H37" i="37"/>
  <c r="U37" i="37"/>
  <c r="H40" i="37"/>
  <c r="U40" i="37"/>
  <c r="F40" i="37"/>
  <c r="AA40" i="37"/>
  <c r="AC12" i="40"/>
  <c r="W12" i="40"/>
  <c r="H14" i="33"/>
  <c r="U14" i="33"/>
  <c r="F14" i="33"/>
  <c r="S14" i="33"/>
  <c r="J14" i="33"/>
  <c r="H30" i="33"/>
  <c r="AB30" i="33"/>
  <c r="H44" i="33"/>
  <c r="J44" i="33"/>
  <c r="F44" i="33"/>
  <c r="S44" i="33"/>
  <c r="H13" i="34"/>
  <c r="U13" i="34"/>
  <c r="J13" i="34"/>
  <c r="W13" i="34"/>
  <c r="F13" i="34"/>
  <c r="AA13" i="34"/>
  <c r="F29" i="34"/>
  <c r="S29" i="34"/>
  <c r="J31" i="34"/>
  <c r="AC31" i="34"/>
  <c r="H31" i="34"/>
  <c r="AB31" i="34"/>
  <c r="F31" i="34"/>
  <c r="S31" i="34"/>
  <c r="F45" i="34"/>
  <c r="S45" i="34"/>
  <c r="H47" i="34"/>
  <c r="U47" i="34"/>
  <c r="F47" i="34"/>
  <c r="S47" i="34"/>
  <c r="J47" i="34"/>
  <c r="AC47" i="34"/>
  <c r="F13" i="35"/>
  <c r="S13" i="35"/>
  <c r="J13" i="35"/>
  <c r="AC13" i="35"/>
  <c r="J35" i="35"/>
  <c r="AC35" i="35"/>
  <c r="F35" i="35"/>
  <c r="AA35" i="35"/>
  <c r="H35" i="35"/>
  <c r="AB35" i="35"/>
  <c r="J25" i="36"/>
  <c r="W25" i="36"/>
  <c r="F25" i="36"/>
  <c r="S25" i="36"/>
  <c r="H13" i="37"/>
  <c r="AB13" i="37"/>
  <c r="H38" i="37"/>
  <c r="AB38" i="37"/>
  <c r="J38" i="37"/>
  <c r="AC38" i="37"/>
  <c r="J14" i="39"/>
  <c r="F14" i="39"/>
  <c r="H14" i="39"/>
  <c r="AB14" i="39"/>
  <c r="F12" i="40"/>
  <c r="S12" i="40"/>
  <c r="H12" i="40"/>
  <c r="AB12" i="40"/>
  <c r="H30" i="40"/>
  <c r="AB30" i="40"/>
  <c r="F33" i="40"/>
  <c r="AA33" i="40"/>
  <c r="J35" i="40"/>
  <c r="AC35" i="40"/>
  <c r="J37" i="40"/>
  <c r="AC37" i="40"/>
  <c r="J13" i="40"/>
  <c r="W13" i="40"/>
  <c r="F13" i="39"/>
  <c r="H13" i="39"/>
  <c r="J14" i="37"/>
  <c r="AC14" i="37"/>
  <c r="AA13" i="35"/>
  <c r="J36" i="37"/>
  <c r="AC36" i="37"/>
  <c r="J10" i="36"/>
  <c r="AC10" i="36"/>
  <c r="W31" i="34"/>
  <c r="U13" i="33"/>
  <c r="F17" i="21"/>
  <c r="AA17" i="21"/>
  <c r="J41" i="39"/>
  <c r="W41" i="39"/>
  <c r="G540" i="3"/>
  <c r="G518" i="3"/>
  <c r="G510" i="3"/>
  <c r="G496" i="3"/>
  <c r="BL560" i="3"/>
  <c r="BL494" i="3"/>
  <c r="G533" i="3"/>
  <c r="G525" i="3"/>
  <c r="BA544" i="3"/>
  <c r="BA520" i="3"/>
  <c r="BA587" i="3"/>
  <c r="BA541" i="3"/>
  <c r="BA511" i="3"/>
  <c r="G575" i="3"/>
  <c r="G563" i="3"/>
  <c r="AC557" i="3"/>
  <c r="BQ557" i="3"/>
  <c r="BQ583" i="3"/>
  <c r="BQ581" i="3"/>
  <c r="BQ579" i="3"/>
  <c r="BQ577" i="3"/>
  <c r="BQ575" i="3"/>
  <c r="BQ573" i="3"/>
  <c r="BQ571" i="3"/>
  <c r="BQ569" i="3"/>
  <c r="BQ567" i="3"/>
  <c r="BQ565" i="3"/>
  <c r="BQ563" i="3"/>
  <c r="BQ561" i="3"/>
  <c r="BQ559" i="3"/>
  <c r="G555" i="3"/>
  <c r="G545" i="3"/>
  <c r="G541" i="3"/>
  <c r="BQ555" i="3"/>
  <c r="BQ553" i="3"/>
  <c r="BQ551" i="3"/>
  <c r="BQ549" i="3"/>
  <c r="BQ547" i="3"/>
  <c r="BQ545" i="3"/>
  <c r="BQ543" i="3"/>
  <c r="BQ541" i="3"/>
  <c r="BQ539" i="3"/>
  <c r="BQ537" i="3"/>
  <c r="BQ535" i="3"/>
  <c r="BQ533" i="3"/>
  <c r="BQ531" i="3"/>
  <c r="BQ529" i="3"/>
  <c r="BQ527" i="3"/>
  <c r="BQ525" i="3"/>
  <c r="BQ523" i="3"/>
  <c r="AC521" i="3"/>
  <c r="G521" i="3"/>
  <c r="BQ521" i="3"/>
  <c r="BQ519" i="3"/>
  <c r="BL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H17" i="37"/>
  <c r="U17" i="37"/>
  <c r="F39" i="33"/>
  <c r="AA39" i="33"/>
  <c r="E123"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2" i="40"/>
  <c r="S32" i="40"/>
  <c r="H32" i="40"/>
  <c r="AB32" i="40"/>
  <c r="J36" i="40"/>
  <c r="W36" i="40"/>
  <c r="H19" i="37"/>
  <c r="AB19" i="37"/>
  <c r="F123" i="33"/>
  <c r="G123" i="33"/>
  <c r="H123" i="33"/>
  <c r="I123" i="33"/>
  <c r="J123" i="33"/>
  <c r="K123" i="33"/>
  <c r="L123" i="33"/>
  <c r="M123" i="33"/>
  <c r="U33" i="37"/>
  <c r="W47" i="34"/>
  <c r="U26" i="21"/>
  <c r="W16" i="35"/>
  <c r="H37" i="21"/>
  <c r="U37" i="21"/>
  <c r="J9" i="37"/>
  <c r="W9" i="37"/>
  <c r="F9" i="37"/>
  <c r="S9" i="37"/>
  <c r="H12" i="37"/>
  <c r="F15" i="37"/>
  <c r="AA15" i="37"/>
  <c r="E94" i="37"/>
  <c r="F94" i="37"/>
  <c r="G94" i="37"/>
  <c r="H94" i="37"/>
  <c r="I94" i="37"/>
  <c r="J94" i="37"/>
  <c r="K94" i="37"/>
  <c r="L94" i="37"/>
  <c r="M94" i="37"/>
  <c r="F31" i="37"/>
  <c r="S31" i="37"/>
  <c r="H21" i="40"/>
  <c r="AB21" i="40"/>
  <c r="H31" i="37"/>
  <c r="U31" i="37"/>
  <c r="J15" i="37"/>
  <c r="W15" i="37"/>
  <c r="AT6" i="3"/>
  <c r="AA25" i="21"/>
  <c r="C12" i="43"/>
  <c r="H19" i="40"/>
  <c r="U19" i="40"/>
  <c r="F88" i="40"/>
  <c r="G88" i="40"/>
  <c r="F19" i="40"/>
  <c r="S19" i="40"/>
  <c r="AB44" i="39"/>
  <c r="U44" i="39"/>
  <c r="H25" i="39"/>
  <c r="AB25" i="39"/>
  <c r="J25" i="39"/>
  <c r="F25" i="39"/>
  <c r="AA25" i="39"/>
  <c r="H41" i="39"/>
  <c r="W9" i="39"/>
  <c r="J19" i="40"/>
  <c r="AC19" i="40"/>
  <c r="J50" i="40"/>
  <c r="B54" i="72"/>
  <c r="B16" i="53"/>
  <c r="B33" i="72"/>
  <c r="C7" i="37"/>
  <c r="C7" i="34"/>
  <c r="C7" i="36"/>
  <c r="W35" i="40"/>
  <c r="A118" i="9"/>
  <c r="A4" i="52"/>
  <c r="B41" i="72"/>
  <c r="A12" i="52"/>
  <c r="B56" i="72"/>
  <c r="G4" i="4"/>
  <c r="I4" i="4"/>
  <c r="K5" i="4"/>
  <c r="B47" i="48"/>
  <c r="A2" i="9"/>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AZ120" i="3"/>
  <c r="G121" i="3"/>
  <c r="BA123" i="3"/>
  <c r="BL124" i="3"/>
  <c r="G125" i="3"/>
  <c r="BA127" i="3"/>
  <c r="BL128" i="3"/>
  <c r="AZ128" i="3"/>
  <c r="G129" i="3"/>
  <c r="BA131" i="3"/>
  <c r="BL132" i="3"/>
  <c r="AZ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AZ167" i="3"/>
  <c r="BL168" i="3"/>
  <c r="G169" i="3"/>
  <c r="BA171" i="3"/>
  <c r="AZ171" i="3"/>
  <c r="BL172" i="3"/>
  <c r="G173" i="3"/>
  <c r="BA175" i="3"/>
  <c r="BL176" i="3"/>
  <c r="G177" i="3"/>
  <c r="BA179" i="3"/>
  <c r="BL180" i="3"/>
  <c r="G181" i="3"/>
  <c r="BA183" i="3"/>
  <c r="BL184" i="3"/>
  <c r="G185" i="3"/>
  <c r="BA187" i="3"/>
  <c r="AZ187" i="3"/>
  <c r="BL188" i="3"/>
  <c r="G189" i="3"/>
  <c r="BA191" i="3"/>
  <c r="BL192" i="3"/>
  <c r="G193" i="3"/>
  <c r="BA195" i="3"/>
  <c r="AZ195" i="3"/>
  <c r="BL196" i="3"/>
  <c r="G197" i="3"/>
  <c r="BA199" i="3"/>
  <c r="BL200" i="3"/>
  <c r="G201" i="3"/>
  <c r="BA203" i="3"/>
  <c r="BL204" i="3"/>
  <c r="AZ144" i="3"/>
  <c r="G522" i="3"/>
  <c r="G512"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c r="BL337" i="3"/>
  <c r="G338" i="3"/>
  <c r="G341" i="3"/>
  <c r="BA342" i="3"/>
  <c r="AZ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c r="G304" i="3"/>
  <c r="BA306" i="3"/>
  <c r="AZ306" i="3"/>
  <c r="BL307" i="3"/>
  <c r="G308" i="3"/>
  <c r="BA310" i="3"/>
  <c r="BL311" i="3"/>
  <c r="AZ311" i="3"/>
  <c r="G312" i="3"/>
  <c r="BA314" i="3"/>
  <c r="BL315" i="3"/>
  <c r="G316" i="3"/>
  <c r="BA318" i="3"/>
  <c r="AZ318" i="3"/>
  <c r="BL319" i="3"/>
  <c r="G320" i="3"/>
  <c r="BA322" i="3"/>
  <c r="AZ322" i="3"/>
  <c r="BL323" i="3"/>
  <c r="G324" i="3"/>
  <c r="BA326" i="3"/>
  <c r="BL327" i="3"/>
  <c r="G328" i="3"/>
  <c r="BA330" i="3"/>
  <c r="BL331" i="3"/>
  <c r="G332" i="3"/>
  <c r="BA334" i="3"/>
  <c r="AZ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BL366" i="3"/>
  <c r="G367" i="3"/>
  <c r="BA369" i="3"/>
  <c r="BL370" i="3"/>
  <c r="G371" i="3"/>
  <c r="BA373" i="3"/>
  <c r="BL374" i="3"/>
  <c r="G375" i="3"/>
  <c r="BA377" i="3"/>
  <c r="BA379" i="3"/>
  <c r="AZ379" i="3"/>
  <c r="BL380" i="3"/>
  <c r="G381" i="3"/>
  <c r="BA383" i="3"/>
  <c r="BL384" i="3"/>
  <c r="AZ384" i="3"/>
  <c r="G385" i="3"/>
  <c r="BA387" i="3"/>
  <c r="BL388" i="3"/>
  <c r="G389" i="3"/>
  <c r="BA391" i="3"/>
  <c r="BL392" i="3"/>
  <c r="G393" i="3"/>
  <c r="AZ283" i="3"/>
  <c r="G548" i="3"/>
  <c r="BE5" i="3"/>
  <c r="AZ350" i="3"/>
  <c r="BB5" i="3"/>
  <c r="U36" i="40"/>
  <c r="F36" i="43"/>
  <c r="F81" i="43"/>
  <c r="H83" i="43"/>
  <c r="H113" i="43"/>
  <c r="F48" i="43"/>
  <c r="H52" i="43"/>
  <c r="N7" i="43"/>
  <c r="F70" i="43"/>
  <c r="H73" i="43"/>
  <c r="M6" i="43"/>
  <c r="E17" i="43"/>
  <c r="F39" i="43"/>
  <c r="I17" i="43"/>
  <c r="F35" i="43"/>
  <c r="J17" i="43"/>
  <c r="F6" i="1"/>
  <c r="AC35" i="21"/>
  <c r="U10" i="21"/>
  <c r="G8" i="1"/>
  <c r="G9" i="1"/>
  <c r="G10" i="1"/>
  <c r="F48" i="9"/>
  <c r="O52" i="9"/>
  <c r="AC44" i="34"/>
  <c r="S15" i="37"/>
  <c r="AA12" i="40"/>
  <c r="J37" i="33"/>
  <c r="W37" i="33"/>
  <c r="F106" i="33"/>
  <c r="G106" i="33"/>
  <c r="H106" i="33"/>
  <c r="I106" i="33"/>
  <c r="J106" i="33"/>
  <c r="K106" i="33"/>
  <c r="L106" i="33"/>
  <c r="M106" i="33"/>
  <c r="J34" i="33"/>
  <c r="W34" i="33"/>
  <c r="F33" i="34"/>
  <c r="S33" i="34"/>
  <c r="H20" i="36"/>
  <c r="U20" i="36"/>
  <c r="J20" i="36"/>
  <c r="W20" i="36"/>
  <c r="J27" i="36"/>
  <c r="W27" i="36"/>
  <c r="AB25" i="37"/>
  <c r="H35" i="40"/>
  <c r="AB35" i="40"/>
  <c r="W29" i="35"/>
  <c r="H35" i="37"/>
  <c r="U35" i="37"/>
  <c r="H20" i="35"/>
  <c r="U20" i="35"/>
  <c r="F20" i="35"/>
  <c r="AA20" i="35"/>
  <c r="U29" i="36"/>
  <c r="H32" i="37"/>
  <c r="AB32" i="37"/>
  <c r="F96" i="37"/>
  <c r="G96" i="37"/>
  <c r="H96" i="37"/>
  <c r="I96" i="37"/>
  <c r="J96" i="37"/>
  <c r="K96" i="37"/>
  <c r="L96" i="37"/>
  <c r="M96" i="37"/>
  <c r="J27" i="40"/>
  <c r="AC27" i="40"/>
  <c r="J30" i="40"/>
  <c r="AC30" i="40"/>
  <c r="S11" i="40"/>
  <c r="F10" i="33"/>
  <c r="S10" i="33"/>
  <c r="F34" i="33"/>
  <c r="S34" i="33"/>
  <c r="H34" i="33"/>
  <c r="U34" i="33"/>
  <c r="F35" i="33"/>
  <c r="S35" i="33"/>
  <c r="F39" i="34"/>
  <c r="S39" i="34"/>
  <c r="J39" i="34"/>
  <c r="W39" i="34"/>
  <c r="H44" i="34"/>
  <c r="AB44" i="34"/>
  <c r="F39" i="39"/>
  <c r="S39" i="39"/>
  <c r="J39" i="39"/>
  <c r="AC39" i="39"/>
  <c r="E97" i="39"/>
  <c r="F97" i="39"/>
  <c r="G97" i="39"/>
  <c r="C40" i="11"/>
  <c r="AZ82" i="3"/>
  <c r="H75" i="43"/>
  <c r="I20" i="43"/>
  <c r="F23" i="39"/>
  <c r="AA23" i="39"/>
  <c r="H27" i="36"/>
  <c r="U27" i="36"/>
  <c r="F27" i="36"/>
  <c r="AA27" i="36"/>
  <c r="H33" i="34"/>
  <c r="U33" i="34"/>
  <c r="F32" i="37"/>
  <c r="AA32" i="37"/>
  <c r="F20" i="36"/>
  <c r="AA20" i="36"/>
  <c r="J33" i="34"/>
  <c r="AC33" i="34"/>
  <c r="H23" i="39"/>
  <c r="U23" i="39"/>
  <c r="D48" i="9"/>
  <c r="M52" i="9"/>
  <c r="H82" i="43"/>
  <c r="K9" i="1"/>
  <c r="M9" i="1"/>
  <c r="O9" i="1"/>
  <c r="P9" i="1"/>
  <c r="AE9" i="1"/>
  <c r="AB36" i="39"/>
  <c r="U36" i="39"/>
  <c r="AA12" i="36"/>
  <c r="S12" i="36"/>
  <c r="AZ540" i="3"/>
  <c r="AZ339" i="3"/>
  <c r="AZ519" i="3"/>
  <c r="G123" i="21"/>
  <c r="H123" i="21"/>
  <c r="I123" i="21"/>
  <c r="J123" i="21"/>
  <c r="K123" i="21"/>
  <c r="L123" i="21"/>
  <c r="M123" i="21"/>
  <c r="F42" i="21"/>
  <c r="AA42" i="21"/>
  <c r="J45" i="33"/>
  <c r="W45" i="33"/>
  <c r="H45" i="33"/>
  <c r="H12" i="35"/>
  <c r="F12" i="35"/>
  <c r="J24" i="35"/>
  <c r="AC24" i="35"/>
  <c r="F24" i="35"/>
  <c r="AA24" i="35"/>
  <c r="BA577" i="3"/>
  <c r="BA554" i="3"/>
  <c r="BA509" i="3"/>
  <c r="AC44" i="33"/>
  <c r="W44" i="33"/>
  <c r="AB40" i="39"/>
  <c r="U40" i="39"/>
  <c r="AA40" i="33"/>
  <c r="E124" i="34"/>
  <c r="F124" i="34"/>
  <c r="H43" i="34"/>
  <c r="AB43" i="34"/>
  <c r="J12" i="33"/>
  <c r="W12" i="33"/>
  <c r="H12" i="33"/>
  <c r="U12" i="33"/>
  <c r="J45" i="34"/>
  <c r="W45" i="34"/>
  <c r="H45" i="34"/>
  <c r="U45" i="34"/>
  <c r="J25" i="35"/>
  <c r="W25" i="35"/>
  <c r="F25" i="35"/>
  <c r="S25" i="35"/>
  <c r="W31" i="36"/>
  <c r="AC31" i="36"/>
  <c r="AC25" i="37"/>
  <c r="W25" i="37"/>
  <c r="AC26" i="37"/>
  <c r="W26" i="37"/>
  <c r="BA581" i="3"/>
  <c r="AZ581" i="3"/>
  <c r="BL576" i="3"/>
  <c r="BA573" i="3"/>
  <c r="G567" i="3"/>
  <c r="G553" i="3"/>
  <c r="BL552" i="3"/>
  <c r="BA549" i="3"/>
  <c r="AZ549" i="3"/>
  <c r="BA548" i="3"/>
  <c r="BA545" i="3"/>
  <c r="G536" i="3"/>
  <c r="G528" i="3"/>
  <c r="BA525" i="3"/>
  <c r="BL522" i="3"/>
  <c r="G514" i="3"/>
  <c r="G508" i="3"/>
  <c r="BA501" i="3"/>
  <c r="BL500" i="3"/>
  <c r="G500" i="3"/>
  <c r="BA497" i="3"/>
  <c r="H48" i="43"/>
  <c r="F43" i="34"/>
  <c r="AA43" i="34"/>
  <c r="U13" i="37"/>
  <c r="AZ369" i="3"/>
  <c r="AZ326" i="3"/>
  <c r="AB12" i="37"/>
  <c r="U12" i="37"/>
  <c r="AC33" i="36"/>
  <c r="F42" i="33"/>
  <c r="AA42" i="33"/>
  <c r="H43" i="33"/>
  <c r="AB43" i="33"/>
  <c r="BL505" i="3"/>
  <c r="AZ505" i="3"/>
  <c r="BL509" i="3"/>
  <c r="AZ509" i="3"/>
  <c r="BL559" i="3"/>
  <c r="BL573" i="3"/>
  <c r="W13" i="36"/>
  <c r="F14" i="40"/>
  <c r="H25" i="35"/>
  <c r="AB25" i="35"/>
  <c r="J29" i="34"/>
  <c r="H46" i="33"/>
  <c r="AB46" i="33"/>
  <c r="U33" i="35"/>
  <c r="H9" i="33"/>
  <c r="AB9" i="33"/>
  <c r="J9" i="33"/>
  <c r="AC9" i="33"/>
  <c r="E81" i="33"/>
  <c r="J19" i="33"/>
  <c r="AC19" i="33"/>
  <c r="F28" i="33"/>
  <c r="AA28" i="33"/>
  <c r="H28" i="33"/>
  <c r="U28" i="33"/>
  <c r="E82" i="34"/>
  <c r="F82" i="34"/>
  <c r="G82" i="34"/>
  <c r="F19" i="34"/>
  <c r="AA19" i="34"/>
  <c r="H19" i="34"/>
  <c r="AB19" i="34"/>
  <c r="J28" i="34"/>
  <c r="H28" i="34"/>
  <c r="AB28" i="34"/>
  <c r="E89" i="39"/>
  <c r="F89" i="39"/>
  <c r="E126" i="39"/>
  <c r="F126" i="39"/>
  <c r="G126" i="39"/>
  <c r="H126" i="39"/>
  <c r="I126" i="39"/>
  <c r="J126" i="39"/>
  <c r="K126" i="39"/>
  <c r="L126" i="39"/>
  <c r="M126" i="39"/>
  <c r="F42" i="39"/>
  <c r="AA42" i="39"/>
  <c r="J42" i="39"/>
  <c r="AC42" i="39"/>
  <c r="H38" i="40"/>
  <c r="H50" i="43"/>
  <c r="F40" i="34"/>
  <c r="S40" i="34"/>
  <c r="AC14" i="35"/>
  <c r="U17" i="39"/>
  <c r="BL493" i="3"/>
  <c r="AZ387" i="3"/>
  <c r="AZ199" i="3"/>
  <c r="U12" i="21"/>
  <c r="AC8" i="37"/>
  <c r="H42" i="33"/>
  <c r="AB42" i="33"/>
  <c r="J42" i="33"/>
  <c r="AC42" i="33"/>
  <c r="J14" i="40"/>
  <c r="W14" i="40"/>
  <c r="J13" i="37"/>
  <c r="W13" i="37"/>
  <c r="J46" i="33"/>
  <c r="AC46" i="33"/>
  <c r="J30" i="33"/>
  <c r="W30" i="34"/>
  <c r="AC30" i="34"/>
  <c r="F45" i="21"/>
  <c r="AA45" i="21"/>
  <c r="H42" i="21"/>
  <c r="U42" i="21"/>
  <c r="AC38" i="34"/>
  <c r="J40" i="34"/>
  <c r="F28" i="34"/>
  <c r="AA28" i="34"/>
  <c r="W22" i="35"/>
  <c r="W28" i="36"/>
  <c r="F39" i="37"/>
  <c r="H31" i="21"/>
  <c r="J31" i="21"/>
  <c r="AC31" i="21"/>
  <c r="F79" i="21"/>
  <c r="G79" i="21"/>
  <c r="H17" i="21"/>
  <c r="AB17" i="21"/>
  <c r="E106" i="21"/>
  <c r="F106" i="21"/>
  <c r="G106" i="21"/>
  <c r="H106" i="21"/>
  <c r="I106" i="21"/>
  <c r="J106" i="21"/>
  <c r="K106" i="21"/>
  <c r="L106" i="21"/>
  <c r="M106" i="21"/>
  <c r="J34" i="21"/>
  <c r="W34" i="21"/>
  <c r="H34" i="21"/>
  <c r="AB34" i="21"/>
  <c r="J39" i="33"/>
  <c r="AC39" i="33"/>
  <c r="F32" i="36"/>
  <c r="J32" i="36"/>
  <c r="J39" i="37"/>
  <c r="AC39" i="37"/>
  <c r="J12" i="39"/>
  <c r="F12" i="39"/>
  <c r="S12" i="39"/>
  <c r="J43" i="39"/>
  <c r="H43" i="39"/>
  <c r="AB43" i="39"/>
  <c r="J38" i="40"/>
  <c r="AC38" i="40"/>
  <c r="H33" i="40"/>
  <c r="J33" i="40"/>
  <c r="W33" i="40"/>
  <c r="E78" i="34"/>
  <c r="F78" i="34"/>
  <c r="G78" i="34"/>
  <c r="F15" i="34"/>
  <c r="H88" i="34"/>
  <c r="I88" i="34"/>
  <c r="J88" i="34"/>
  <c r="K88" i="34"/>
  <c r="L88" i="34"/>
  <c r="M88" i="34"/>
  <c r="F25" i="34"/>
  <c r="S25" i="34"/>
  <c r="H25" i="34"/>
  <c r="AB25" i="34"/>
  <c r="H27" i="37"/>
  <c r="U27" i="37"/>
  <c r="J27" i="37"/>
  <c r="AC27" i="37"/>
  <c r="AB39" i="37"/>
  <c r="U39" i="37"/>
  <c r="H31" i="40"/>
  <c r="U31" i="40"/>
  <c r="J31" i="40"/>
  <c r="BA569" i="3"/>
  <c r="AC14" i="39"/>
  <c r="W14" i="39"/>
  <c r="E77" i="33"/>
  <c r="F77" i="33"/>
  <c r="G77" i="33"/>
  <c r="F15" i="33"/>
  <c r="AA15" i="33"/>
  <c r="J15" i="33"/>
  <c r="AC15" i="33"/>
  <c r="F43" i="33"/>
  <c r="AA43" i="33"/>
  <c r="J43" i="33"/>
  <c r="AC43" i="33"/>
  <c r="E121" i="33"/>
  <c r="J41" i="33"/>
  <c r="AC41" i="33"/>
  <c r="H11" i="36"/>
  <c r="J11" i="36"/>
  <c r="AC11" i="36"/>
  <c r="BL512" i="3"/>
  <c r="U12" i="40"/>
  <c r="BL513" i="3"/>
  <c r="F29" i="33"/>
  <c r="S29" i="33"/>
  <c r="S8" i="33"/>
  <c r="AC16" i="36"/>
  <c r="E125" i="21"/>
  <c r="F125" i="21"/>
  <c r="G125" i="21"/>
  <c r="J43" i="21"/>
  <c r="AC43" i="21"/>
  <c r="F43" i="21"/>
  <c r="S43" i="21"/>
  <c r="B70" i="43"/>
  <c r="C15" i="39"/>
  <c r="AA8" i="36"/>
  <c r="S8" i="36"/>
  <c r="S42" i="34"/>
  <c r="AA42" i="34"/>
  <c r="S31" i="35"/>
  <c r="AA31" i="35"/>
  <c r="H35" i="39"/>
  <c r="AB35" i="39"/>
  <c r="J35" i="39"/>
  <c r="BL568" i="3"/>
  <c r="G559" i="3"/>
  <c r="BL546" i="3"/>
  <c r="G544" i="3"/>
  <c r="BA533" i="3"/>
  <c r="BA532" i="3"/>
  <c r="G529" i="3"/>
  <c r="BA528" i="3"/>
  <c r="BL518" i="3"/>
  <c r="G515" i="3"/>
  <c r="BA508" i="3"/>
  <c r="G501" i="3"/>
  <c r="AZ307" i="3"/>
  <c r="AZ363" i="3"/>
  <c r="BL527" i="3"/>
  <c r="BL535" i="3"/>
  <c r="BL543" i="3"/>
  <c r="BL551" i="3"/>
  <c r="AB23" i="40"/>
  <c r="U23" i="40"/>
  <c r="G587" i="3"/>
  <c r="BA586" i="3"/>
  <c r="H27" i="34"/>
  <c r="AB27" i="34"/>
  <c r="H11" i="35"/>
  <c r="J11" i="35"/>
  <c r="AB34" i="35"/>
  <c r="U34" i="35"/>
  <c r="H14" i="37"/>
  <c r="F14" i="37"/>
  <c r="F28" i="37"/>
  <c r="AA28" i="37"/>
  <c r="J28" i="37"/>
  <c r="AC28" i="37"/>
  <c r="W30" i="36"/>
  <c r="AC30" i="36"/>
  <c r="BA582" i="3"/>
  <c r="AZ582" i="3"/>
  <c r="G581" i="3"/>
  <c r="BL578" i="3"/>
  <c r="G572" i="3"/>
  <c r="BL562" i="3"/>
  <c r="G550" i="3"/>
  <c r="G543" i="3"/>
  <c r="G542" i="3"/>
  <c r="G526" i="3"/>
  <c r="BA515" i="3"/>
  <c r="G506" i="3"/>
  <c r="BA500" i="3"/>
  <c r="H5" i="3"/>
  <c r="F7" i="1"/>
  <c r="G7" i="1"/>
  <c r="C10" i="39"/>
  <c r="AZ242" i="3"/>
  <c r="AZ282" i="3"/>
  <c r="AZ100" i="3"/>
  <c r="L108" i="43"/>
  <c r="L100" i="43"/>
  <c r="M20" i="86"/>
  <c r="F34" i="86"/>
  <c r="F62" i="86"/>
  <c r="BA405" i="3"/>
  <c r="BL407" i="3"/>
  <c r="BA437" i="3"/>
  <c r="BL439" i="3"/>
  <c r="BA441" i="3"/>
  <c r="AZ441" i="3"/>
  <c r="BA453" i="3"/>
  <c r="BL455" i="3"/>
  <c r="BA457" i="3"/>
  <c r="BA461" i="3"/>
  <c r="BL465" i="3"/>
  <c r="BL469" i="3"/>
  <c r="BL471" i="3"/>
  <c r="BA473" i="3"/>
  <c r="BL475" i="3"/>
  <c r="BA477" i="3"/>
  <c r="BL479" i="3"/>
  <c r="BA481" i="3"/>
  <c r="BL483" i="3"/>
  <c r="BL487" i="3"/>
  <c r="BL491" i="3"/>
  <c r="BL385" i="3"/>
  <c r="BA213" i="3"/>
  <c r="BL223" i="3"/>
  <c r="BL301" i="3"/>
  <c r="BA117" i="3"/>
  <c r="AZ117" i="3"/>
  <c r="BL165" i="3"/>
  <c r="BL111" i="3"/>
  <c r="AZ111" i="3"/>
  <c r="BL112" i="3"/>
  <c r="K108" i="43"/>
  <c r="K100" i="43"/>
  <c r="AZ308" i="3"/>
  <c r="BL523" i="3"/>
  <c r="BL531" i="3"/>
  <c r="BL539" i="3"/>
  <c r="BL547" i="3"/>
  <c r="BL555" i="3"/>
  <c r="AZ555" i="3"/>
  <c r="BL563" i="3"/>
  <c r="BL569" i="3"/>
  <c r="AZ569" i="3"/>
  <c r="BI5" i="3"/>
  <c r="F81" i="21"/>
  <c r="G81" i="21"/>
  <c r="H19" i="21"/>
  <c r="H31" i="39"/>
  <c r="AB31" i="39"/>
  <c r="BL398" i="3"/>
  <c r="BL414" i="3"/>
  <c r="G419" i="3"/>
  <c r="G423" i="3"/>
  <c r="BL430" i="3"/>
  <c r="G439" i="3"/>
  <c r="G443" i="3"/>
  <c r="BL330" i="3"/>
  <c r="AZ330" i="3"/>
  <c r="G339" i="3"/>
  <c r="G347" i="3"/>
  <c r="BA353" i="3"/>
  <c r="AZ353" i="3"/>
  <c r="BL359" i="3"/>
  <c r="AZ359" i="3"/>
  <c r="BL368" i="3"/>
  <c r="BA370" i="3"/>
  <c r="AZ370" i="3"/>
  <c r="BA374" i="3"/>
  <c r="AZ374" i="3"/>
  <c r="BA386" i="3"/>
  <c r="G215" i="3"/>
  <c r="BL222" i="3"/>
  <c r="BA224" i="3"/>
  <c r="G227" i="3"/>
  <c r="G231" i="3"/>
  <c r="G235" i="3"/>
  <c r="G239" i="3"/>
  <c r="BL242" i="3"/>
  <c r="BL244" i="3"/>
  <c r="G245" i="3"/>
  <c r="BA246" i="3"/>
  <c r="AZ246" i="3"/>
  <c r="BA247" i="3"/>
  <c r="AZ247" i="3"/>
  <c r="BA248" i="3"/>
  <c r="AZ248" i="3"/>
  <c r="BA249" i="3"/>
  <c r="AZ249" i="3"/>
  <c r="BA251" i="3"/>
  <c r="AZ251" i="3"/>
  <c r="BA252" i="3"/>
  <c r="AZ252" i="3"/>
  <c r="BA253" i="3"/>
  <c r="AZ253" i="3"/>
  <c r="BL257" i="3"/>
  <c r="G258" i="3"/>
  <c r="BA259" i="3"/>
  <c r="BL261" i="3"/>
  <c r="G262" i="3"/>
  <c r="BA263" i="3"/>
  <c r="BL265" i="3"/>
  <c r="G266" i="3"/>
  <c r="BL269" i="3"/>
  <c r="BL273" i="3"/>
  <c r="G278" i="3"/>
  <c r="BL281" i="3"/>
  <c r="BL285" i="3"/>
  <c r="G286" i="3"/>
  <c r="BA287" i="3"/>
  <c r="BL289" i="3"/>
  <c r="G294" i="3"/>
  <c r="BL297" i="3"/>
  <c r="BL118" i="3"/>
  <c r="AZ118" i="3"/>
  <c r="BA121" i="3"/>
  <c r="AZ121" i="3"/>
  <c r="BA172" i="3"/>
  <c r="AZ172" i="3"/>
  <c r="BA202" i="3"/>
  <c r="BA51" i="3"/>
  <c r="AZ76" i="3"/>
  <c r="BL79" i="3"/>
  <c r="AZ79" i="3"/>
  <c r="AZ103" i="3"/>
  <c r="BA399" i="3"/>
  <c r="G402" i="3"/>
  <c r="G406" i="3"/>
  <c r="BL413" i="3"/>
  <c r="BA415" i="3"/>
  <c r="G418" i="3"/>
  <c r="G434" i="3"/>
  <c r="BA443" i="3"/>
  <c r="G446" i="3"/>
  <c r="G450" i="3"/>
  <c r="G454" i="3"/>
  <c r="G458" i="3"/>
  <c r="BA459" i="3"/>
  <c r="BL461" i="3"/>
  <c r="BL463" i="3"/>
  <c r="G464" i="3"/>
  <c r="BA465" i="3"/>
  <c r="BA466" i="3"/>
  <c r="AZ466" i="3"/>
  <c r="BA467" i="3"/>
  <c r="AZ467" i="3"/>
  <c r="BA469" i="3"/>
  <c r="BA470" i="3"/>
  <c r="AZ470" i="3"/>
  <c r="G474" i="3"/>
  <c r="G478" i="3"/>
  <c r="G482" i="3"/>
  <c r="BA484" i="3"/>
  <c r="AZ484" i="3"/>
  <c r="BA485" i="3"/>
  <c r="AZ485" i="3"/>
  <c r="BA487" i="3"/>
  <c r="BA488" i="3"/>
  <c r="AZ488" i="3"/>
  <c r="BA489" i="3"/>
  <c r="AZ489" i="3"/>
  <c r="BA491" i="3"/>
  <c r="AZ491" i="3"/>
  <c r="BA492" i="3"/>
  <c r="AZ492" i="3"/>
  <c r="BA319" i="3"/>
  <c r="AZ319" i="3"/>
  <c r="BA323" i="3"/>
  <c r="AZ323" i="3"/>
  <c r="BA335" i="3"/>
  <c r="AZ335" i="3"/>
  <c r="BA339" i="3"/>
  <c r="G384" i="3"/>
  <c r="G396" i="3"/>
  <c r="BA215" i="3"/>
  <c r="G218" i="3"/>
  <c r="BL221" i="3"/>
  <c r="G118" i="3"/>
  <c r="BA125" i="3"/>
  <c r="BA153" i="3"/>
  <c r="BL155" i="3"/>
  <c r="AZ155" i="3"/>
  <c r="BA161" i="3"/>
  <c r="BL163" i="3"/>
  <c r="AZ163" i="3"/>
  <c r="BA166" i="3"/>
  <c r="G198" i="3"/>
  <c r="BL203" i="3"/>
  <c r="AZ203" i="3"/>
  <c r="G204" i="3"/>
  <c r="BL207" i="3"/>
  <c r="G18" i="3"/>
  <c r="BA19" i="3"/>
  <c r="BL29" i="3"/>
  <c r="G34" i="3"/>
  <c r="BL37" i="3"/>
  <c r="G38" i="3"/>
  <c r="BA39" i="3"/>
  <c r="BL41" i="3"/>
  <c r="BA49" i="3"/>
  <c r="BL52" i="3"/>
  <c r="G53" i="3"/>
  <c r="BA54" i="3"/>
  <c r="BL78" i="3"/>
  <c r="AZ78" i="3"/>
  <c r="BA81" i="3"/>
  <c r="AZ81" i="3"/>
  <c r="BL83" i="3"/>
  <c r="AZ83" i="3"/>
  <c r="BA87" i="3"/>
  <c r="AZ87" i="3"/>
  <c r="BL90" i="3"/>
  <c r="AZ90" i="3"/>
  <c r="BA102" i="3"/>
  <c r="AZ102" i="3"/>
  <c r="G106" i="3"/>
  <c r="BA297" i="3"/>
  <c r="BA298" i="3"/>
  <c r="AZ298" i="3"/>
  <c r="BA299" i="3"/>
  <c r="AZ299" i="3"/>
  <c r="BL113" i="3"/>
  <c r="G114" i="3"/>
  <c r="BL117" i="3"/>
  <c r="BL119" i="3"/>
  <c r="AZ119" i="3"/>
  <c r="BL123" i="3"/>
  <c r="AZ123" i="3"/>
  <c r="G124" i="3"/>
  <c r="BA150" i="3"/>
  <c r="G182" i="3"/>
  <c r="G190" i="3"/>
  <c r="G194" i="3"/>
  <c r="BL197" i="3"/>
  <c r="BL199" i="3"/>
  <c r="G200" i="3"/>
  <c r="BA201" i="3"/>
  <c r="AZ201" i="3"/>
  <c r="BL205" i="3"/>
  <c r="G206" i="3"/>
  <c r="BA207" i="3"/>
  <c r="AZ207" i="3"/>
  <c r="G24" i="3"/>
  <c r="BL27" i="3"/>
  <c r="G32" i="3"/>
  <c r="G36" i="3"/>
  <c r="G40" i="3"/>
  <c r="BA41" i="3"/>
  <c r="BA43" i="3"/>
  <c r="AZ43" i="3"/>
  <c r="BA44" i="3"/>
  <c r="AZ44" i="3"/>
  <c r="BA45" i="3"/>
  <c r="AZ45" i="3"/>
  <c r="BA47" i="3"/>
  <c r="AZ47" i="3"/>
  <c r="BA48" i="3"/>
  <c r="AZ48" i="3"/>
  <c r="BA50" i="3"/>
  <c r="AZ50" i="3"/>
  <c r="BL54" i="3"/>
  <c r="BL56" i="3"/>
  <c r="G57" i="3"/>
  <c r="BA58" i="3"/>
  <c r="BL60" i="3"/>
  <c r="BA62" i="3"/>
  <c r="BL64" i="3"/>
  <c r="G65" i="3"/>
  <c r="BA66" i="3"/>
  <c r="BL68" i="3"/>
  <c r="BA70" i="3"/>
  <c r="G73" i="3"/>
  <c r="BL76" i="3"/>
  <c r="BL85" i="3"/>
  <c r="AZ85" i="3"/>
  <c r="BL89" i="3"/>
  <c r="AZ89" i="3"/>
  <c r="BL92" i="3"/>
  <c r="G93" i="3"/>
  <c r="BL96" i="3"/>
  <c r="BA98" i="3"/>
  <c r="BL100" i="3"/>
  <c r="BL102" i="3"/>
  <c r="BL105" i="3"/>
  <c r="AZ105" i="3"/>
  <c r="BL106" i="3"/>
  <c r="G1" i="86"/>
  <c r="BA165" i="3"/>
  <c r="BL170" i="3"/>
  <c r="AZ170" i="3"/>
  <c r="BA174" i="3"/>
  <c r="BA182" i="3"/>
  <c r="BL18" i="3"/>
  <c r="G27" i="3"/>
  <c r="BA32" i="3"/>
  <c r="BL109" i="3"/>
  <c r="G110" i="3"/>
  <c r="BA111" i="3"/>
  <c r="E59" i="43"/>
  <c r="B57" i="43"/>
  <c r="C24"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c r="BL583" i="3"/>
  <c r="AZ512" i="3"/>
  <c r="BL587" i="3"/>
  <c r="AZ587" i="3"/>
  <c r="BL585" i="3"/>
  <c r="BA585" i="3"/>
  <c r="BA584" i="3"/>
  <c r="AZ584" i="3"/>
  <c r="BA583" i="3"/>
  <c r="BL582" i="3"/>
  <c r="BL580" i="3"/>
  <c r="BA580" i="3"/>
  <c r="AZ580" i="3"/>
  <c r="BA579" i="3"/>
  <c r="BA578" i="3"/>
  <c r="AZ578" i="3"/>
  <c r="BA560" i="3"/>
  <c r="AZ560" i="3"/>
  <c r="BA559" i="3"/>
  <c r="AZ559" i="3"/>
  <c r="BA557" i="3"/>
  <c r="BL556" i="3"/>
  <c r="BA556" i="3"/>
  <c r="BL554" i="3"/>
  <c r="AZ554" i="3"/>
  <c r="BA553" i="3"/>
  <c r="BA552" i="3"/>
  <c r="BA547" i="3"/>
  <c r="BA546" i="3"/>
  <c r="AZ546" i="3"/>
  <c r="G578" i="3"/>
  <c r="G577" i="3"/>
  <c r="BA576" i="3"/>
  <c r="AZ576" i="3"/>
  <c r="G576" i="3"/>
  <c r="BA575" i="3"/>
  <c r="BL574" i="3"/>
  <c r="BA574" i="3"/>
  <c r="G573" i="3"/>
  <c r="BL572" i="3"/>
  <c r="BA572" i="3"/>
  <c r="BA571" i="3"/>
  <c r="BA570" i="3"/>
  <c r="AZ570" i="3"/>
  <c r="G570" i="3"/>
  <c r="G569" i="3"/>
  <c r="BA568" i="3"/>
  <c r="AZ568" i="3"/>
  <c r="G568" i="3"/>
  <c r="BA567" i="3"/>
  <c r="AZ567" i="3"/>
  <c r="BL566" i="3"/>
  <c r="BA566" i="3"/>
  <c r="G566" i="3"/>
  <c r="G565" i="3"/>
  <c r="BL564" i="3"/>
  <c r="BA564" i="3"/>
  <c r="BA563" i="3"/>
  <c r="AZ563" i="3"/>
  <c r="BA562" i="3"/>
  <c r="BA398" i="3"/>
  <c r="BL400" i="3"/>
  <c r="G401" i="3"/>
  <c r="BA402" i="3"/>
  <c r="G403" i="3"/>
  <c r="BL404" i="3"/>
  <c r="G407" i="3"/>
  <c r="BA408" i="3"/>
  <c r="G409" i="3"/>
  <c r="BL410" i="3"/>
  <c r="G411" i="3"/>
  <c r="BA412" i="3"/>
  <c r="BL412" i="3"/>
  <c r="BA413" i="3"/>
  <c r="AZ413" i="3"/>
  <c r="BA414" i="3"/>
  <c r="AZ414" i="3"/>
  <c r="BL416" i="3"/>
  <c r="G417" i="3"/>
  <c r="BL544" i="3"/>
  <c r="AZ544" i="3"/>
  <c r="BA543" i="3"/>
  <c r="AZ543" i="3"/>
  <c r="BL542" i="3"/>
  <c r="BA542" i="3"/>
  <c r="BA539" i="3"/>
  <c r="AZ539" i="3"/>
  <c r="BA538" i="3"/>
  <c r="AZ538" i="3"/>
  <c r="BL536" i="3"/>
  <c r="AZ536" i="3"/>
  <c r="BA535" i="3"/>
  <c r="AZ535" i="3"/>
  <c r="BL534" i="3"/>
  <c r="BA534" i="3"/>
  <c r="BL532" i="3"/>
  <c r="BA531" i="3"/>
  <c r="AZ531" i="3"/>
  <c r="BA530" i="3"/>
  <c r="BL528" i="3"/>
  <c r="AZ528" i="3"/>
  <c r="BA527" i="3"/>
  <c r="AZ527" i="3"/>
  <c r="BL526" i="3"/>
  <c r="BA526" i="3"/>
  <c r="AZ526" i="3"/>
  <c r="BL524" i="3"/>
  <c r="AZ524" i="3"/>
  <c r="BA523" i="3"/>
  <c r="AZ523" i="3"/>
  <c r="BA522" i="3"/>
  <c r="BA521" i="3"/>
  <c r="BA518" i="3"/>
  <c r="BA517" i="3"/>
  <c r="BL516" i="3"/>
  <c r="AZ516" i="3"/>
  <c r="BL514" i="3"/>
  <c r="BA514" i="3"/>
  <c r="AZ514" i="3"/>
  <c r="BA513" i="3"/>
  <c r="BA510" i="3"/>
  <c r="AZ510" i="3"/>
  <c r="G509" i="3"/>
  <c r="BL508" i="3"/>
  <c r="AZ508" i="3"/>
  <c r="BA507" i="3"/>
  <c r="BL506" i="3"/>
  <c r="BA506" i="3"/>
  <c r="BL504" i="3"/>
  <c r="AZ504" i="3"/>
  <c r="BA503" i="3"/>
  <c r="BA502" i="3"/>
  <c r="AZ502" i="3"/>
  <c r="BA499" i="3"/>
  <c r="BL498" i="3"/>
  <c r="AZ498" i="3"/>
  <c r="BA498" i="3"/>
  <c r="BL496" i="3"/>
  <c r="AZ496" i="3"/>
  <c r="BA495" i="3"/>
  <c r="BA494" i="3"/>
  <c r="AZ494" i="3"/>
  <c r="BJ5" i="3"/>
  <c r="BF5" i="3"/>
  <c r="G15"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AZ442" i="3"/>
  <c r="BL442" i="3"/>
  <c r="BL444" i="3"/>
  <c r="G445" i="3"/>
  <c r="BA446" i="3"/>
  <c r="G447" i="3"/>
  <c r="BL448" i="3"/>
  <c r="G449" i="3"/>
  <c r="BA450" i="3"/>
  <c r="G451" i="3"/>
  <c r="BL452" i="3"/>
  <c r="G455" i="3"/>
  <c r="BL456" i="3"/>
  <c r="G459" i="3"/>
  <c r="BL472" i="3"/>
  <c r="G477" i="3"/>
  <c r="G481" i="3"/>
  <c r="BL314" i="3"/>
  <c r="AZ314" i="3"/>
  <c r="BA316" i="3"/>
  <c r="BL316" i="3"/>
  <c r="G323" i="3"/>
  <c r="BL324" i="3"/>
  <c r="AZ324" i="3"/>
  <c r="BL328" i="3"/>
  <c r="AZ328" i="3"/>
  <c r="G329" i="3"/>
  <c r="BA331" i="3"/>
  <c r="AZ331" i="3"/>
  <c r="BL333" i="3"/>
  <c r="G334" i="3"/>
  <c r="BA367" i="3"/>
  <c r="G380" i="3"/>
  <c r="G382" i="3"/>
  <c r="BL383" i="3"/>
  <c r="AZ383" i="3"/>
  <c r="BA385" i="3"/>
  <c r="BA395" i="3"/>
  <c r="AZ395" i="3"/>
  <c r="BL395" i="3"/>
  <c r="BL397" i="3"/>
  <c r="G208" i="3"/>
  <c r="BA209" i="3"/>
  <c r="G210" i="3"/>
  <c r="BA211" i="3"/>
  <c r="BL211" i="3"/>
  <c r="BA212" i="3"/>
  <c r="AZ212" i="3"/>
  <c r="BA214" i="3"/>
  <c r="BL214" i="3"/>
  <c r="BL216" i="3"/>
  <c r="G217" i="3"/>
  <c r="BA218" i="3"/>
  <c r="G219" i="3"/>
  <c r="BA220" i="3"/>
  <c r="BL220" i="3"/>
  <c r="BA221" i="3"/>
  <c r="BA222" i="3"/>
  <c r="AZ222" i="3"/>
  <c r="BA223" i="3"/>
  <c r="AZ223" i="3"/>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c r="BA149" i="3"/>
  <c r="BL149" i="3"/>
  <c r="BL151" i="3"/>
  <c r="AZ151" i="3"/>
  <c r="G152" i="3"/>
  <c r="BA154" i="3"/>
  <c r="BL154" i="3"/>
  <c r="BA156" i="3"/>
  <c r="AZ156" i="3"/>
  <c r="BA158" i="3"/>
  <c r="G159" i="3"/>
  <c r="G163" i="3"/>
  <c r="G174" i="3"/>
  <c r="BA177" i="3"/>
  <c r="G178" i="3"/>
  <c r="BL179" i="3"/>
  <c r="AZ179" i="3"/>
  <c r="BA181" i="3"/>
  <c r="AZ181" i="3"/>
  <c r="BL181" i="3"/>
  <c r="BL183" i="3"/>
  <c r="AZ183" i="3"/>
  <c r="G184" i="3"/>
  <c r="BA186" i="3"/>
  <c r="AZ186" i="3"/>
  <c r="BL186" i="3"/>
  <c r="BA188" i="3"/>
  <c r="AZ188" i="3"/>
  <c r="BA190" i="3"/>
  <c r="G191" i="3"/>
  <c r="G195" i="3"/>
  <c r="BA20" i="3"/>
  <c r="BL20" i="3"/>
  <c r="BL22" i="3"/>
  <c r="G23" i="3"/>
  <c r="BA24" i="3"/>
  <c r="G25" i="3"/>
  <c r="BA26" i="3"/>
  <c r="AZ26" i="3"/>
  <c r="BL26" i="3"/>
  <c r="BA27" i="3"/>
  <c r="BA28" i="3"/>
  <c r="AZ28" i="3"/>
  <c r="BA29" i="3"/>
  <c r="AZ29" i="3"/>
  <c r="BA31" i="3"/>
  <c r="BL31" i="3"/>
  <c r="BA33" i="3"/>
  <c r="BL33" i="3"/>
  <c r="BL34" i="3"/>
  <c r="G35" i="3"/>
  <c r="G39" i="3"/>
  <c r="G58" i="3"/>
  <c r="G60" i="3"/>
  <c r="BL61" i="3"/>
  <c r="G66" i="3"/>
  <c r="G68" i="3"/>
  <c r="BL69" i="3"/>
  <c r="G72" i="3"/>
  <c r="G96" i="3"/>
  <c r="BL97" i="3"/>
  <c r="BA18" i="3"/>
  <c r="AZ18" i="3"/>
  <c r="BA15" i="3"/>
  <c r="BO5" i="3"/>
  <c r="F29" i="6"/>
  <c r="BK5" i="3"/>
  <c r="BG5" i="3"/>
  <c r="BC5" i="3"/>
  <c r="E14" i="6"/>
  <c r="E64" i="39"/>
  <c r="E8" i="6"/>
  <c r="AZ343" i="3"/>
  <c r="AZ558" i="3"/>
  <c r="AB31" i="33"/>
  <c r="U31" i="33"/>
  <c r="BL557" i="3"/>
  <c r="G557" i="3"/>
  <c r="AZ556" i="3"/>
  <c r="AZ542" i="3"/>
  <c r="AZ534" i="3"/>
  <c r="BL515" i="3"/>
  <c r="AZ515" i="3"/>
  <c r="BL501" i="3"/>
  <c r="AZ501" i="3"/>
  <c r="BL499" i="3"/>
  <c r="AZ499" i="3"/>
  <c r="BL497" i="3"/>
  <c r="AZ497" i="3"/>
  <c r="BL495" i="3"/>
  <c r="AZ495" i="3"/>
  <c r="AZ373" i="3"/>
  <c r="AZ351" i="3"/>
  <c r="AZ493" i="3"/>
  <c r="U11" i="36"/>
  <c r="AB11" i="36"/>
  <c r="W12" i="37"/>
  <c r="AC12" i="37"/>
  <c r="AC40" i="37"/>
  <c r="W40" i="37"/>
  <c r="BL575" i="3"/>
  <c r="AZ575" i="3"/>
  <c r="AZ574" i="3"/>
  <c r="AZ572" i="3"/>
  <c r="G400" i="3"/>
  <c r="BA401" i="3"/>
  <c r="BL401" i="3"/>
  <c r="BA403" i="3"/>
  <c r="BL403" i="3"/>
  <c r="BA404" i="3"/>
  <c r="AZ404" i="3"/>
  <c r="BA406" i="3"/>
  <c r="BL406" i="3"/>
  <c r="BA407" i="3"/>
  <c r="AZ407" i="3"/>
  <c r="BL409" i="3"/>
  <c r="G410" i="3"/>
  <c r="BL411" i="3"/>
  <c r="G412" i="3"/>
  <c r="G416" i="3"/>
  <c r="BA417" i="3"/>
  <c r="BL417" i="3"/>
  <c r="BA419" i="3"/>
  <c r="AZ419" i="3"/>
  <c r="BL419" i="3"/>
  <c r="BA420" i="3"/>
  <c r="AZ420" i="3"/>
  <c r="BA422" i="3"/>
  <c r="BL422" i="3"/>
  <c r="BA423" i="3"/>
  <c r="AZ423" i="3"/>
  <c r="BA424" i="3"/>
  <c r="AZ424" i="3"/>
  <c r="BL426" i="3"/>
  <c r="G427" i="3"/>
  <c r="BA428" i="3"/>
  <c r="AZ428" i="3"/>
  <c r="BL428" i="3"/>
  <c r="BA429" i="3"/>
  <c r="BA430" i="3"/>
  <c r="BL432" i="3"/>
  <c r="G433" i="3"/>
  <c r="G435" i="3"/>
  <c r="G438" i="3"/>
  <c r="G442" i="3"/>
  <c r="G444" i="3"/>
  <c r="BA445" i="3"/>
  <c r="BL445" i="3"/>
  <c r="BL447" i="3"/>
  <c r="G448" i="3"/>
  <c r="BA449" i="3"/>
  <c r="BL449" i="3"/>
  <c r="BA451" i="3"/>
  <c r="AZ451" i="3"/>
  <c r="BL451" i="3"/>
  <c r="BA452" i="3"/>
  <c r="AZ452" i="3"/>
  <c r="BA454" i="3"/>
  <c r="BL454" i="3"/>
  <c r="AZ454" i="3"/>
  <c r="BA455" i="3"/>
  <c r="AZ455" i="3"/>
  <c r="BA456" i="3"/>
  <c r="BA458" i="3"/>
  <c r="BL458" i="3"/>
  <c r="BL460" i="3"/>
  <c r="G461" i="3"/>
  <c r="G463" i="3"/>
  <c r="BL464" i="3"/>
  <c r="G465" i="3"/>
  <c r="G469" i="3"/>
  <c r="AZ530" i="3"/>
  <c r="AC38" i="39"/>
  <c r="S31" i="39"/>
  <c r="F27" i="40"/>
  <c r="S27" i="40"/>
  <c r="H27" i="40"/>
  <c r="U27" i="40"/>
  <c r="AC33" i="40"/>
  <c r="W37" i="37"/>
  <c r="U35" i="21"/>
  <c r="S14" i="35"/>
  <c r="M11" i="43"/>
  <c r="N4" i="43"/>
  <c r="AC5" i="3"/>
  <c r="AZ377" i="3"/>
  <c r="AZ357" i="3"/>
  <c r="AZ338" i="3"/>
  <c r="AZ382" i="3"/>
  <c r="AZ355" i="3"/>
  <c r="AZ347" i="3"/>
  <c r="AZ344" i="3"/>
  <c r="AZ313" i="3"/>
  <c r="AZ305" i="3"/>
  <c r="N2" i="43"/>
  <c r="F59" i="43"/>
  <c r="H103" i="9"/>
  <c r="D8" i="53"/>
  <c r="D9" i="53"/>
  <c r="B25" i="72"/>
  <c r="W8" i="39"/>
  <c r="S42" i="39"/>
  <c r="AB34" i="39"/>
  <c r="W23" i="39"/>
  <c r="AC13" i="40"/>
  <c r="F12" i="37"/>
  <c r="S12" i="37"/>
  <c r="AC15" i="34"/>
  <c r="AB38" i="21"/>
  <c r="AC46" i="21"/>
  <c r="W44" i="21"/>
  <c r="U11" i="33"/>
  <c r="U26" i="37"/>
  <c r="W14" i="37"/>
  <c r="U35" i="35"/>
  <c r="H24" i="35"/>
  <c r="AB24" i="35"/>
  <c r="AB27" i="37"/>
  <c r="S21" i="40"/>
  <c r="BL503" i="3"/>
  <c r="AZ503" i="3"/>
  <c r="BL507" i="3"/>
  <c r="AZ507" i="3"/>
  <c r="BL511" i="3"/>
  <c r="AZ511" i="3"/>
  <c r="BL517" i="3"/>
  <c r="AZ517" i="3"/>
  <c r="BL521" i="3"/>
  <c r="BL525" i="3"/>
  <c r="AZ525" i="3"/>
  <c r="BL529" i="3"/>
  <c r="AZ529" i="3"/>
  <c r="BL533" i="3"/>
  <c r="AZ533" i="3"/>
  <c r="BL537" i="3"/>
  <c r="AZ537" i="3"/>
  <c r="BL541" i="3"/>
  <c r="AZ541" i="3"/>
  <c r="BL545" i="3"/>
  <c r="BL553" i="3"/>
  <c r="AZ553" i="3"/>
  <c r="BL561" i="3"/>
  <c r="AZ561" i="3"/>
  <c r="BL565" i="3"/>
  <c r="AZ565" i="3"/>
  <c r="BL571" i="3"/>
  <c r="AZ571" i="3"/>
  <c r="BL577" i="3"/>
  <c r="AZ577" i="3"/>
  <c r="BL581" i="3"/>
  <c r="W44" i="39"/>
  <c r="AC28" i="21"/>
  <c r="AA14" i="34"/>
  <c r="AB46" i="34"/>
  <c r="W11" i="36"/>
  <c r="AA14" i="33"/>
  <c r="U31" i="34"/>
  <c r="F13" i="40"/>
  <c r="AA13" i="40"/>
  <c r="F43" i="39"/>
  <c r="AA43" i="39"/>
  <c r="H28" i="37"/>
  <c r="F13" i="36"/>
  <c r="S13" i="36"/>
  <c r="F11" i="35"/>
  <c r="S11" i="35"/>
  <c r="J46" i="34"/>
  <c r="AC46" i="34"/>
  <c r="H30" i="34"/>
  <c r="F45" i="33"/>
  <c r="AA45" i="33"/>
  <c r="J29" i="33"/>
  <c r="AC29" i="33"/>
  <c r="F31" i="21"/>
  <c r="S31" i="21"/>
  <c r="H29" i="21"/>
  <c r="U29" i="21"/>
  <c r="H27" i="21"/>
  <c r="AB27" i="21"/>
  <c r="S28" i="34"/>
  <c r="J37" i="34"/>
  <c r="AC37" i="34"/>
  <c r="H37" i="34"/>
  <c r="U37" i="34"/>
  <c r="W40" i="33"/>
  <c r="S38" i="33"/>
  <c r="AB8" i="36"/>
  <c r="C27" i="39"/>
  <c r="U34" i="21"/>
  <c r="AC9" i="40"/>
  <c r="S27" i="35"/>
  <c r="W39" i="33"/>
  <c r="U35" i="33"/>
  <c r="S34" i="34"/>
  <c r="W34" i="35"/>
  <c r="AC27" i="35"/>
  <c r="S30" i="36"/>
  <c r="F35" i="39"/>
  <c r="I4" i="6"/>
  <c r="F9" i="34"/>
  <c r="AA9" i="34"/>
  <c r="J12" i="35"/>
  <c r="W12" i="35"/>
  <c r="AC31" i="35"/>
  <c r="F34" i="35"/>
  <c r="AA34" i="35"/>
  <c r="G582" i="3"/>
  <c r="G556" i="3"/>
  <c r="G552" i="3"/>
  <c r="G551" i="3"/>
  <c r="BA471" i="3"/>
  <c r="AZ471" i="3"/>
  <c r="BA472" i="3"/>
  <c r="BL474" i="3"/>
  <c r="G475" i="3"/>
  <c r="BA476" i="3"/>
  <c r="BL476" i="3"/>
  <c r="BL478" i="3"/>
  <c r="G479" i="3"/>
  <c r="BA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AZ226" i="3"/>
  <c r="BL226" i="3"/>
  <c r="BL228" i="3"/>
  <c r="G229" i="3"/>
  <c r="BA230" i="3"/>
  <c r="AZ230" i="3"/>
  <c r="BL230" i="3"/>
  <c r="BA231" i="3"/>
  <c r="AZ231" i="3"/>
  <c r="BA232" i="3"/>
  <c r="AZ232" i="3"/>
  <c r="BA233" i="3"/>
  <c r="AZ233" i="3"/>
  <c r="BA235" i="3"/>
  <c r="BL235" i="3"/>
  <c r="BA236" i="3"/>
  <c r="AZ236" i="3"/>
  <c r="BA237" i="3"/>
  <c r="AZ237" i="3"/>
  <c r="BL239" i="3"/>
  <c r="G240" i="3"/>
  <c r="BL241" i="3"/>
  <c r="G242" i="3"/>
  <c r="G244" i="3"/>
  <c r="BL245" i="3"/>
  <c r="G246" i="3"/>
  <c r="G251"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BA273" i="3"/>
  <c r="AZ273" i="3"/>
  <c r="BA275" i="3"/>
  <c r="BL275" i="3"/>
  <c r="BA276" i="3"/>
  <c r="AZ276" i="3"/>
  <c r="BL278" i="3"/>
  <c r="G279" i="3"/>
  <c r="BL280" i="3"/>
  <c r="G281" i="3"/>
  <c r="G285" i="3"/>
  <c r="BA286" i="3"/>
  <c r="BL286" i="3"/>
  <c r="AZ286" i="3"/>
  <c r="BA288" i="3"/>
  <c r="BL288" i="3"/>
  <c r="BA289" i="3"/>
  <c r="BA291" i="3"/>
  <c r="BL291" i="3"/>
  <c r="BA292" i="3"/>
  <c r="AZ292" i="3"/>
  <c r="BL294" i="3"/>
  <c r="G295" i="3"/>
  <c r="BL296" i="3"/>
  <c r="G297" i="3"/>
  <c r="G301" i="3"/>
  <c r="BL302" i="3"/>
  <c r="BL114" i="3"/>
  <c r="G115" i="3"/>
  <c r="BA116" i="3"/>
  <c r="AZ116" i="3"/>
  <c r="G123" i="3"/>
  <c r="G126" i="3"/>
  <c r="G128" i="3"/>
  <c r="BL129" i="3"/>
  <c r="G130" i="3"/>
  <c r="G132" i="3"/>
  <c r="BA133" i="3"/>
  <c r="AZ133" i="3"/>
  <c r="BL133" i="3"/>
  <c r="BA134" i="3"/>
  <c r="AZ134" i="3"/>
  <c r="BL135" i="3"/>
  <c r="AZ135" i="3"/>
  <c r="BA137" i="3"/>
  <c r="AZ137" i="3"/>
  <c r="BA138" i="3"/>
  <c r="AZ138" i="3"/>
  <c r="BL139" i="3"/>
  <c r="AZ139" i="3"/>
  <c r="BA141" i="3"/>
  <c r="AZ141" i="3"/>
  <c r="BA142" i="3"/>
  <c r="AZ142" i="3"/>
  <c r="BL143" i="3"/>
  <c r="AZ143" i="3"/>
  <c r="BA145" i="3"/>
  <c r="BA146" i="3"/>
  <c r="AZ146" i="3"/>
  <c r="BA148" i="3"/>
  <c r="AZ148" i="3"/>
  <c r="G151" i="3"/>
  <c r="G154" i="3"/>
  <c r="BA157" i="3"/>
  <c r="BL157" i="3"/>
  <c r="AZ157" i="3"/>
  <c r="BL159" i="3"/>
  <c r="AZ159" i="3"/>
  <c r="G160" i="3"/>
  <c r="BA162" i="3"/>
  <c r="BL162" i="3"/>
  <c r="BA164" i="3"/>
  <c r="AZ164" i="3"/>
  <c r="G167" i="3"/>
  <c r="G170" i="3"/>
  <c r="BA173" i="3"/>
  <c r="AZ173" i="3"/>
  <c r="BL173" i="3"/>
  <c r="BL175" i="3"/>
  <c r="AZ175" i="3"/>
  <c r="G176" i="3"/>
  <c r="BA178" i="3"/>
  <c r="AZ178" i="3"/>
  <c r="BL178" i="3"/>
  <c r="BA180" i="3"/>
  <c r="AZ180" i="3"/>
  <c r="G183" i="3"/>
  <c r="G186" i="3"/>
  <c r="BA189" i="3"/>
  <c r="BL189" i="3"/>
  <c r="BL191" i="3"/>
  <c r="AZ191" i="3"/>
  <c r="G192" i="3"/>
  <c r="BA194" i="3"/>
  <c r="BL194" i="3"/>
  <c r="BA196" i="3"/>
  <c r="AZ196" i="3"/>
  <c r="G199" i="3"/>
  <c r="G203" i="3"/>
  <c r="G205" i="3"/>
  <c r="BL206" i="3"/>
  <c r="G207" i="3"/>
  <c r="G20" i="3"/>
  <c r="G22" i="3"/>
  <c r="BA23" i="3"/>
  <c r="BL23" i="3"/>
  <c r="G100" i="4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AZ67" i="3"/>
  <c r="BL67" i="3"/>
  <c r="BA68" i="3"/>
  <c r="AZ68" i="3"/>
  <c r="BA69" i="3"/>
  <c r="AZ69" i="3"/>
  <c r="BA71" i="3"/>
  <c r="AZ71" i="3"/>
  <c r="BL71" i="3"/>
  <c r="BL73" i="3"/>
  <c r="G74" i="3"/>
  <c r="BL75" i="3"/>
  <c r="G76" i="3"/>
  <c r="G78" i="3"/>
  <c r="G81" i="3"/>
  <c r="G85" i="3"/>
  <c r="G87" i="3"/>
  <c r="G89" i="3"/>
  <c r="G92" i="3"/>
  <c r="BL93" i="3"/>
  <c r="G94" i="3"/>
  <c r="BA95" i="3"/>
  <c r="BL95" i="3"/>
  <c r="BA96" i="3"/>
  <c r="AZ96" i="3"/>
  <c r="BA97" i="3"/>
  <c r="BL99" i="3"/>
  <c r="G100" i="3"/>
  <c r="G102" i="3"/>
  <c r="G105" i="3"/>
  <c r="BA107" i="3"/>
  <c r="BL107" i="3"/>
  <c r="BL108" i="3"/>
  <c r="G109" i="3"/>
  <c r="BL110" i="3"/>
  <c r="G111" i="3"/>
  <c r="AZ557" i="3"/>
  <c r="S29" i="35"/>
  <c r="AA29" i="35"/>
  <c r="BL586" i="3"/>
  <c r="AZ585" i="3"/>
  <c r="AB40" i="33"/>
  <c r="U40" i="33"/>
  <c r="J26" i="33"/>
  <c r="AC26" i="33"/>
  <c r="H26" i="33"/>
  <c r="H23" i="35"/>
  <c r="J23" i="35"/>
  <c r="AA10" i="36"/>
  <c r="S10" i="36"/>
  <c r="AB9" i="36"/>
  <c r="U9" i="36"/>
  <c r="J24" i="36"/>
  <c r="H24" i="36"/>
  <c r="AB24" i="36"/>
  <c r="F24" i="36"/>
  <c r="AA24" i="36"/>
  <c r="H33" i="36"/>
  <c r="AB33" i="36"/>
  <c r="F33" i="36"/>
  <c r="AA33" i="36"/>
  <c r="AB31" i="36"/>
  <c r="U31" i="36"/>
  <c r="AB14" i="37"/>
  <c r="U14" i="37"/>
  <c r="H45" i="39"/>
  <c r="J45" i="39"/>
  <c r="AA34" i="40"/>
  <c r="S34" i="40"/>
  <c r="AA40" i="40"/>
  <c r="S40" i="40"/>
  <c r="W40" i="40"/>
  <c r="AC40" i="40"/>
  <c r="AC32" i="40"/>
  <c r="W32" i="40"/>
  <c r="J39" i="40"/>
  <c r="AC39" i="40"/>
  <c r="H39" i="40"/>
  <c r="U41" i="21"/>
  <c r="AB41" i="21"/>
  <c r="AZ362" i="3"/>
  <c r="H87" i="43"/>
  <c r="H86" i="43"/>
  <c r="H49" i="43"/>
  <c r="H74" i="43"/>
  <c r="AZ327" i="3"/>
  <c r="AZ310" i="3"/>
  <c r="AZ371" i="3"/>
  <c r="AZ336" i="3"/>
  <c r="AZ329" i="3"/>
  <c r="AZ321" i="3"/>
  <c r="AZ304" i="3"/>
  <c r="AB13" i="34"/>
  <c r="U14" i="40"/>
  <c r="AZ513" i="3"/>
  <c r="AZ521" i="3"/>
  <c r="AZ583" i="3"/>
  <c r="AZ518" i="3"/>
  <c r="AZ552" i="3"/>
  <c r="W29" i="33"/>
  <c r="S11" i="36"/>
  <c r="AA44" i="33"/>
  <c r="S26" i="33"/>
  <c r="F23" i="35"/>
  <c r="AA23" i="35"/>
  <c r="J34" i="36"/>
  <c r="AB12" i="33"/>
  <c r="W11" i="40"/>
  <c r="AC11" i="40"/>
  <c r="S39" i="37"/>
  <c r="AA39" i="37"/>
  <c r="W31" i="37"/>
  <c r="U9" i="39"/>
  <c r="S41" i="21"/>
  <c r="AA34" i="21"/>
  <c r="S34" i="21"/>
  <c r="F12" i="21"/>
  <c r="J12" i="21"/>
  <c r="AC12" i="21"/>
  <c r="J14" i="21"/>
  <c r="W14" i="21"/>
  <c r="H14" i="21"/>
  <c r="U14" i="21"/>
  <c r="H30" i="21"/>
  <c r="J30" i="21"/>
  <c r="AC30" i="21"/>
  <c r="H46" i="21"/>
  <c r="U46" i="21"/>
  <c r="F46" i="21"/>
  <c r="AA46" i="21"/>
  <c r="AA40" i="21"/>
  <c r="S40" i="21"/>
  <c r="AB8" i="33"/>
  <c r="U8" i="33"/>
  <c r="F9" i="33"/>
  <c r="AC9" i="34"/>
  <c r="W9" i="34"/>
  <c r="E80" i="34"/>
  <c r="F80" i="34"/>
  <c r="G80" i="34"/>
  <c r="J17" i="34"/>
  <c r="E86" i="34"/>
  <c r="F86" i="34"/>
  <c r="G86" i="34"/>
  <c r="H23" i="34"/>
  <c r="J27" i="34"/>
  <c r="F27" i="34"/>
  <c r="AA27" i="34"/>
  <c r="AC28" i="35"/>
  <c r="W28" i="35"/>
  <c r="J13" i="33"/>
  <c r="F13" i="33"/>
  <c r="J31" i="33"/>
  <c r="F31" i="33"/>
  <c r="S31" i="33"/>
  <c r="J12" i="34"/>
  <c r="F12" i="34"/>
  <c r="J14" i="34"/>
  <c r="W14" i="34"/>
  <c r="H14" i="34"/>
  <c r="AB14" i="34"/>
  <c r="H32" i="34"/>
  <c r="J32" i="34"/>
  <c r="W32" i="34"/>
  <c r="U12" i="35"/>
  <c r="AB12" i="35"/>
  <c r="H36" i="35"/>
  <c r="AB36" i="35"/>
  <c r="J36" i="35"/>
  <c r="F9" i="36"/>
  <c r="AA9" i="36"/>
  <c r="J12" i="36"/>
  <c r="H12" i="36"/>
  <c r="AA40" i="39"/>
  <c r="S40" i="39"/>
  <c r="J37" i="39"/>
  <c r="F37" i="39"/>
  <c r="AA37" i="39"/>
  <c r="AC8" i="40"/>
  <c r="W8" i="40"/>
  <c r="F36" i="39"/>
  <c r="J36" i="39"/>
  <c r="BA551" i="3"/>
  <c r="BL550" i="3"/>
  <c r="AZ550" i="3"/>
  <c r="BA550" i="3"/>
  <c r="BL548" i="3"/>
  <c r="AZ548" i="3"/>
  <c r="G574" i="3"/>
  <c r="G558" i="3"/>
  <c r="G14" i="3"/>
  <c r="BL15" i="3"/>
  <c r="AZ403" i="3"/>
  <c r="AZ406" i="3"/>
  <c r="AZ422" i="3"/>
  <c r="AZ435" i="3"/>
  <c r="AZ438" i="3"/>
  <c r="AZ458" i="3"/>
  <c r="AZ469" i="3"/>
  <c r="AZ487" i="3"/>
  <c r="J51" i="82"/>
  <c r="C7" i="79"/>
  <c r="C59" i="79"/>
  <c r="C7" i="77"/>
  <c r="C52" i="77"/>
  <c r="G398" i="3"/>
  <c r="G399" i="3"/>
  <c r="BL399" i="3"/>
  <c r="AZ399" i="3"/>
  <c r="BA400" i="3"/>
  <c r="AZ400" i="3"/>
  <c r="BL402" i="3"/>
  <c r="AZ402" i="3"/>
  <c r="G405" i="3"/>
  <c r="BL405" i="3"/>
  <c r="AZ405" i="3"/>
  <c r="G408" i="3"/>
  <c r="BL408" i="3"/>
  <c r="AZ408" i="3"/>
  <c r="BA409" i="3"/>
  <c r="BA410" i="3"/>
  <c r="AZ410" i="3"/>
  <c r="BA411" i="3"/>
  <c r="AZ411" i="3"/>
  <c r="G414" i="3"/>
  <c r="G415" i="3"/>
  <c r="BL415" i="3"/>
  <c r="AZ415" i="3"/>
  <c r="BA416" i="3"/>
  <c r="AZ416" i="3"/>
  <c r="BL418" i="3"/>
  <c r="AZ418" i="3"/>
  <c r="G421" i="3"/>
  <c r="BL421" i="3"/>
  <c r="AZ421" i="3"/>
  <c r="G424" i="3"/>
  <c r="G425" i="3"/>
  <c r="BL425" i="3"/>
  <c r="BA426" i="3"/>
  <c r="AZ426" i="3"/>
  <c r="BA427" i="3"/>
  <c r="AZ427" i="3"/>
  <c r="G430" i="3"/>
  <c r="G431" i="3"/>
  <c r="BL431" i="3"/>
  <c r="AZ431" i="3"/>
  <c r="BA432" i="3"/>
  <c r="BL434" i="3"/>
  <c r="AZ434" i="3"/>
  <c r="G437" i="3"/>
  <c r="BL437" i="3"/>
  <c r="AZ437" i="3"/>
  <c r="G440" i="3"/>
  <c r="G441" i="3"/>
  <c r="BL441" i="3"/>
  <c r="BL443" i="3"/>
  <c r="AZ443" i="3"/>
  <c r="BA444" i="3"/>
  <c r="AZ444" i="3"/>
  <c r="BL446" i="3"/>
  <c r="BA447" i="3"/>
  <c r="BA448" i="3"/>
  <c r="AZ448" i="3"/>
  <c r="BL450" i="3"/>
  <c r="G453" i="3"/>
  <c r="BL453" i="3"/>
  <c r="AZ453" i="3"/>
  <c r="G456" i="3"/>
  <c r="G457" i="3"/>
  <c r="BL457" i="3"/>
  <c r="AZ457" i="3"/>
  <c r="BL459" i="3"/>
  <c r="AZ459" i="3"/>
  <c r="BA460" i="3"/>
  <c r="AZ460" i="3"/>
  <c r="BL462" i="3"/>
  <c r="AZ462" i="3"/>
  <c r="BA463" i="3"/>
  <c r="AZ463" i="3"/>
  <c r="BA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AZ393" i="3"/>
  <c r="BL396" i="3"/>
  <c r="AZ396" i="3"/>
  <c r="BA397" i="3"/>
  <c r="AZ397" i="3"/>
  <c r="BL209" i="3"/>
  <c r="BA210" i="3"/>
  <c r="AZ210" i="3"/>
  <c r="G213" i="3"/>
  <c r="BL213" i="3"/>
  <c r="BL215" i="3"/>
  <c r="BA216" i="3"/>
  <c r="AZ216" i="3"/>
  <c r="BL218" i="3"/>
  <c r="AZ218" i="3"/>
  <c r="BA219" i="3"/>
  <c r="AZ219" i="3"/>
  <c r="G222" i="3"/>
  <c r="G223" i="3"/>
  <c r="G224" i="3"/>
  <c r="BL224" i="3"/>
  <c r="BA225" i="3"/>
  <c r="BL227" i="3"/>
  <c r="AZ227" i="3"/>
  <c r="BA228" i="3"/>
  <c r="AZ228" i="3"/>
  <c r="BA229" i="3"/>
  <c r="G232" i="3"/>
  <c r="G233" i="3"/>
  <c r="G234" i="3"/>
  <c r="BL234" i="3"/>
  <c r="G237" i="3"/>
  <c r="G238" i="3"/>
  <c r="BL238" i="3"/>
  <c r="AZ238" i="3"/>
  <c r="BA239" i="3"/>
  <c r="AZ239" i="3"/>
  <c r="BA240" i="3"/>
  <c r="AZ240" i="3"/>
  <c r="BA241" i="3"/>
  <c r="AZ241" i="3"/>
  <c r="BL243" i="3"/>
  <c r="AZ243" i="3"/>
  <c r="BA244" i="3"/>
  <c r="BA245" i="3"/>
  <c r="AZ245" i="3"/>
  <c r="G248" i="3"/>
  <c r="G249" i="3"/>
  <c r="G250" i="3"/>
  <c r="BL250" i="3"/>
  <c r="AZ250" i="3"/>
  <c r="G253" i="3"/>
  <c r="G254" i="3"/>
  <c r="BL254" i="3"/>
  <c r="BA255" i="3"/>
  <c r="AZ255" i="3"/>
  <c r="BA256" i="3"/>
  <c r="BA257" i="3"/>
  <c r="AZ257" i="3"/>
  <c r="BL259" i="3"/>
  <c r="AZ259" i="3"/>
  <c r="BA260" i="3"/>
  <c r="BA261" i="3"/>
  <c r="BL263" i="3"/>
  <c r="AZ263" i="3"/>
  <c r="BA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2" i="3"/>
  <c r="AZ202" i="3"/>
  <c r="BA204" i="3"/>
  <c r="AZ204" i="3"/>
  <c r="BA205" i="3"/>
  <c r="AZ205" i="3"/>
  <c r="BA206" i="3"/>
  <c r="AZ206" i="3"/>
  <c r="G19" i="3"/>
  <c r="BL19" i="3"/>
  <c r="AZ19" i="3"/>
  <c r="BA22" i="3"/>
  <c r="BL24" i="3"/>
  <c r="AZ24" i="3"/>
  <c r="BA25" i="3"/>
  <c r="AZ25" i="3"/>
  <c r="G28" i="3"/>
  <c r="G29" i="3"/>
  <c r="G30" i="3"/>
  <c r="BL30" i="3"/>
  <c r="AZ30" i="3"/>
  <c r="BL32" i="3"/>
  <c r="BA34" i="3"/>
  <c r="AZ34" i="3"/>
  <c r="BA36" i="3"/>
  <c r="BA37" i="3"/>
  <c r="AZ37" i="3"/>
  <c r="BL39" i="3"/>
  <c r="BA40" i="3"/>
  <c r="BL42" i="3"/>
  <c r="AZ42" i="3"/>
  <c r="G45" i="3"/>
  <c r="G46" i="3"/>
  <c r="BL46" i="3"/>
  <c r="AZ46" i="3"/>
  <c r="G49" i="3"/>
  <c r="BL49" i="3"/>
  <c r="AZ49" i="3"/>
  <c r="BL51" i="3"/>
  <c r="AZ51" i="3"/>
  <c r="BA52" i="3"/>
  <c r="AZ52" i="3"/>
  <c r="BA53" i="3"/>
  <c r="BL55" i="3"/>
  <c r="AZ55" i="3"/>
  <c r="BA56" i="3"/>
  <c r="AZ56" i="3"/>
  <c r="BL58" i="3"/>
  <c r="AZ58" i="3"/>
  <c r="G61" i="3"/>
  <c r="G62" i="3"/>
  <c r="BL62" i="3"/>
  <c r="AZ62" i="3"/>
  <c r="M108" i="43"/>
  <c r="M100" i="43"/>
  <c r="I108" i="43"/>
  <c r="I100" i="43"/>
  <c r="E108" i="43"/>
  <c r="E100" i="43"/>
  <c r="BA64" i="3"/>
  <c r="AZ64" i="3"/>
  <c r="BL66" i="3"/>
  <c r="AZ66" i="3"/>
  <c r="G69" i="3"/>
  <c r="G70" i="3"/>
  <c r="BL70" i="3"/>
  <c r="AZ70" i="3"/>
  <c r="BL72" i="3"/>
  <c r="AZ72" i="3"/>
  <c r="BA73" i="3"/>
  <c r="AZ73" i="3"/>
  <c r="BA74" i="3"/>
  <c r="AZ74" i="3"/>
  <c r="BA75" i="3"/>
  <c r="AZ75" i="3"/>
  <c r="BL77" i="3"/>
  <c r="AZ77" i="3"/>
  <c r="G79" i="3"/>
  <c r="G80" i="3"/>
  <c r="BL80" i="3"/>
  <c r="AZ80" i="3"/>
  <c r="G82" i="3"/>
  <c r="G83" i="3"/>
  <c r="G84" i="3"/>
  <c r="BL84" i="3"/>
  <c r="BL86" i="3"/>
  <c r="AZ86" i="3"/>
  <c r="G88" i="3"/>
  <c r="BL88" i="3"/>
  <c r="AZ88" i="3"/>
  <c r="G91" i="3"/>
  <c r="BL91" i="3"/>
  <c r="AZ91" i="3"/>
  <c r="BA92" i="3"/>
  <c r="AZ92" i="3"/>
  <c r="BA93" i="3"/>
  <c r="BA94" i="3"/>
  <c r="AZ94" i="3"/>
  <c r="G97" i="3"/>
  <c r="G98" i="3"/>
  <c r="BL98" i="3"/>
  <c r="BA99" i="3"/>
  <c r="AZ99" i="3"/>
  <c r="BL101" i="3"/>
  <c r="AZ101" i="3"/>
  <c r="G104" i="3"/>
  <c r="BL104" i="3"/>
  <c r="AZ104" i="3"/>
  <c r="BA106" i="3"/>
  <c r="AZ106" i="3"/>
  <c r="BA108" i="3"/>
  <c r="BA109" i="3"/>
  <c r="AZ109" i="3"/>
  <c r="BA110" i="3"/>
  <c r="BA112" i="3"/>
  <c r="AZ112" i="3"/>
  <c r="F3" i="35"/>
  <c r="G1" i="82"/>
  <c r="J51" i="15"/>
  <c r="I20" i="66"/>
  <c r="D1" i="66"/>
  <c r="E10" i="66"/>
  <c r="C21" i="39"/>
  <c r="W37" i="34"/>
  <c r="C5" i="11"/>
  <c r="M20" i="15"/>
  <c r="M20" i="82"/>
  <c r="F34" i="82"/>
  <c r="AB37" i="34"/>
  <c r="U34" i="34"/>
  <c r="AA41" i="34"/>
  <c r="S44" i="34"/>
  <c r="AC36" i="34"/>
  <c r="AB17" i="34"/>
  <c r="S10" i="37"/>
  <c r="A15" i="62"/>
  <c r="B61" i="72"/>
  <c r="D93" i="9"/>
  <c r="E13" i="6"/>
  <c r="E58" i="40"/>
  <c r="W27" i="34"/>
  <c r="AC27" i="34"/>
  <c r="AB34" i="36"/>
  <c r="U34" i="36"/>
  <c r="AC12" i="39"/>
  <c r="W12" i="39"/>
  <c r="AZ401" i="3"/>
  <c r="AZ412" i="3"/>
  <c r="AZ417" i="3"/>
  <c r="AZ433" i="3"/>
  <c r="AZ465" i="3"/>
  <c r="AA32" i="36"/>
  <c r="S32" i="36"/>
  <c r="AZ490" i="3"/>
  <c r="AA39" i="34"/>
  <c r="BL14" i="3"/>
  <c r="AZ266" i="3"/>
  <c r="U30" i="33"/>
  <c r="AC13" i="34"/>
  <c r="AA47" i="34"/>
  <c r="W28" i="37"/>
  <c r="S19" i="39"/>
  <c r="F12" i="33"/>
  <c r="H12" i="39"/>
  <c r="AB12" i="39"/>
  <c r="F39" i="40"/>
  <c r="BA14" i="3"/>
  <c r="AZ367" i="3"/>
  <c r="AZ213" i="3"/>
  <c r="AZ224" i="3"/>
  <c r="AZ234" i="3"/>
  <c r="AZ254" i="3"/>
  <c r="AZ281" i="3"/>
  <c r="AZ297" i="3"/>
  <c r="AZ149" i="3"/>
  <c r="AZ165" i="3"/>
  <c r="AZ189" i="3"/>
  <c r="AZ197" i="3"/>
  <c r="AZ35" i="3"/>
  <c r="AZ41" i="3"/>
  <c r="S12" i="1"/>
  <c r="AR12" i="1"/>
  <c r="R12" i="1"/>
  <c r="B12" i="1"/>
  <c r="E12" i="1"/>
  <c r="S10" i="1"/>
  <c r="AQ10" i="1"/>
  <c r="R10" i="1"/>
  <c r="B10" i="1"/>
  <c r="E10" i="1"/>
  <c r="AZ84" i="3"/>
  <c r="AZ107" i="3"/>
  <c r="K12" i="1"/>
  <c r="M12" i="1"/>
  <c r="O12" i="1"/>
  <c r="P12" i="1"/>
  <c r="S13" i="1"/>
  <c r="AR13" i="1"/>
  <c r="R13" i="1"/>
  <c r="S11" i="1"/>
  <c r="AQ11" i="1"/>
  <c r="R11" i="1"/>
  <c r="S9" i="1"/>
  <c r="AR9" i="1"/>
  <c r="R9" i="1"/>
  <c r="J51" i="67"/>
  <c r="C42" i="1"/>
  <c r="H100" i="43"/>
  <c r="C30" i="66"/>
  <c r="E26" i="66"/>
  <c r="AC34" i="33"/>
  <c r="AA34" i="33"/>
  <c r="B41" i="1"/>
  <c r="J100" i="43"/>
  <c r="AB37" i="40"/>
  <c r="S35" i="40"/>
  <c r="U35" i="40"/>
  <c r="AC36" i="40"/>
  <c r="W38" i="40"/>
  <c r="AA32" i="40"/>
  <c r="S17" i="40"/>
  <c r="S23" i="40"/>
  <c r="AC17" i="40"/>
  <c r="AC15"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F79" i="33"/>
  <c r="J17" i="33"/>
  <c r="S15" i="33"/>
  <c r="U9" i="33"/>
  <c r="I66" i="33"/>
  <c r="J10" i="33"/>
  <c r="H10" i="33"/>
  <c r="AA10" i="33"/>
  <c r="AC11" i="33"/>
  <c r="AB14" i="33"/>
  <c r="W43" i="21"/>
  <c r="W36" i="21"/>
  <c r="W41" i="21"/>
  <c r="AB39" i="21"/>
  <c r="AA43" i="21"/>
  <c r="S39" i="21"/>
  <c r="AA38" i="21"/>
  <c r="AA36" i="21"/>
  <c r="AC40" i="21"/>
  <c r="F77" i="21"/>
  <c r="F23" i="21"/>
  <c r="S23" i="21"/>
  <c r="E85" i="21"/>
  <c r="AA14" i="21"/>
  <c r="AB8" i="21"/>
  <c r="S8" i="21"/>
  <c r="M3" i="43"/>
  <c r="N10" i="43"/>
  <c r="M1" i="43"/>
  <c r="M8" i="43"/>
  <c r="N8" i="43"/>
  <c r="N9" i="43"/>
  <c r="C18" i="9"/>
  <c r="D18" i="9"/>
  <c r="F34" i="67"/>
  <c r="F62" i="67"/>
  <c r="M20" i="67"/>
  <c r="F34" i="15"/>
  <c r="F62" i="15"/>
  <c r="G13" i="3"/>
  <c r="BA13" i="3"/>
  <c r="E11" i="6"/>
  <c r="E61" i="39"/>
  <c r="BL13" i="3"/>
  <c r="J56" i="9"/>
  <c r="J57" i="9"/>
  <c r="A24" i="51"/>
  <c r="B18" i="72"/>
  <c r="U29" i="34"/>
  <c r="E5" i="6"/>
  <c r="D9" i="11"/>
  <c r="C9" i="11"/>
  <c r="P10" i="1"/>
  <c r="E32" i="6"/>
  <c r="L19" i="6"/>
  <c r="G1" i="68"/>
  <c r="K1" i="12"/>
  <c r="AQ12" i="1"/>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7" i="40"/>
  <c r="C63" i="40"/>
  <c r="M47" i="9"/>
  <c r="G19" i="43"/>
  <c r="M20" i="43"/>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E56" i="39"/>
  <c r="E51" i="40"/>
  <c r="B6" i="1"/>
  <c r="E6" i="1"/>
  <c r="K11" i="1"/>
  <c r="M11" i="1"/>
  <c r="O11" i="1"/>
  <c r="P11" i="1"/>
  <c r="B9" i="1"/>
  <c r="E9"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A27" i="39"/>
  <c r="S27" i="39"/>
  <c r="W17" i="39"/>
  <c r="AC17" i="39"/>
  <c r="W31" i="39"/>
  <c r="AC31" i="39"/>
  <c r="S23" i="39"/>
  <c r="AA45" i="39"/>
  <c r="AB39" i="39"/>
  <c r="W34" i="39"/>
  <c r="U38" i="39"/>
  <c r="S8" i="39"/>
  <c r="S20" i="36"/>
  <c r="AC25" i="36"/>
  <c r="S28" i="36"/>
  <c r="U32" i="36"/>
  <c r="W29" i="36"/>
  <c r="AC20" i="36"/>
  <c r="U25" i="36"/>
  <c r="AB28" i="36"/>
  <c r="W9" i="36"/>
  <c r="W22" i="36"/>
  <c r="W23" i="36"/>
  <c r="AB20" i="35"/>
  <c r="U25" i="35"/>
  <c r="S24" i="35"/>
  <c r="W33" i="35"/>
  <c r="AA30" i="35"/>
  <c r="U24" i="35"/>
  <c r="S35" i="35"/>
  <c r="W35" i="35"/>
  <c r="AA16" i="35"/>
  <c r="AA35" i="37"/>
  <c r="W36" i="37"/>
  <c r="S27" i="37"/>
  <c r="W32" i="37"/>
  <c r="U36" i="37"/>
  <c r="S40" i="37"/>
  <c r="U38" i="37"/>
  <c r="AB37" i="37"/>
  <c r="S33" i="37"/>
  <c r="AC34" i="37"/>
  <c r="AB35" i="37"/>
  <c r="AA31" i="37"/>
  <c r="U19" i="37"/>
  <c r="AA29" i="37"/>
  <c r="AA8" i="37"/>
  <c r="U8" i="37"/>
  <c r="AA40" i="34"/>
  <c r="AB40" i="34"/>
  <c r="U19" i="34"/>
  <c r="W19" i="34"/>
  <c r="AB33" i="34"/>
  <c r="AC45" i="34"/>
  <c r="AA31" i="34"/>
  <c r="AA30" i="34"/>
  <c r="AB45" i="34"/>
  <c r="AB47" i="34"/>
  <c r="AB36" i="34"/>
  <c r="W33" i="34"/>
  <c r="AC29" i="34"/>
  <c r="W29" i="34"/>
  <c r="W46" i="34"/>
  <c r="S32" i="34"/>
  <c r="AA32" i="34"/>
  <c r="U30" i="34"/>
  <c r="AB30" i="34"/>
  <c r="S37" i="34"/>
  <c r="U38" i="34"/>
  <c r="AC40" i="34"/>
  <c r="W40"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AC19" i="21"/>
  <c r="W39" i="21"/>
  <c r="W30" i="21"/>
  <c r="S46" i="21"/>
  <c r="H45" i="21"/>
  <c r="U45" i="21"/>
  <c r="F29" i="21"/>
  <c r="S29" i="21"/>
  <c r="F13" i="21"/>
  <c r="AA13" i="21"/>
  <c r="AC38" i="21"/>
  <c r="H32" i="21"/>
  <c r="H9" i="21"/>
  <c r="J9" i="21"/>
  <c r="J32" i="21"/>
  <c r="F32" i="21"/>
  <c r="U17" i="21"/>
  <c r="W29" i="21"/>
  <c r="S19" i="21"/>
  <c r="S9" i="21"/>
  <c r="AA9" i="21"/>
  <c r="K141" i="21"/>
  <c r="K144" i="21"/>
  <c r="K143" i="21"/>
  <c r="AB25" i="21"/>
  <c r="AB44" i="21"/>
  <c r="AA30" i="21"/>
  <c r="W13" i="21"/>
  <c r="W42" i="21"/>
  <c r="AC45" i="21"/>
  <c r="F10" i="21"/>
  <c r="K145" i="21"/>
  <c r="W25" i="21"/>
  <c r="W31" i="21"/>
  <c r="S27" i="21"/>
  <c r="S17" i="21"/>
  <c r="AC27" i="21"/>
  <c r="AC26" i="21"/>
  <c r="AB29" i="21"/>
  <c r="S28" i="21"/>
  <c r="AC34" i="21"/>
  <c r="W10"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F42" i="67"/>
  <c r="F9" i="67"/>
  <c r="M23" i="67"/>
  <c r="M28" i="15"/>
  <c r="F16" i="67"/>
  <c r="L47" i="15"/>
  <c r="C76" i="15"/>
  <c r="M24" i="15"/>
  <c r="F37" i="67"/>
  <c r="F30" i="6"/>
  <c r="C4" i="4"/>
  <c r="AA14" i="40"/>
  <c r="S14" i="40"/>
  <c r="W12" i="21"/>
  <c r="U27" i="21"/>
  <c r="S19" i="34"/>
  <c r="U25" i="34"/>
  <c r="AC12" i="33"/>
  <c r="W39" i="40"/>
  <c r="U33" i="36"/>
  <c r="AZ98" i="3"/>
  <c r="AZ125" i="3"/>
  <c r="AZ261" i="3"/>
  <c r="AZ464" i="3"/>
  <c r="AZ447" i="3"/>
  <c r="AZ425" i="3"/>
  <c r="AZ409" i="3"/>
  <c r="AZ551" i="3"/>
  <c r="AZ586" i="3"/>
  <c r="AZ272" i="3"/>
  <c r="W41" i="33"/>
  <c r="AZ545" i="3"/>
  <c r="AZ430" i="3"/>
  <c r="AZ385" i="3"/>
  <c r="AZ547" i="3"/>
  <c r="AZ500" i="3"/>
  <c r="S14" i="37"/>
  <c r="AA14" i="37"/>
  <c r="AC11" i="35"/>
  <c r="W11" i="35"/>
  <c r="W43" i="39"/>
  <c r="AC43" i="39"/>
  <c r="W32" i="36"/>
  <c r="AC32" i="36"/>
  <c r="S12" i="35"/>
  <c r="AA12" i="35"/>
  <c r="E7" i="21"/>
  <c r="G7" i="21"/>
  <c r="I7" i="21"/>
  <c r="AZ461" i="3"/>
  <c r="G89" i="39"/>
  <c r="H15" i="39"/>
  <c r="J15" i="39"/>
  <c r="E10" i="6"/>
  <c r="AR10" i="1"/>
  <c r="E28" i="6"/>
  <c r="AZ40" i="3"/>
  <c r="AZ22" i="3"/>
  <c r="AZ225" i="3"/>
  <c r="AZ215" i="3"/>
  <c r="AZ209" i="3"/>
  <c r="AZ473" i="3"/>
  <c r="AZ446" i="3"/>
  <c r="AZ15" i="3"/>
  <c r="S34" i="35"/>
  <c r="AZ95" i="3"/>
  <c r="AZ65" i="3"/>
  <c r="AZ38" i="3"/>
  <c r="AZ145" i="3"/>
  <c r="AZ291" i="3"/>
  <c r="AC45" i="33"/>
  <c r="AZ456" i="3"/>
  <c r="AZ429" i="3"/>
  <c r="AZ27" i="3"/>
  <c r="AZ154" i="3"/>
  <c r="AZ211" i="3"/>
  <c r="AZ316" i="3"/>
  <c r="AZ522" i="3"/>
  <c r="AZ398" i="3"/>
  <c r="AB19" i="21"/>
  <c r="U19" i="21"/>
  <c r="U11" i="35"/>
  <c r="AB11" i="35"/>
  <c r="AC31" i="40"/>
  <c r="W31" i="40"/>
  <c r="U33" i="40"/>
  <c r="AB33" i="40"/>
  <c r="W28" i="34"/>
  <c r="AC28" i="34"/>
  <c r="G124" i="34"/>
  <c r="H124" i="34"/>
  <c r="I124" i="34"/>
  <c r="J124" i="34"/>
  <c r="K124" i="34"/>
  <c r="L124" i="34"/>
  <c r="M124" i="34"/>
  <c r="J43" i="34"/>
  <c r="S28" i="37"/>
  <c r="AC25" i="35"/>
  <c r="AC14" i="40"/>
  <c r="AC14" i="34"/>
  <c r="AA29" i="21"/>
  <c r="J17" i="21"/>
  <c r="AC17" i="21"/>
  <c r="S9" i="36"/>
  <c r="C58" i="21"/>
  <c r="D58" i="21"/>
  <c r="W15" i="33"/>
  <c r="W19" i="33"/>
  <c r="AA12" i="37"/>
  <c r="U35" i="39"/>
  <c r="AB27" i="40"/>
  <c r="F32" i="86"/>
  <c r="F60" i="86"/>
  <c r="M18" i="86"/>
  <c r="F28" i="86"/>
  <c r="C28" i="86"/>
  <c r="AZ14" i="3"/>
  <c r="W26" i="33"/>
  <c r="AZ39" i="3"/>
  <c r="AZ32" i="3"/>
  <c r="AZ174" i="3"/>
  <c r="AZ114" i="3"/>
  <c r="AZ264" i="3"/>
  <c r="AZ244" i="3"/>
  <c r="AZ229" i="3"/>
  <c r="AZ450" i="3"/>
  <c r="AZ432" i="3"/>
  <c r="AZ97" i="3"/>
  <c r="AZ289" i="3"/>
  <c r="AZ472" i="3"/>
  <c r="AZ221" i="3"/>
  <c r="AZ532" i="3"/>
  <c r="AZ562" i="3"/>
  <c r="AZ54" i="3"/>
  <c r="AC35" i="39"/>
  <c r="W35" i="39"/>
  <c r="AA15" i="34"/>
  <c r="S15" i="34"/>
  <c r="AB38" i="40"/>
  <c r="U38" i="40"/>
  <c r="F15" i="39"/>
  <c r="U45" i="33"/>
  <c r="AB45" i="33"/>
  <c r="H15" i="33"/>
  <c r="G77" i="21"/>
  <c r="F15" i="21"/>
  <c r="J15" i="21"/>
  <c r="O8" i="1"/>
  <c r="P8" i="1"/>
  <c r="C58" i="33"/>
  <c r="D58" i="33"/>
  <c r="E58" i="33"/>
  <c r="F58" i="33"/>
  <c r="G58" i="33"/>
  <c r="H58" i="33"/>
  <c r="I58" i="33"/>
  <c r="J58" i="33"/>
  <c r="K58" i="33"/>
  <c r="L58" i="33"/>
  <c r="M58" i="33"/>
  <c r="N58" i="33"/>
  <c r="O58" i="33"/>
  <c r="I7" i="33"/>
  <c r="E7" i="33"/>
  <c r="G7" i="33"/>
  <c r="AZ20" i="3"/>
  <c r="G3" i="43"/>
  <c r="K101" i="43"/>
  <c r="K109" i="43"/>
  <c r="E12" i="6"/>
  <c r="AZ480" i="3"/>
  <c r="AZ476" i="3"/>
  <c r="AZ449" i="3"/>
  <c r="AZ445" i="3"/>
  <c r="AZ33" i="3"/>
  <c r="AZ31" i="3"/>
  <c r="AZ220" i="3"/>
  <c r="AZ214" i="3"/>
  <c r="AZ506" i="3"/>
  <c r="AZ564" i="3"/>
  <c r="AZ566" i="3"/>
  <c r="E29" i="6"/>
  <c r="G30" i="6"/>
  <c r="G31" i="6"/>
  <c r="E15" i="6"/>
  <c r="E60" i="40"/>
  <c r="E56" i="40"/>
  <c r="AA31" i="21"/>
  <c r="AC14" i="21"/>
  <c r="AC32" i="34"/>
  <c r="AA13" i="36"/>
  <c r="T12" i="1"/>
  <c r="BA5" i="3"/>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c r="F52" i="77"/>
  <c r="G52" i="77"/>
  <c r="H52" i="77"/>
  <c r="I52" i="77"/>
  <c r="J52" i="77"/>
  <c r="K52" i="77"/>
  <c r="L52" i="77"/>
  <c r="M52" i="77"/>
  <c r="N52" i="77"/>
  <c r="O52" i="77"/>
  <c r="AC36" i="39"/>
  <c r="W36" i="39"/>
  <c r="U12" i="36"/>
  <c r="AB12" i="36"/>
  <c r="W12" i="34"/>
  <c r="AC12" i="34"/>
  <c r="W31" i="33"/>
  <c r="AC31" i="33"/>
  <c r="W34" i="36"/>
  <c r="AC34" i="36"/>
  <c r="AB45" i="39"/>
  <c r="U45" i="39"/>
  <c r="AC23" i="35"/>
  <c r="W23" i="35"/>
  <c r="U26" i="33"/>
  <c r="AB26" i="33"/>
  <c r="W17" i="21"/>
  <c r="C7" i="43"/>
  <c r="D59" i="79"/>
  <c r="E59" i="79"/>
  <c r="F59" i="79"/>
  <c r="G59" i="79"/>
  <c r="H59" i="79"/>
  <c r="I59" i="79"/>
  <c r="J59" i="79"/>
  <c r="K59" i="79"/>
  <c r="L59" i="79"/>
  <c r="M59" i="79"/>
  <c r="N59" i="79"/>
  <c r="O59"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F53" i="9"/>
  <c r="F32" i="82"/>
  <c r="F28" i="82"/>
  <c r="C28" i="82"/>
  <c r="M18" i="82"/>
  <c r="F62" i="82"/>
  <c r="T10" i="1"/>
  <c r="AA11" i="34"/>
  <c r="C53" i="67"/>
  <c r="C53" i="15"/>
  <c r="L58" i="15"/>
  <c r="Q73" i="15"/>
  <c r="M59" i="15"/>
  <c r="N59" i="15"/>
  <c r="I54" i="15"/>
  <c r="L56" i="15"/>
  <c r="AQ13" i="1"/>
  <c r="AZ13" i="3"/>
  <c r="F30" i="68"/>
  <c r="C30" i="68"/>
  <c r="F30" i="11"/>
  <c r="C48" i="11"/>
  <c r="F28" i="67"/>
  <c r="C28" i="67"/>
  <c r="F31" i="12"/>
  <c r="F52" i="9"/>
  <c r="M18" i="67"/>
  <c r="F32" i="67"/>
  <c r="F60" i="67"/>
  <c r="F30" i="69"/>
  <c r="C48" i="69"/>
  <c r="F32" i="15"/>
  <c r="F60" i="15"/>
  <c r="M18" i="15"/>
  <c r="F28" i="15"/>
  <c r="C28" i="15"/>
  <c r="E63" i="39"/>
  <c r="T11" i="1"/>
  <c r="D9" i="69"/>
  <c r="C9" i="69"/>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c r="F11" i="37"/>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L27" i="6"/>
  <c r="F70" i="67"/>
  <c r="F66" i="67"/>
  <c r="F65" i="67"/>
  <c r="Q71" i="15"/>
  <c r="F64" i="15"/>
  <c r="J57" i="15"/>
  <c r="J55" i="15"/>
  <c r="J58" i="15"/>
  <c r="Q50" i="15"/>
  <c r="F66" i="15"/>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M22" i="67"/>
  <c r="M26" i="67"/>
  <c r="F13" i="67"/>
  <c r="M24" i="82"/>
  <c r="F36" i="67"/>
  <c r="M27" i="86"/>
  <c r="J15" i="82"/>
  <c r="M24" i="67"/>
  <c r="M23" i="15"/>
  <c r="M22" i="86"/>
  <c r="M8" i="82"/>
  <c r="L48" i="82"/>
  <c r="M8" i="67"/>
  <c r="C76" i="86"/>
  <c r="M6" i="82"/>
  <c r="J15" i="67"/>
  <c r="F36" i="82"/>
  <c r="L47" i="86"/>
  <c r="M6" i="67"/>
  <c r="F9" i="82"/>
  <c r="F8" i="67"/>
  <c r="F13" i="82"/>
  <c r="M28" i="86"/>
  <c r="F16" i="82"/>
  <c r="M22" i="82"/>
  <c r="F26" i="67"/>
  <c r="J15" i="15"/>
  <c r="F40" i="82"/>
  <c r="F26" i="82"/>
  <c r="M29" i="86"/>
  <c r="M22" i="15"/>
  <c r="J15" i="86"/>
  <c r="M23" i="86"/>
  <c r="F6" i="67"/>
  <c r="M24" i="86"/>
  <c r="F38" i="82"/>
  <c r="M23" i="82"/>
  <c r="C76" i="82"/>
  <c r="F41" i="82"/>
  <c r="F8" i="82"/>
  <c r="M9" i="67"/>
  <c r="M26" i="15"/>
  <c r="M28" i="67"/>
  <c r="M9" i="82"/>
  <c r="L48" i="67"/>
  <c r="L47" i="82"/>
  <c r="F37" i="82"/>
  <c r="L47" i="67"/>
  <c r="F40" i="67"/>
  <c r="C76" i="67"/>
  <c r="F42" i="82"/>
  <c r="M26" i="86"/>
  <c r="M26" i="82"/>
  <c r="M28" i="82"/>
  <c r="K4" i="4"/>
  <c r="B46" i="48"/>
  <c r="F50" i="86"/>
  <c r="F51" i="67"/>
  <c r="J53" i="67"/>
  <c r="J57" i="67"/>
  <c r="J55" i="67"/>
  <c r="J58" i="67"/>
  <c r="Q50" i="67"/>
  <c r="L56" i="67"/>
  <c r="I54" i="67"/>
  <c r="F68" i="86"/>
  <c r="L58" i="86"/>
  <c r="N59" i="86"/>
  <c r="L59" i="86"/>
  <c r="M59" i="86"/>
  <c r="Q71" i="67"/>
  <c r="F65" i="86"/>
  <c r="Q71" i="86"/>
  <c r="F66" i="86"/>
  <c r="L57" i="86"/>
  <c r="L60" i="86"/>
  <c r="L56" i="86"/>
  <c r="Q48" i="86"/>
  <c r="J59" i="86"/>
  <c r="J57" i="86"/>
  <c r="J55" i="86"/>
  <c r="J58" i="86"/>
  <c r="Q50" i="86"/>
  <c r="I54" i="86"/>
  <c r="F71" i="86"/>
  <c r="F64" i="86"/>
  <c r="F51" i="86"/>
  <c r="L58" i="67"/>
  <c r="Q60" i="67"/>
  <c r="N59" i="67"/>
  <c r="L59" i="67"/>
  <c r="Q61" i="67"/>
  <c r="M59" i="67"/>
  <c r="F7" i="79"/>
  <c r="AB15" i="33"/>
  <c r="U15" i="33"/>
  <c r="J7" i="79"/>
  <c r="W43" i="34"/>
  <c r="AC43" i="34"/>
  <c r="W15" i="39"/>
  <c r="AC15" i="39"/>
  <c r="AA15" i="39"/>
  <c r="S15" i="39"/>
  <c r="U15" i="39"/>
  <c r="AB15" i="39"/>
  <c r="S15" i="21"/>
  <c r="AA15" i="21"/>
  <c r="W15" i="21"/>
  <c r="AC15" i="21"/>
  <c r="N101" i="43"/>
  <c r="N109" i="43"/>
  <c r="F24" i="82"/>
  <c r="C24" i="82"/>
  <c r="C9" i="68"/>
  <c r="F101" i="43"/>
  <c r="M101" i="43"/>
  <c r="AG11" i="43"/>
  <c r="AG13" i="43"/>
  <c r="M107" i="43"/>
  <c r="C101" i="43"/>
  <c r="H22" i="43"/>
  <c r="N105" i="43"/>
  <c r="AD11" i="43"/>
  <c r="AD13" i="43"/>
  <c r="Y11" i="43"/>
  <c r="Y13" i="43"/>
  <c r="E22" i="43"/>
  <c r="N104" i="46"/>
  <c r="H101" i="43"/>
  <c r="E101" i="43"/>
  <c r="AH11" i="43"/>
  <c r="AH13" i="43"/>
  <c r="Z11" i="43"/>
  <c r="Z13" i="43"/>
  <c r="AC11" i="43"/>
  <c r="AC13" i="43"/>
  <c r="F22" i="43"/>
  <c r="J101" i="43"/>
  <c r="J107" i="43"/>
  <c r="B113" i="43"/>
  <c r="D101" i="43"/>
  <c r="G22" i="43"/>
  <c r="AF11" i="43"/>
  <c r="AF13" i="43"/>
  <c r="Z7" i="43"/>
  <c r="AE11" i="43"/>
  <c r="AE13" i="43"/>
  <c r="G101" i="43"/>
  <c r="L101" i="43"/>
  <c r="I101" i="43"/>
  <c r="AJ11" i="43"/>
  <c r="AJ13" i="43"/>
  <c r="AB11" i="43"/>
  <c r="AB13" i="43"/>
  <c r="AI11" i="43"/>
  <c r="AI13" i="43"/>
  <c r="AA11" i="43"/>
  <c r="AA13" i="43"/>
  <c r="E57" i="40"/>
  <c r="E62" i="39"/>
  <c r="AY98" i="3"/>
  <c r="E65" i="39"/>
  <c r="M103" i="43"/>
  <c r="M106" i="43"/>
  <c r="M102" i="43"/>
  <c r="B5" i="62"/>
  <c r="B73" i="72"/>
  <c r="N107" i="43"/>
  <c r="K102" i="43"/>
  <c r="K105" i="43"/>
  <c r="K103" i="43"/>
  <c r="K107" i="43"/>
  <c r="K106" i="43"/>
  <c r="K104" i="43"/>
  <c r="N102" i="43"/>
  <c r="N106" i="43"/>
  <c r="N103" i="43"/>
  <c r="N104" i="43"/>
  <c r="H7" i="79"/>
  <c r="J7" i="77"/>
  <c r="AC7" i="77"/>
  <c r="V42" i="77"/>
  <c r="I42" i="77"/>
  <c r="F68" i="67"/>
  <c r="F51" i="15"/>
  <c r="F64" i="67"/>
  <c r="F68" i="15"/>
  <c r="F65" i="15"/>
  <c r="C27" i="67"/>
  <c r="F104" i="43"/>
  <c r="F102" i="43"/>
  <c r="F103" i="43"/>
  <c r="F109" i="43"/>
  <c r="F107" i="43"/>
  <c r="F106" i="43"/>
  <c r="F105" i="43"/>
  <c r="C104" i="43"/>
  <c r="C107" i="43"/>
  <c r="C103" i="43"/>
  <c r="C106" i="43"/>
  <c r="C105" i="43"/>
  <c r="C102" i="43"/>
  <c r="C109" i="43"/>
  <c r="F51" i="82"/>
  <c r="F66" i="82"/>
  <c r="Q71" i="82"/>
  <c r="L56" i="82"/>
  <c r="L60" i="82"/>
  <c r="L57" i="82"/>
  <c r="J53" i="82"/>
  <c r="J57" i="82"/>
  <c r="J55" i="82"/>
  <c r="J58" i="82"/>
  <c r="Q50" i="82"/>
  <c r="I54" i="82"/>
  <c r="F69" i="82"/>
  <c r="F68" i="82"/>
  <c r="L59" i="82"/>
  <c r="M59" i="82"/>
  <c r="N59" i="82"/>
  <c r="L58" i="82"/>
  <c r="F64" i="82"/>
  <c r="F65" i="82"/>
  <c r="C27" i="82"/>
  <c r="S7" i="79"/>
  <c r="AA7" i="79"/>
  <c r="R49" i="79"/>
  <c r="AB7" i="79"/>
  <c r="T49" i="79"/>
  <c r="G49" i="79"/>
  <c r="U7" i="79"/>
  <c r="W7" i="77"/>
  <c r="S11" i="37"/>
  <c r="AA11" i="37"/>
  <c r="H11" i="37"/>
  <c r="AB11" i="37"/>
  <c r="W7" i="79"/>
  <c r="AC7" i="79"/>
  <c r="V49" i="79"/>
  <c r="I49" i="79"/>
  <c r="F7" i="77"/>
  <c r="H7" i="77"/>
  <c r="B71" i="72"/>
  <c r="B4" i="72"/>
  <c r="F60" i="82"/>
  <c r="C30" i="69"/>
  <c r="L59" i="15"/>
  <c r="Q74" i="15"/>
  <c r="C30" i="11"/>
  <c r="A18" i="62"/>
  <c r="B64" i="72"/>
  <c r="D3" i="33"/>
  <c r="C33" i="43"/>
  <c r="G33" i="43"/>
  <c r="I33" i="43"/>
  <c r="C36" i="43"/>
  <c r="E36" i="43"/>
  <c r="C34" i="43"/>
  <c r="C35" i="43"/>
  <c r="U32" i="39"/>
  <c r="AB32" i="39"/>
  <c r="AC32" i="39"/>
  <c r="W32" i="39"/>
  <c r="W19" i="37"/>
  <c r="AC19" i="37"/>
  <c r="W23" i="37"/>
  <c r="AC23"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37" i="11"/>
  <c r="D3" i="37"/>
  <c r="AY132" i="3"/>
  <c r="AY31" i="3"/>
  <c r="AY220" i="3"/>
  <c r="AY350" i="3"/>
  <c r="AY199" i="3"/>
  <c r="AY244" i="3"/>
  <c r="AY404" i="3"/>
  <c r="AY562" i="3"/>
  <c r="AY53" i="3"/>
  <c r="AY36" i="3"/>
  <c r="AY146" i="3"/>
  <c r="AY157" i="3"/>
  <c r="AY302" i="3"/>
  <c r="AY271" i="3"/>
  <c r="AY222" i="3"/>
  <c r="AY211" i="3"/>
  <c r="BS6" i="3"/>
  <c r="BI6" i="3"/>
  <c r="AY40" i="3"/>
  <c r="AY186" i="3"/>
  <c r="AY121" i="3"/>
  <c r="AY279" i="3"/>
  <c r="AY258" i="3"/>
  <c r="AY226" i="3"/>
  <c r="AY370" i="3"/>
  <c r="AY356" i="3"/>
  <c r="AY309" i="3"/>
  <c r="AY340" i="3"/>
  <c r="AY483" i="3"/>
  <c r="AY467" i="3"/>
  <c r="AY449" i="3"/>
  <c r="AY454" i="3"/>
  <c r="AY406" i="3"/>
  <c r="AY435" i="3"/>
  <c r="AY503" i="3"/>
  <c r="AY525" i="3"/>
  <c r="AY572" i="3"/>
  <c r="BN6" i="3"/>
  <c r="AY520" i="3"/>
  <c r="AY518" i="3"/>
  <c r="AY543" i="3"/>
  <c r="AY501" i="3"/>
  <c r="AY532" i="3"/>
  <c r="AY494" i="3"/>
  <c r="AY496" i="3"/>
  <c r="AY582" i="3"/>
  <c r="AY523" i="3"/>
  <c r="AY101" i="3"/>
  <c r="AY81" i="3"/>
  <c r="AY65" i="3"/>
  <c r="AY64" i="3"/>
  <c r="AY48" i="3"/>
  <c r="AY21" i="3"/>
  <c r="AY194" i="3"/>
  <c r="AY174" i="3"/>
  <c r="AY158" i="3"/>
  <c r="AY153" i="3"/>
  <c r="AY137" i="3"/>
  <c r="AY113" i="3"/>
  <c r="AY287" i="3"/>
  <c r="AY267" i="3"/>
  <c r="AY251" i="3"/>
  <c r="AY250" i="3"/>
  <c r="AY234" i="3"/>
  <c r="AY396" i="3"/>
  <c r="AY380" i="3"/>
  <c r="AY361" i="3"/>
  <c r="AY364" i="3"/>
  <c r="AY337" i="3"/>
  <c r="AY329" i="3"/>
  <c r="AY305" i="3"/>
  <c r="AY344" i="3"/>
  <c r="AY320" i="3"/>
  <c r="AY312" i="3"/>
  <c r="AY479" i="3"/>
  <c r="AY471" i="3"/>
  <c r="AY476" i="3"/>
  <c r="AY468" i="3"/>
  <c r="AY445" i="3"/>
  <c r="AY458" i="3"/>
  <c r="AY434" i="3"/>
  <c r="AY426" i="3"/>
  <c r="AY402" i="3"/>
  <c r="AY439" i="3"/>
  <c r="AY415" i="3"/>
  <c r="AY407" i="3"/>
  <c r="AY505" i="3"/>
  <c r="AY506" i="3"/>
  <c r="AY538" i="3"/>
  <c r="AY14" i="3"/>
  <c r="AY522" i="3"/>
  <c r="AY524" i="3"/>
  <c r="AY515" i="3"/>
  <c r="AY565" i="3"/>
  <c r="AY551" i="3"/>
  <c r="AY542" i="3"/>
  <c r="AY545" i="3"/>
  <c r="AY570" i="3"/>
  <c r="BP6" i="3"/>
  <c r="AY578" i="3"/>
  <c r="AY493" i="3"/>
  <c r="AY99" i="3"/>
  <c r="AY79" i="3"/>
  <c r="AY63" i="3"/>
  <c r="AY62" i="3"/>
  <c r="AY46" i="3"/>
  <c r="AY19" i="3"/>
  <c r="AY192" i="3"/>
  <c r="AY172" i="3"/>
  <c r="AY156" i="3"/>
  <c r="AY151" i="3"/>
  <c r="AY135" i="3"/>
  <c r="AY301" i="3"/>
  <c r="AY285" i="3"/>
  <c r="AY265" i="3"/>
  <c r="AY249" i="3"/>
  <c r="AY248" i="3"/>
  <c r="AY232" i="3"/>
  <c r="AY394" i="3"/>
  <c r="AY378" i="3"/>
  <c r="AY359" i="3"/>
  <c r="AY362" i="3"/>
  <c r="AY315" i="3"/>
  <c r="AY346" i="3"/>
  <c r="AY485" i="3"/>
  <c r="AY469" i="3"/>
  <c r="AY451" i="3"/>
  <c r="AY456" i="3"/>
  <c r="AY408" i="3"/>
  <c r="AY437" i="3"/>
  <c r="AY500" i="3"/>
  <c r="AY558" i="3"/>
  <c r="AY547" i="3"/>
  <c r="AY560" i="3"/>
  <c r="AY568" i="3"/>
  <c r="BL6" i="3"/>
  <c r="AY107" i="3"/>
  <c r="AY91" i="3"/>
  <c r="AY71" i="3"/>
  <c r="AY55" i="3"/>
  <c r="AY54" i="3"/>
  <c r="AY38" i="3"/>
  <c r="AY200" i="3"/>
  <c r="AY184" i="3"/>
  <c r="AY164" i="3"/>
  <c r="AY148" i="3"/>
  <c r="AY143" i="3"/>
  <c r="AY128" i="3"/>
  <c r="AY293" i="3"/>
  <c r="AY277" i="3"/>
  <c r="AY257" i="3"/>
  <c r="AY241" i="3"/>
  <c r="AY240" i="3"/>
  <c r="AY224" i="3"/>
  <c r="AY386" i="3"/>
  <c r="AY391" i="3"/>
  <c r="AY351" i="3"/>
  <c r="AY354" i="3"/>
  <c r="AY307" i="3"/>
  <c r="AY338" i="3"/>
  <c r="AY477" i="3"/>
  <c r="AY490" i="3"/>
  <c r="AY443" i="3"/>
  <c r="AY448" i="3"/>
  <c r="AY400" i="3"/>
  <c r="AY429" i="3"/>
  <c r="AY521" i="3"/>
  <c r="BD6" i="3"/>
  <c r="AY566" i="3"/>
  <c r="AY511" i="3"/>
  <c r="BT6" i="3"/>
  <c r="AY586" i="3"/>
  <c r="C38" i="43"/>
  <c r="G38" i="43"/>
  <c r="I38" i="43"/>
  <c r="F22" i="11"/>
  <c r="F22" i="69"/>
  <c r="F24" i="67"/>
  <c r="C24" i="67"/>
  <c r="F22" i="68"/>
  <c r="T11" i="43"/>
  <c r="V11" i="43"/>
  <c r="T16" i="43"/>
  <c r="V16" i="43"/>
  <c r="T14" i="43"/>
  <c r="V14" i="43"/>
  <c r="T12" i="43"/>
  <c r="V12" i="43"/>
  <c r="T9" i="43"/>
  <c r="V9" i="43"/>
  <c r="T8" i="43"/>
  <c r="V8" i="43"/>
  <c r="T15" i="43"/>
  <c r="V15" i="43"/>
  <c r="T13" i="43"/>
  <c r="V13" i="43"/>
  <c r="T10" i="43"/>
  <c r="V10"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Q60" i="15"/>
  <c r="Q73" i="67"/>
  <c r="F1" i="67"/>
  <c r="Q52" i="67"/>
  <c r="Q74" i="67"/>
  <c r="D19" i="11"/>
  <c r="C19" i="11"/>
  <c r="C20" i="11"/>
  <c r="Q74" i="86"/>
  <c r="Q61"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9" i="3"/>
  <c r="AY527" i="3"/>
  <c r="AY516" i="3"/>
  <c r="AY403" i="3"/>
  <c r="AY422" i="3"/>
  <c r="AY464" i="3"/>
  <c r="AY308" i="3"/>
  <c r="AY325" i="3"/>
  <c r="AY393" i="3"/>
  <c r="AY243" i="3"/>
  <c r="AY130" i="3"/>
  <c r="AY57" i="3"/>
  <c r="AY365" i="3"/>
  <c r="AY254" i="3"/>
  <c r="AY117" i="3"/>
  <c r="AY178" i="3"/>
  <c r="AY89" i="3"/>
  <c r="AY481" i="3"/>
  <c r="AY425" i="3"/>
  <c r="AY147" i="3"/>
  <c r="AY191" i="3"/>
  <c r="Q57" i="86"/>
  <c r="Q66" i="86"/>
  <c r="Q73" i="86"/>
  <c r="Q60" i="86"/>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2" i="3"/>
  <c r="AY536" i="3"/>
  <c r="AY580" i="3"/>
  <c r="AY419" i="3"/>
  <c r="AY438" i="3"/>
  <c r="AY480" i="3"/>
  <c r="AY324" i="3"/>
  <c r="AY341" i="3"/>
  <c r="AY215" i="3"/>
  <c r="AY275" i="3"/>
  <c r="AY150" i="3"/>
  <c r="AY93" i="3"/>
  <c r="AY389" i="3"/>
  <c r="AY239" i="3"/>
  <c r="AY126" i="3"/>
  <c r="AY182" i="3"/>
  <c r="BO6" i="3"/>
  <c r="AY355" i="3"/>
  <c r="AY486" i="3"/>
  <c r="AY292" i="3"/>
  <c r="AY82" i="3"/>
  <c r="J103" i="43"/>
  <c r="C49" i="86"/>
  <c r="C48" i="86"/>
  <c r="Q52" i="86"/>
  <c r="J24" i="86"/>
  <c r="J18" i="86"/>
  <c r="D3" i="34"/>
  <c r="U11" i="37"/>
  <c r="M18" i="9"/>
  <c r="B118" i="9"/>
  <c r="B14" i="74"/>
  <c r="B1" i="74"/>
  <c r="C17" i="4"/>
  <c r="B4" i="52"/>
  <c r="B43" i="72"/>
  <c r="E6" i="6"/>
  <c r="J102" i="4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61" i="3"/>
  <c r="AY181" i="3"/>
  <c r="AY29" i="3"/>
  <c r="AY72" i="3"/>
  <c r="AY88" i="3"/>
  <c r="BB6" i="3"/>
  <c r="AY507" i="3"/>
  <c r="AY368" i="3"/>
  <c r="AY373" i="3"/>
  <c r="AY384" i="3"/>
  <c r="AY227" i="3"/>
  <c r="AY238" i="3"/>
  <c r="AY270" i="3"/>
  <c r="AY255" i="3"/>
  <c r="AY286" i="3"/>
  <c r="AY291" i="3"/>
  <c r="AY134" i="3"/>
  <c r="AY141" i="3"/>
  <c r="AY173" i="3"/>
  <c r="AY162" i="3"/>
  <c r="AY193" i="3"/>
  <c r="AY25" i="3"/>
  <c r="AY68" i="3"/>
  <c r="AY85"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M23" i="1"/>
  <c r="C33" i="33"/>
  <c r="M109" i="43"/>
  <c r="M105" i="43"/>
  <c r="M104" i="43"/>
  <c r="J104" i="43"/>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E104" i="43"/>
  <c r="E107" i="43"/>
  <c r="E105" i="43"/>
  <c r="E109" i="43"/>
  <c r="E102" i="43"/>
  <c r="E106" i="43"/>
  <c r="E103" i="43"/>
  <c r="J106" i="43"/>
  <c r="J105" i="43"/>
  <c r="J109" i="43"/>
  <c r="H102" i="43"/>
  <c r="H103" i="43"/>
  <c r="H104" i="43"/>
  <c r="H107" i="43"/>
  <c r="H106" i="43"/>
  <c r="H105" i="43"/>
  <c r="H109" i="43"/>
  <c r="I109" i="43"/>
  <c r="I104" i="43"/>
  <c r="I107" i="43"/>
  <c r="I105" i="43"/>
  <c r="I106" i="43"/>
  <c r="I102" i="43"/>
  <c r="I103" i="43"/>
  <c r="G105" i="43"/>
  <c r="G109" i="43"/>
  <c r="G103" i="43"/>
  <c r="G106" i="43"/>
  <c r="G107" i="43"/>
  <c r="G102" i="43"/>
  <c r="G104" i="43"/>
  <c r="D117" i="43"/>
  <c r="E117" i="43"/>
  <c r="F117" i="43"/>
  <c r="G117" i="43"/>
  <c r="H117" i="43"/>
  <c r="G118" i="43"/>
  <c r="H118" i="43"/>
  <c r="I116" i="43"/>
  <c r="J116" i="43"/>
  <c r="K116" i="43"/>
  <c r="L116" i="43"/>
  <c r="M116" i="43"/>
  <c r="I118" i="43"/>
  <c r="J118" i="43"/>
  <c r="K118" i="43"/>
  <c r="L118" i="43"/>
  <c r="M118" i="43"/>
  <c r="B116" i="43"/>
  <c r="C116" i="43"/>
  <c r="B117" i="43"/>
  <c r="C117" i="43"/>
  <c r="B115" i="43"/>
  <c r="D116" i="43"/>
  <c r="E116" i="43"/>
  <c r="F116" i="43"/>
  <c r="G116" i="43"/>
  <c r="H116" i="43"/>
  <c r="B118" i="43"/>
  <c r="C118" i="43"/>
  <c r="I115" i="43"/>
  <c r="J115" i="43"/>
  <c r="K115" i="43"/>
  <c r="L115" i="43"/>
  <c r="M115" i="43"/>
  <c r="D118" i="43"/>
  <c r="E118" i="43"/>
  <c r="F118" i="43"/>
  <c r="I117" i="43"/>
  <c r="J117" i="43"/>
  <c r="K117" i="43"/>
  <c r="L117" i="43"/>
  <c r="M117" i="43"/>
  <c r="D115" i="43"/>
  <c r="E115" i="43"/>
  <c r="F115" i="43"/>
  <c r="G115" i="43"/>
  <c r="H115" i="43"/>
  <c r="L109" i="43"/>
  <c r="L106" i="43"/>
  <c r="L107" i="43"/>
  <c r="L103" i="43"/>
  <c r="L105" i="43"/>
  <c r="L102" i="43"/>
  <c r="L104" i="43"/>
  <c r="D109" i="43"/>
  <c r="D105" i="43"/>
  <c r="D106" i="43"/>
  <c r="D102" i="43"/>
  <c r="D103" i="43"/>
  <c r="D107" i="43"/>
  <c r="D104" i="43"/>
  <c r="S5" i="43"/>
  <c r="T5" i="43"/>
  <c r="V5" i="43"/>
  <c r="E66" i="39"/>
  <c r="S4" i="43"/>
  <c r="T4" i="43"/>
  <c r="V4" i="43"/>
  <c r="C23" i="43"/>
  <c r="C21" i="43"/>
  <c r="C29" i="43"/>
  <c r="C30" i="43"/>
  <c r="E30" i="43"/>
  <c r="AA7" i="77"/>
  <c r="R42" i="77"/>
  <c r="S7" i="77"/>
  <c r="G54" i="79"/>
  <c r="H54" i="79"/>
  <c r="G53" i="79"/>
  <c r="H53" i="79"/>
  <c r="Q73" i="82"/>
  <c r="Q60" i="82"/>
  <c r="Q52" i="82"/>
  <c r="F1" i="82"/>
  <c r="Q57" i="82"/>
  <c r="Q66" i="82"/>
  <c r="U7" i="77"/>
  <c r="AB7" i="77"/>
  <c r="T42" i="77"/>
  <c r="G42" i="77"/>
  <c r="I53" i="79"/>
  <c r="J53" i="79"/>
  <c r="I46" i="77"/>
  <c r="J46" i="77"/>
  <c r="R50" i="79"/>
  <c r="E49" i="79"/>
  <c r="Q74" i="82"/>
  <c r="Q61" i="82"/>
  <c r="Q61" i="15"/>
  <c r="E37" i="43"/>
  <c r="AA7" i="36"/>
  <c r="R36" i="36"/>
  <c r="E36" i="36"/>
  <c r="E40" i="36"/>
  <c r="F40" i="36"/>
  <c r="AC11" i="37"/>
  <c r="W11" i="37"/>
  <c r="AB7" i="37"/>
  <c r="T42" i="37"/>
  <c r="G42" i="37"/>
  <c r="G46" i="37"/>
  <c r="H46" i="37"/>
  <c r="W11" i="34"/>
  <c r="AC11" i="34"/>
  <c r="AB7" i="36"/>
  <c r="T36" i="36"/>
  <c r="E38" i="43"/>
  <c r="E6" i="3"/>
  <c r="D10" i="11"/>
  <c r="C10" i="11"/>
  <c r="D25" i="6"/>
  <c r="D26" i="6"/>
  <c r="D15" i="6"/>
  <c r="C18" i="4"/>
  <c r="D22" i="6"/>
  <c r="D8" i="6"/>
  <c r="D21" i="6"/>
  <c r="D23" i="6"/>
  <c r="D24" i="6"/>
  <c r="D14" i="6"/>
  <c r="D5" i="6"/>
  <c r="D6" i="6"/>
  <c r="D12" i="6"/>
  <c r="D9" i="6"/>
  <c r="D11" i="6"/>
  <c r="D10" i="6"/>
  <c r="D13" i="6"/>
  <c r="D28" i="6"/>
  <c r="D29" i="6"/>
  <c r="E61" i="40"/>
  <c r="C26" i="68"/>
  <c r="D22" i="68"/>
  <c r="C44" i="68"/>
  <c r="D41" i="68"/>
  <c r="C26" i="69"/>
  <c r="D22" i="69"/>
  <c r="C44" i="69"/>
  <c r="D41" i="69"/>
  <c r="C25" i="11"/>
  <c r="C26" i="11"/>
  <c r="D22" i="11"/>
  <c r="C24" i="11"/>
  <c r="C44" i="11"/>
  <c r="D41" i="11"/>
  <c r="C23" i="11"/>
  <c r="E33" i="43"/>
  <c r="G35" i="43"/>
  <c r="I35" i="43"/>
  <c r="E35" i="43"/>
  <c r="G36" i="43"/>
  <c r="I36" i="43"/>
  <c r="G34"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F63" i="40"/>
  <c r="E65" i="40"/>
  <c r="E70" i="39"/>
  <c r="F70" i="39"/>
  <c r="D10" i="68"/>
  <c r="AA7" i="34"/>
  <c r="R49" i="34"/>
  <c r="C66" i="86"/>
  <c r="C60" i="86"/>
  <c r="S2" i="43"/>
  <c r="T2" i="43"/>
  <c r="V2" i="43"/>
  <c r="S3" i="43"/>
  <c r="T3" i="43"/>
  <c r="V3" i="43"/>
  <c r="S7" i="43"/>
  <c r="T7" i="43"/>
  <c r="V7" i="43"/>
  <c r="S6" i="43"/>
  <c r="T6" i="43"/>
  <c r="V6" i="43"/>
  <c r="M24" i="1"/>
  <c r="B29" i="1"/>
  <c r="J33" i="33"/>
  <c r="F33" i="33"/>
  <c r="H33" i="33"/>
  <c r="C115" i="43"/>
  <c r="D113" i="43"/>
  <c r="J22" i="43"/>
  <c r="E29" i="43"/>
  <c r="C26" i="43"/>
  <c r="C49" i="79"/>
  <c r="C50" i="79"/>
  <c r="B2" i="79"/>
  <c r="B3" i="79"/>
  <c r="E53" i="79"/>
  <c r="F53" i="79"/>
  <c r="E54" i="79"/>
  <c r="F54" i="79"/>
  <c r="I54" i="79"/>
  <c r="J54" i="79"/>
  <c r="G46" i="77"/>
  <c r="H46" i="77"/>
  <c r="G47" i="77"/>
  <c r="H47" i="77"/>
  <c r="E42" i="77"/>
  <c r="R43" i="77"/>
  <c r="J59" i="82"/>
  <c r="J60" i="82"/>
  <c r="G36" i="36"/>
  <c r="R37" i="36"/>
  <c r="AB7" i="34"/>
  <c r="T49" i="34"/>
  <c r="G49" i="34"/>
  <c r="G53" i="34"/>
  <c r="H53" i="34"/>
  <c r="W7" i="21"/>
  <c r="AA7" i="21"/>
  <c r="D30" i="6"/>
  <c r="D16" i="6"/>
  <c r="A7" i="51"/>
  <c r="B7" i="72"/>
  <c r="C4" i="52"/>
  <c r="B45" i="72"/>
  <c r="A10" i="51"/>
  <c r="B9" i="72"/>
  <c r="D19" i="68"/>
  <c r="C10" i="68"/>
  <c r="U7" i="21"/>
  <c r="C22" i="11"/>
  <c r="C27" i="43"/>
  <c r="I40" i="36"/>
  <c r="J40" i="36"/>
  <c r="R43" i="37"/>
  <c r="E42" i="37"/>
  <c r="I47" i="37"/>
  <c r="J47" i="37"/>
  <c r="G43" i="35"/>
  <c r="H43" i="35"/>
  <c r="I42" i="35"/>
  <c r="J42" i="35"/>
  <c r="R39" i="35"/>
  <c r="E38" i="35"/>
  <c r="I43" i="35"/>
  <c r="J43" i="35"/>
  <c r="G47" i="37"/>
  <c r="H47" i="37"/>
  <c r="I46" i="37"/>
  <c r="J46" i="37"/>
  <c r="G63" i="40"/>
  <c r="F65" i="40"/>
  <c r="E49" i="34"/>
  <c r="G70" i="39"/>
  <c r="E6" i="76"/>
  <c r="C8" i="68"/>
  <c r="AA33" i="33"/>
  <c r="S33" i="33"/>
  <c r="AB33" i="33"/>
  <c r="U33" i="33"/>
  <c r="AC33" i="33"/>
  <c r="W33" i="33"/>
  <c r="E46" i="77"/>
  <c r="F46" i="77"/>
  <c r="E47" i="77"/>
  <c r="F47" i="77"/>
  <c r="I47" i="77"/>
  <c r="J47" i="77"/>
  <c r="C42" i="77"/>
  <c r="C43" i="77"/>
  <c r="Q48" i="82"/>
  <c r="L46" i="82"/>
  <c r="R50" i="34"/>
  <c r="C50" i="34"/>
  <c r="E2" i="76"/>
  <c r="B2" i="43"/>
  <c r="G54" i="34"/>
  <c r="H54" i="34"/>
  <c r="C37" i="36"/>
  <c r="C36" i="36"/>
  <c r="G40" i="36"/>
  <c r="H40" i="36"/>
  <c r="E41" i="36"/>
  <c r="F41" i="36"/>
  <c r="G41" i="36"/>
  <c r="H41" i="36"/>
  <c r="C19" i="68"/>
  <c r="D37" i="68"/>
  <c r="E47" i="37"/>
  <c r="F47" i="37"/>
  <c r="E46" i="37"/>
  <c r="F46" i="37"/>
  <c r="C43" i="37"/>
  <c r="C42" i="37"/>
  <c r="C39" i="35"/>
  <c r="C38" i="35"/>
  <c r="E43" i="35"/>
  <c r="F43" i="35"/>
  <c r="E42" i="35"/>
  <c r="F42" i="35"/>
  <c r="E54" i="34"/>
  <c r="F54" i="34"/>
  <c r="I54" i="34"/>
  <c r="J54" i="34"/>
  <c r="E53" i="34"/>
  <c r="F53" i="34"/>
  <c r="H63" i="40"/>
  <c r="G65" i="40"/>
  <c r="H70" i="39"/>
  <c r="B6" i="76"/>
  <c r="B3" i="77"/>
  <c r="B2" i="77"/>
  <c r="C49" i="34"/>
  <c r="B2" i="76"/>
  <c r="B3" i="76"/>
  <c r="B3" i="43"/>
  <c r="C24" i="68"/>
  <c r="I63" i="40"/>
  <c r="H65" i="40"/>
  <c r="I70" i="39"/>
  <c r="J63" i="40"/>
  <c r="I65" i="40"/>
  <c r="J70" i="39"/>
  <c r="K63" i="40"/>
  <c r="J65" i="40"/>
  <c r="K70" i="39"/>
  <c r="L63" i="40"/>
  <c r="K65" i="40"/>
  <c r="L70" i="39"/>
  <c r="M63" i="40"/>
  <c r="L65" i="40"/>
  <c r="M70" i="39"/>
  <c r="D10" i="69"/>
  <c r="N63" i="40"/>
  <c r="M65" i="40"/>
  <c r="O70" i="39"/>
  <c r="N70" i="39"/>
  <c r="D19" i="69"/>
  <c r="C10" i="69"/>
  <c r="C8" i="69"/>
  <c r="O63" i="40"/>
  <c r="O65" i="40"/>
  <c r="N65" i="40"/>
  <c r="C19" i="69"/>
  <c r="C24" i="69"/>
  <c r="D37" i="69"/>
  <c r="C37"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AE6" i="1"/>
  <c r="F69" i="86"/>
  <c r="AG6" i="1"/>
  <c r="M27" i="15"/>
  <c r="F41" i="67"/>
  <c r="M27" i="67"/>
  <c r="M27" i="82"/>
  <c r="F69" i="15"/>
  <c r="F69" i="67"/>
  <c r="D2" i="33"/>
  <c r="D2" i="36"/>
  <c r="E2" i="69"/>
  <c r="D2" i="37"/>
  <c r="D2" i="35"/>
  <c r="E2" i="68"/>
  <c r="D2" i="21"/>
  <c r="B2" i="36"/>
  <c r="B3" i="36"/>
  <c r="B2" i="35"/>
  <c r="B3" i="35"/>
  <c r="B2" i="37"/>
  <c r="B3" i="37"/>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59" i="9"/>
  <c r="M55" i="9"/>
  <c r="D19" i="53"/>
  <c r="B38" i="72"/>
  <c r="I14" i="74"/>
  <c r="B8" i="74"/>
  <c r="D127" i="9"/>
  <c r="D13" i="52"/>
  <c r="D12" i="52"/>
  <c r="D20" i="53"/>
  <c r="B40" i="72"/>
  <c r="C8" i="74"/>
  <c r="AD3" i="71"/>
  <c r="P21" i="43"/>
  <c r="P22" i="43"/>
  <c r="P23" i="43"/>
  <c r="B71" i="39"/>
  <c r="P24" i="43"/>
  <c r="B66" i="40"/>
  <c r="P25" i="43"/>
  <c r="E20" i="6"/>
  <c r="D7" i="12"/>
  <c r="K7" i="1"/>
  <c r="D20" i="6"/>
  <c r="M7" i="1"/>
  <c r="E19" i="6"/>
  <c r="C7" i="12"/>
  <c r="D3" i="21"/>
  <c r="F27" i="6"/>
  <c r="F31" i="6"/>
  <c r="B22" i="31"/>
  <c r="O7" i="1"/>
  <c r="D19" i="6"/>
  <c r="K6" i="1"/>
  <c r="F6" i="82"/>
  <c r="F43" i="82"/>
  <c r="M29" i="82"/>
  <c r="M29" i="15"/>
  <c r="M29" i="67"/>
  <c r="F43" i="67"/>
  <c r="F7" i="67"/>
  <c r="F7" i="82"/>
  <c r="P7" i="1"/>
  <c r="F71" i="67"/>
  <c r="F50" i="67"/>
  <c r="C49" i="67"/>
  <c r="C48" i="67"/>
  <c r="C6" i="67"/>
  <c r="C10" i="67"/>
  <c r="C5" i="67"/>
  <c r="C38" i="67"/>
  <c r="M7" i="67"/>
  <c r="J6" i="67"/>
  <c r="J5" i="67"/>
  <c r="E27" i="6"/>
  <c r="F71" i="15"/>
  <c r="F50" i="15"/>
  <c r="C49" i="15"/>
  <c r="J24" i="15"/>
  <c r="AP6" i="1"/>
  <c r="C36" i="69"/>
  <c r="M19" i="9"/>
  <c r="C118" i="9"/>
  <c r="C14" i="74"/>
  <c r="B2" i="74"/>
  <c r="M7" i="82"/>
  <c r="J6" i="82"/>
  <c r="J10" i="82"/>
  <c r="J5" i="82"/>
  <c r="F50" i="82"/>
  <c r="C49" i="82"/>
  <c r="C53" i="82"/>
  <c r="C48" i="82"/>
  <c r="C6" i="82"/>
  <c r="C10" i="82"/>
  <c r="C5" i="82"/>
  <c r="F71" i="82"/>
  <c r="K25" i="6"/>
  <c r="M25" i="6"/>
  <c r="I25" i="6"/>
  <c r="K20" i="6"/>
  <c r="K21" i="6"/>
  <c r="E31" i="6"/>
  <c r="K24" i="6"/>
  <c r="M24" i="6"/>
  <c r="I24" i="6"/>
  <c r="K26" i="6"/>
  <c r="M26" i="6"/>
  <c r="I26" i="6"/>
  <c r="K23" i="6"/>
  <c r="M23" i="6"/>
  <c r="I23" i="6"/>
  <c r="K22" i="6"/>
  <c r="M22" i="6"/>
  <c r="I22" i="6"/>
  <c r="K16" i="1"/>
  <c r="C34" i="69"/>
  <c r="M6" i="1"/>
  <c r="O6" i="1"/>
  <c r="P6" i="1"/>
  <c r="Q16" i="1"/>
  <c r="H16" i="1"/>
  <c r="D27" i="6"/>
  <c r="D31" i="6"/>
  <c r="I6" i="6"/>
  <c r="K19" i="6"/>
  <c r="C16" i="82"/>
  <c r="C16" i="67"/>
  <c r="P16" i="1"/>
  <c r="O16" i="1"/>
  <c r="C32" i="67"/>
  <c r="M21" i="6"/>
  <c r="I21" i="6"/>
  <c r="H21" i="6"/>
  <c r="R21" i="6"/>
  <c r="S8" i="1"/>
  <c r="J18" i="67"/>
  <c r="J24" i="67"/>
  <c r="J26" i="67"/>
  <c r="J29" i="67"/>
  <c r="C66" i="67"/>
  <c r="C60" i="67"/>
  <c r="J18" i="15"/>
  <c r="D7" i="74"/>
  <c r="D8" i="74"/>
  <c r="C66" i="82"/>
  <c r="C60" i="82"/>
  <c r="C38" i="82"/>
  <c r="C32" i="82"/>
  <c r="C33" i="82"/>
  <c r="J24" i="82"/>
  <c r="J18" i="82"/>
  <c r="J19" i="82"/>
  <c r="I5" i="6"/>
  <c r="S6" i="1"/>
  <c r="M19" i="6"/>
  <c r="K27" i="6"/>
  <c r="F27" i="69"/>
  <c r="F27" i="11"/>
  <c r="C35" i="69"/>
  <c r="C38" i="69"/>
  <c r="S22" i="6"/>
  <c r="H22" i="6"/>
  <c r="R22" i="6"/>
  <c r="S26" i="6"/>
  <c r="H26" i="6"/>
  <c r="R26" i="6"/>
  <c r="M20" i="6"/>
  <c r="I20" i="6"/>
  <c r="S7" i="1"/>
  <c r="M16" i="1"/>
  <c r="N16" i="1"/>
  <c r="H23" i="6"/>
  <c r="R23" i="6"/>
  <c r="S23" i="6"/>
  <c r="H24" i="6"/>
  <c r="R24" i="6"/>
  <c r="S24" i="6"/>
  <c r="S21" i="6"/>
  <c r="S25" i="6"/>
  <c r="H25" i="6"/>
  <c r="R25" i="6"/>
  <c r="F27" i="68"/>
  <c r="C17" i="82"/>
  <c r="M21" i="86"/>
  <c r="C14" i="67"/>
  <c r="C17" i="67"/>
  <c r="C11" i="39"/>
  <c r="C11" i="21"/>
  <c r="E8" i="70"/>
  <c r="F63" i="86"/>
  <c r="C62" i="86"/>
  <c r="J20" i="86"/>
  <c r="F34" i="11"/>
  <c r="AQ8" i="1"/>
  <c r="AR8" i="1"/>
  <c r="T8" i="1"/>
  <c r="C18" i="67"/>
  <c r="C15" i="67"/>
  <c r="C33" i="69"/>
  <c r="C42" i="69"/>
  <c r="F50" i="11"/>
  <c r="F50" i="69"/>
  <c r="F50" i="68"/>
  <c r="S20" i="6"/>
  <c r="H20" i="6"/>
  <c r="R20" i="6"/>
  <c r="C47" i="11"/>
  <c r="D45" i="11"/>
  <c r="C28" i="11"/>
  <c r="C27" i="11"/>
  <c r="C29" i="11"/>
  <c r="D27" i="11"/>
  <c r="C47" i="69"/>
  <c r="D45" i="69"/>
  <c r="C29" i="69"/>
  <c r="D27" i="69"/>
  <c r="C34" i="11"/>
  <c r="L16" i="1"/>
  <c r="E7" i="70"/>
  <c r="AQ7" i="1"/>
  <c r="T7" i="1"/>
  <c r="AR7" i="1"/>
  <c r="C47" i="68"/>
  <c r="D45" i="68"/>
  <c r="C29" i="68"/>
  <c r="D27" i="68"/>
  <c r="I19" i="6"/>
  <c r="M27" i="6"/>
  <c r="AR6" i="1"/>
  <c r="AQ6" i="1"/>
  <c r="S16" i="1"/>
  <c r="T6" i="1"/>
  <c r="E6" i="70"/>
  <c r="F34" i="68"/>
  <c r="C14" i="82"/>
  <c r="F11" i="21"/>
  <c r="H11" i="21"/>
  <c r="J11" i="21"/>
  <c r="F11" i="39"/>
  <c r="J11" i="39"/>
  <c r="H11" i="39"/>
  <c r="C37" i="11"/>
  <c r="C36" i="11"/>
  <c r="C37" i="68"/>
  <c r="C19" i="67"/>
  <c r="C20" i="67"/>
  <c r="C23" i="67"/>
  <c r="C31" i="11"/>
  <c r="C15" i="82"/>
  <c r="C18" i="82"/>
  <c r="T16" i="1"/>
  <c r="C39" i="69"/>
  <c r="C43" i="69"/>
  <c r="C41" i="69"/>
  <c r="E2" i="70"/>
  <c r="H19" i="6"/>
  <c r="I27" i="6"/>
  <c r="S19" i="6"/>
  <c r="S27" i="6"/>
  <c r="C35" i="11"/>
  <c r="C38" i="11"/>
  <c r="C34" i="68"/>
  <c r="C36" i="68"/>
  <c r="AC11" i="39"/>
  <c r="W11" i="39"/>
  <c r="W11" i="21"/>
  <c r="AC11" i="21"/>
  <c r="V48" i="21"/>
  <c r="I48" i="21"/>
  <c r="S11" i="21"/>
  <c r="AA11" i="21"/>
  <c r="R48" i="21"/>
  <c r="AB11" i="39"/>
  <c r="U11" i="39"/>
  <c r="S11" i="39"/>
  <c r="AA11" i="39"/>
  <c r="U11" i="21"/>
  <c r="AB11" i="21"/>
  <c r="T48" i="21"/>
  <c r="G48" i="21"/>
  <c r="C38" i="68"/>
  <c r="C35" i="68"/>
  <c r="C46" i="69"/>
  <c r="C45" i="69"/>
  <c r="C49" i="69"/>
  <c r="C51" i="69"/>
  <c r="C26" i="67"/>
  <c r="C29" i="67"/>
  <c r="C19" i="82"/>
  <c r="C20" i="82"/>
  <c r="C26" i="82"/>
  <c r="C33" i="11"/>
  <c r="C42" i="11"/>
  <c r="H27" i="6"/>
  <c r="R19" i="6"/>
  <c r="G53" i="21"/>
  <c r="H53" i="21"/>
  <c r="G52" i="21"/>
  <c r="H52" i="21"/>
  <c r="E48" i="21"/>
  <c r="I53" i="21"/>
  <c r="J53" i="21"/>
  <c r="R49" i="21"/>
  <c r="I52" i="21"/>
  <c r="J52" i="21"/>
  <c r="C57" i="86"/>
  <c r="C33" i="68"/>
  <c r="C42" i="68"/>
  <c r="J59" i="67"/>
  <c r="J60" i="67"/>
  <c r="C13" i="67"/>
  <c r="C36" i="67"/>
  <c r="C33" i="67"/>
  <c r="Q49" i="67"/>
  <c r="J19" i="67"/>
  <c r="J14" i="67"/>
  <c r="C57" i="67"/>
  <c r="C23" i="82"/>
  <c r="C29" i="82"/>
  <c r="C57" i="82"/>
  <c r="C39" i="11"/>
  <c r="C43" i="11"/>
  <c r="C41" i="11"/>
  <c r="R27" i="6"/>
  <c r="R6" i="1"/>
  <c r="F35" i="82"/>
  <c r="M21" i="67"/>
  <c r="M21" i="15"/>
  <c r="F35" i="67"/>
  <c r="M21" i="82"/>
  <c r="C48" i="21"/>
  <c r="C49" i="21"/>
  <c r="E52" i="21"/>
  <c r="F52" i="21"/>
  <c r="E53" i="21"/>
  <c r="F53" i="21"/>
  <c r="J14" i="86"/>
  <c r="J22" i="86"/>
  <c r="J19" i="86"/>
  <c r="J17" i="86"/>
  <c r="Q49" i="86"/>
  <c r="J13" i="86"/>
  <c r="J23" i="86"/>
  <c r="C64" i="86"/>
  <c r="C61" i="86"/>
  <c r="C59" i="86"/>
  <c r="C39" i="68"/>
  <c r="C43" i="68"/>
  <c r="C41" i="68"/>
  <c r="C34" i="67"/>
  <c r="C31" i="67"/>
  <c r="F63" i="67"/>
  <c r="C62" i="67"/>
  <c r="J20" i="67"/>
  <c r="J17" i="67"/>
  <c r="F63" i="15"/>
  <c r="C62" i="15"/>
  <c r="J20" i="15"/>
  <c r="C61" i="67"/>
  <c r="C64" i="67"/>
  <c r="Q70" i="67"/>
  <c r="C37" i="67"/>
  <c r="C56" i="67"/>
  <c r="C65" i="67"/>
  <c r="C75" i="67"/>
  <c r="J13" i="67"/>
  <c r="J23" i="67"/>
  <c r="J22" i="67"/>
  <c r="Q48" i="67"/>
  <c r="C46" i="11"/>
  <c r="C45" i="11"/>
  <c r="C49" i="11"/>
  <c r="C51" i="11"/>
  <c r="C52" i="11"/>
  <c r="B2" i="11"/>
  <c r="B3" i="11"/>
  <c r="Q49" i="82"/>
  <c r="C13" i="82"/>
  <c r="Q70" i="82"/>
  <c r="J14" i="82"/>
  <c r="J13" i="82"/>
  <c r="J23" i="82"/>
  <c r="C36" i="82"/>
  <c r="J59" i="15"/>
  <c r="C57" i="15"/>
  <c r="Q49" i="15"/>
  <c r="J19" i="15"/>
  <c r="J14" i="15"/>
  <c r="C64" i="82"/>
  <c r="C61" i="82"/>
  <c r="F63" i="82"/>
  <c r="C62" i="82"/>
  <c r="C34" i="82"/>
  <c r="C31" i="82"/>
  <c r="J20" i="82"/>
  <c r="J17" i="82"/>
  <c r="R16" i="1"/>
  <c r="C75" i="86"/>
  <c r="C59" i="67"/>
  <c r="C58" i="67"/>
  <c r="C67" i="67"/>
  <c r="C68" i="67"/>
  <c r="B3" i="21"/>
  <c r="C6" i="12"/>
  <c r="B2" i="21"/>
  <c r="C8" i="12"/>
  <c r="Q70" i="86"/>
  <c r="C56" i="86"/>
  <c r="C65" i="86"/>
  <c r="C58" i="86"/>
  <c r="C67" i="86"/>
  <c r="C68" i="86"/>
  <c r="C46" i="68"/>
  <c r="C45" i="68"/>
  <c r="C49" i="68"/>
  <c r="C51" i="68"/>
  <c r="J16" i="86"/>
  <c r="J25" i="86"/>
  <c r="C30" i="67"/>
  <c r="C39" i="67"/>
  <c r="Q69" i="67"/>
  <c r="Q68" i="67"/>
  <c r="J17" i="15"/>
  <c r="J16" i="67"/>
  <c r="J25" i="67"/>
  <c r="L57" i="67"/>
  <c r="L60" i="67"/>
  <c r="L46" i="67"/>
  <c r="J22" i="82"/>
  <c r="J16" i="82"/>
  <c r="J25" i="82"/>
  <c r="J26" i="82"/>
  <c r="J29" i="82"/>
  <c r="C75" i="82"/>
  <c r="C37" i="82"/>
  <c r="C30" i="82"/>
  <c r="C39" i="82"/>
  <c r="C40" i="82"/>
  <c r="C56" i="82"/>
  <c r="C65" i="82"/>
  <c r="C59" i="82"/>
  <c r="J22" i="15"/>
  <c r="J13" i="15"/>
  <c r="J23" i="15"/>
  <c r="C61" i="15"/>
  <c r="C64" i="15"/>
  <c r="C75" i="15"/>
  <c r="C56" i="15"/>
  <c r="Q70" i="15"/>
  <c r="Q48" i="15"/>
  <c r="C56" i="11"/>
  <c r="C57" i="11"/>
  <c r="L51" i="67"/>
  <c r="Q69" i="86"/>
  <c r="Q68" i="86"/>
  <c r="C80" i="86"/>
  <c r="C79" i="86"/>
  <c r="C71" i="86"/>
  <c r="C46" i="86"/>
  <c r="Q65" i="86"/>
  <c r="Q75" i="86"/>
  <c r="Q56" i="86"/>
  <c r="Q62" i="86"/>
  <c r="Q47" i="86"/>
  <c r="Q53" i="86"/>
  <c r="C43" i="86"/>
  <c r="C83" i="86"/>
  <c r="C82" i="86"/>
  <c r="C80" i="67"/>
  <c r="C79" i="67"/>
  <c r="C40" i="67"/>
  <c r="D2" i="67"/>
  <c r="Q67" i="67"/>
  <c r="C58" i="82"/>
  <c r="C67" i="82"/>
  <c r="C68" i="82"/>
  <c r="C71" i="82"/>
  <c r="Q66" i="67"/>
  <c r="Q57" i="67"/>
  <c r="C71" i="67"/>
  <c r="C80" i="82"/>
  <c r="C79" i="82"/>
  <c r="Q69" i="82"/>
  <c r="Q68" i="82"/>
  <c r="J16" i="15"/>
  <c r="J25" i="15"/>
  <c r="C48" i="15"/>
  <c r="C65" i="15"/>
  <c r="Q47" i="82"/>
  <c r="Q53" i="82"/>
  <c r="Q65" i="82"/>
  <c r="Q75" i="82"/>
  <c r="C43" i="82"/>
  <c r="B2" i="82"/>
  <c r="Q56" i="82"/>
  <c r="Q62" i="82"/>
  <c r="C83" i="82"/>
  <c r="C82" i="82"/>
  <c r="L51" i="86"/>
  <c r="AO8" i="1"/>
  <c r="L51" i="82"/>
  <c r="Q67" i="82"/>
  <c r="Q67" i="86"/>
  <c r="B8" i="70"/>
  <c r="B3" i="86"/>
  <c r="E6" i="12"/>
  <c r="Q56" i="67"/>
  <c r="Q62" i="67"/>
  <c r="C45" i="67"/>
  <c r="C46" i="67"/>
  <c r="C83" i="67"/>
  <c r="C82" i="67"/>
  <c r="Q47" i="67"/>
  <c r="Q53" i="67"/>
  <c r="C43" i="67"/>
  <c r="Q65" i="67"/>
  <c r="Q75" i="67"/>
  <c r="Q69" i="15"/>
  <c r="Q68" i="15"/>
  <c r="C46" i="82"/>
  <c r="C80" i="15"/>
  <c r="C79" i="15"/>
  <c r="L57" i="15"/>
  <c r="L60" i="15"/>
  <c r="B3" i="67"/>
  <c r="B2" i="67"/>
  <c r="C66" i="15"/>
  <c r="C60" i="15"/>
  <c r="C59" i="15"/>
  <c r="C43" i="15"/>
  <c r="Q56" i="15"/>
  <c r="Q47" i="15"/>
  <c r="Q53" i="15"/>
  <c r="Q65" i="15"/>
  <c r="C83" i="15"/>
  <c r="C82" i="15"/>
  <c r="B3" i="82"/>
  <c r="L51" i="15"/>
  <c r="F20" i="31"/>
  <c r="D2" i="34"/>
  <c r="Q67" i="15"/>
  <c r="B2" i="34"/>
  <c r="Q66" i="15"/>
  <c r="Q75" i="15"/>
  <c r="Q57" i="15"/>
  <c r="Q62" i="15"/>
  <c r="C58" i="15"/>
  <c r="C67" i="15"/>
  <c r="C68" i="15"/>
  <c r="C71" i="15"/>
  <c r="AO6" i="1"/>
  <c r="AO7" i="1"/>
  <c r="B6" i="70"/>
  <c r="B3" i="15"/>
  <c r="D6" i="12"/>
  <c r="B3" i="34"/>
  <c r="B7" i="70"/>
  <c r="B2" i="70"/>
  <c r="C46" i="15"/>
  <c r="B3" i="70"/>
  <c r="D102" i="9"/>
  <c r="D21" i="9"/>
  <c r="B3" i="12"/>
  <c r="D20" i="9"/>
  <c r="D103" i="9"/>
  <c r="G16" i="1"/>
  <c r="J10" i="39"/>
  <c r="W10" i="39"/>
  <c r="F10" i="40"/>
  <c r="S10" i="40"/>
  <c r="AA10" i="40"/>
  <c r="H10" i="39"/>
  <c r="U10" i="39"/>
  <c r="J10" i="40"/>
  <c r="W10" i="40"/>
  <c r="AC10" i="40"/>
  <c r="H10" i="40"/>
  <c r="AB10" i="40"/>
  <c r="U10" i="40"/>
  <c r="F10" i="39"/>
  <c r="S10" i="39"/>
  <c r="AC10" i="39"/>
  <c r="V47" i="39"/>
  <c r="I47" i="39"/>
  <c r="I51" i="39"/>
  <c r="J51" i="39"/>
  <c r="AB10" i="39"/>
  <c r="T47" i="39"/>
  <c r="G47" i="39"/>
  <c r="G51" i="39"/>
  <c r="H51" i="39"/>
  <c r="G52" i="39"/>
  <c r="H52" i="39"/>
  <c r="AA10" i="39"/>
  <c r="R47" i="39"/>
  <c r="E47" i="39"/>
  <c r="I52" i="39"/>
  <c r="J52" i="39"/>
  <c r="E52" i="39"/>
  <c r="F52" i="39"/>
  <c r="E51" i="39"/>
  <c r="F51" i="39"/>
  <c r="R48" i="39"/>
  <c r="C47" i="39"/>
  <c r="C48" i="39"/>
  <c r="B56" i="39"/>
  <c r="F56" i="39"/>
  <c r="B57" i="39"/>
  <c r="F57" i="39"/>
  <c r="B58" i="39"/>
  <c r="F58" i="39"/>
  <c r="B59" i="39"/>
  <c r="F59" i="39"/>
  <c r="B60" i="39"/>
  <c r="F60" i="39"/>
  <c r="B61" i="39"/>
  <c r="F61" i="39"/>
  <c r="B62" i="39"/>
  <c r="F62" i="39"/>
  <c r="B63" i="39"/>
  <c r="F63" i="39"/>
  <c r="B64" i="39"/>
  <c r="F64" i="39"/>
  <c r="B65" i="39"/>
  <c r="F65" i="39"/>
  <c r="F66" i="39"/>
  <c r="B2" i="39"/>
  <c r="C102" i="9"/>
  <c r="C21" i="9"/>
  <c r="C6" i="68"/>
  <c r="C7" i="68"/>
  <c r="C5" i="68"/>
  <c r="C20" i="68"/>
  <c r="C23" i="68"/>
  <c r="C25" i="68"/>
  <c r="C22" i="68"/>
  <c r="C28" i="68"/>
  <c r="C27" i="68"/>
  <c r="C31" i="68"/>
  <c r="C52" i="68"/>
  <c r="B2" i="68"/>
  <c r="B3" i="68"/>
  <c r="B3" i="39"/>
  <c r="C20" i="9"/>
  <c r="C103" i="9"/>
  <c r="C57" i="68"/>
  <c r="C56" i="68"/>
  <c r="D22" i="9"/>
  <c r="G22" i="9"/>
  <c r="G21" i="9"/>
  <c r="C6" i="69"/>
  <c r="C7" i="69"/>
  <c r="C5" i="69"/>
  <c r="C20" i="69"/>
  <c r="C23" i="69"/>
  <c r="C25" i="69"/>
  <c r="C22" i="69"/>
  <c r="C28" i="69"/>
  <c r="C27" i="69"/>
  <c r="C31" i="69"/>
  <c r="C52" i="69"/>
  <c r="B2" i="69"/>
  <c r="B3" i="69"/>
  <c r="C57" i="69"/>
  <c r="C56" i="69"/>
  <c r="D34" i="9"/>
  <c r="D35" i="9"/>
  <c r="C35" i="9"/>
  <c r="C34" i="9"/>
  <c r="D118" i="9"/>
  <c r="D119" i="9"/>
  <c r="D5" i="52"/>
  <c r="B49" i="72"/>
  <c r="H4" i="52"/>
  <c r="H119" i="9"/>
  <c r="H5" i="52"/>
  <c r="C104" i="9"/>
  <c r="D4" i="52"/>
  <c r="B47" i="72"/>
  <c r="E14" i="74"/>
  <c r="F14" i="74"/>
  <c r="G20" i="9"/>
  <c r="R24" i="31"/>
  <c r="S24" i="31"/>
  <c r="R25" i="31"/>
  <c r="S25" i="31"/>
  <c r="R26" i="31"/>
  <c r="S26" i="31"/>
  <c r="R27" i="31"/>
  <c r="S27" i="31"/>
  <c r="R28" i="31"/>
  <c r="S28" i="31"/>
  <c r="R29" i="31"/>
  <c r="S29" i="31"/>
  <c r="R30" i="31"/>
  <c r="S30" i="31"/>
  <c r="R31" i="31"/>
  <c r="S31" i="31"/>
  <c r="R32" i="31"/>
  <c r="S32" i="31"/>
  <c r="R33" i="31"/>
  <c r="S33" i="31"/>
  <c r="S22" i="31"/>
  <c r="R22" i="31"/>
  <c r="B21" i="31"/>
  <c r="B20" i="31"/>
  <c r="F118" i="9"/>
  <c r="F119" i="9"/>
  <c r="F5" i="52"/>
  <c r="B53" i="72"/>
  <c r="F4" i="52"/>
  <c r="B51" i="72"/>
  <c r="I118" i="9"/>
  <c r="I4" i="52"/>
  <c r="C105" i="9"/>
  <c r="H102" i="9"/>
  <c r="D7" i="53"/>
  <c r="B21" i="72"/>
  <c r="H101" i="9"/>
  <c r="M48" i="9"/>
  <c r="D45" i="9"/>
  <c r="D53" i="9"/>
  <c r="D52" i="9"/>
  <c r="C64" i="9"/>
  <c r="C63" i="9"/>
  <c r="C67" i="9"/>
  <c r="C68" i="9"/>
  <c r="D54" i="9"/>
  <c r="H107" i="9"/>
  <c r="H108" i="9"/>
  <c r="D15" i="53"/>
  <c r="B31" i="72"/>
  <c r="G118" i="9"/>
  <c r="G4" i="52"/>
  <c r="B52" i="72"/>
  <c r="E118" i="9"/>
  <c r="E4" i="52"/>
  <c r="B48" i="72"/>
  <c r="D5" i="53"/>
  <c r="B20" i="72"/>
  <c r="D6" i="53"/>
  <c r="B22" i="72"/>
  <c r="B5" i="74"/>
  <c r="C5" i="74"/>
  <c r="D5" i="74"/>
  <c r="C85" i="9"/>
  <c r="C93" i="9"/>
  <c r="C86" i="9"/>
  <c r="C95" i="9"/>
  <c r="C96" i="9"/>
  <c r="E96" i="9"/>
  <c r="E97" i="9"/>
  <c r="D13" i="53"/>
  <c r="B30" i="72"/>
  <c r="D14" i="53"/>
  <c r="B32" i="72"/>
  <c r="D122" i="9"/>
  <c r="D8" i="52"/>
  <c r="D123" i="9"/>
  <c r="D9" i="52"/>
  <c r="M49" i="9"/>
  <c r="L63" i="9"/>
  <c r="M63" i="9"/>
  <c r="L64" i="9"/>
  <c r="M64" i="9"/>
  <c r="L65" i="9"/>
  <c r="M65" i="9"/>
  <c r="L66" i="9"/>
  <c r="M66" i="9"/>
  <c r="L67" i="9"/>
  <c r="M67" i="9"/>
  <c r="L68" i="9"/>
  <c r="M68" i="9"/>
  <c r="M69" i="9"/>
  <c r="N69" i="9"/>
  <c r="C72" i="9"/>
  <c r="C78" i="9"/>
  <c r="C73" i="9"/>
  <c r="C79" i="9"/>
  <c r="C80" i="9"/>
  <c r="E80" i="9"/>
  <c r="E81" i="9"/>
  <c r="G14" i="74"/>
  <c r="B6" i="74"/>
  <c r="D6" i="74"/>
  <c r="C6" i="74"/>
  <c r="D55" i="9"/>
  <c r="M53" i="9"/>
  <c r="C97" i="9"/>
  <c r="D58" i="9"/>
  <c r="D56" i="9"/>
  <c r="M54" i="9"/>
  <c r="N57" i="9"/>
  <c r="N58" i="9"/>
  <c r="P57" i="9"/>
  <c r="C81"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<sst xmlns="http://schemas.openxmlformats.org/spreadsheetml/2006/main" count="9655" uniqueCount="3551">
  <si>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</si>
  <si>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</si>
  <si>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</si>
  <si>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</si>
  <si>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</si>
  <si>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</si>
  <si>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</si>
  <si>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</si>
  <si>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</si>
  <si>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</si>
  <si>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</si>
  <si>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</si>
  <si>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</si>
  <si>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</si>
  <si>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</si>
  <si>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</si>
  <si>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</si>
  <si>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</si>
  <si>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</si>
  <si>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</si>
  <si>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</si>
  <si>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</si>
  <si>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</si>
  <si>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</si>
  <si>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</si>
  <si>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</si>
  <si>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</si>
  <si>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</si>
  <si>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</si>
  <si>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</si>
  <si>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</si>
  <si>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</si>
  <si>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</si>
  <si>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</si>
  <si>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</si>
  <si>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</si>
  <si>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</si>
  <si>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</si>
  <si>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</si>
  <si>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</si>
  <si>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</si>
  <si>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</si>
  <si>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</si>
  <si>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</si>
  <si>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</si>
  <si>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</si>
  <si>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</si>
  <si>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</si>
  <si>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</si>
  <si>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</si>
  <si>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</si>
  <si>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</si>
  <si>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</si>
  <si>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</si>
  <si>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</si>
  <si>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</si>
  <si>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</si>
  <si>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</si>
  <si>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</si>
  <si>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</si>
  <si>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</si>
  <si>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</si>
  <si>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</si>
  <si>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</si>
  <si>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</si>
  <si>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</si>
  <si>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</si>
  <si>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</si>
  <si>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</si>
  <si>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</si>
  <si>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</si>
  <si>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</si>
  <si>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</si>
  <si>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</si>
  <si>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</si>
  <si>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</si>
  <si>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</si>
  <si>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</si>
  <si>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</si>
  <si>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</si>
  <si>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</si>
  <si>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</si>
  <si>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</si>
  <si>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</si>
  <si>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</si>
  <si>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</si>
  <si>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</si>
  <si>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</si>
  <si>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</si>
  <si>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</si>
  <si>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</si>
  <si>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</si>
  <si>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</si>
  <si>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</si>
  <si>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</si>
  <si>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</si>
  <si>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</si>
  <si>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</si>
  <si>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</si>
  <si>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</si>
  <si>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</si>
  <si>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</si>
  <si>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</si>
  <si>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</si>
  <si>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</si>
  <si>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</si>
  <si>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</si>
  <si>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</si>
  <si>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</si>
  <si>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</si>
  <si>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</si>
  <si>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</si>
  <si>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</si>
  <si>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</si>
  <si>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</si>
  <si>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</si>
  <si>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</si>
  <si>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</si>
  <si>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</si>
  <si>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</si>
  <si>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</si>
  <si>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</si>
  <si>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</si>
  <si>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</si>
  <si>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</si>
  <si>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</si>
  <si>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</si>
  <si>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</si>
  <si>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</si>
  <si>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</si>
  <si>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</si>
  <si>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</si>
  <si>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</si>
  <si>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</si>
  <si>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</si>
  <si>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</si>
  <si>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</si>
  <si>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</si>
  <si>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</si>
  <si>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</si>
  <si>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</si>
  <si>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</si>
  <si>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</si>
  <si>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</si>
  <si>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</si>
  <si>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</si>
  <si>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</si>
  <si>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</si>
  <si>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</si>
  <si>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</si>
  <si>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</si>
  <si>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</si>
  <si>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</si>
  <si>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</si>
  <si>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</si>
  <si>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</si>
  <si>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</si>
  <si>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</si>
  <si>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</si>
  <si>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</si>
  <si>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</si>
  <si>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</si>
  <si>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</si>
  <si>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</si>
  <si>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</si>
  <si>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</si>
  <si>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</si>
  <si>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</si>
  <si>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</si>
  <si>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</si>
  <si>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</si>
  <si>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</si>
  <si>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</si>
  <si>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</si>
  <si>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</si>
  <si>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</si>
  <si>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</si>
  <si>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</si>
  <si>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</si>
  <si>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</si>
  <si>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</si>
  <si>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</si>
  <si>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</si>
  <si>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</si>
  <si>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</si>
  <si>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</si>
  <si>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</si>
  <si>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</si>
  <si>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</si>
  <si>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</si>
  <si>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</si>
  <si>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</si>
  <si>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</si>
  <si>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</si>
  <si>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</si>
  <si>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</si>
  <si>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</si>
  <si>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</si>
  <si>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</si>
  <si>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</si>
  <si>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</si>
  <si>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</si>
  <si>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</si>
  <si>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</si>
  <si>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</si>
  <si>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</si>
  <si>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</si>
  <si>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</si>
  <si>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</si>
  <si>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</si>
  <si>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</si>
  <si>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</si>
  <si>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</si>
  <si>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</si>
  <si>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</si>
  <si>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</si>
  <si>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</si>
  <si>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</si>
  <si>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</si>
  <si>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</si>
  <si>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</si>
  <si>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</si>
  <si>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</si>
  <si>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</si>
  <si>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</si>
  <si>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</si>
  <si>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</si>
  <si>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</si>
  <si>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</si>
  <si>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</si>
  <si>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</si>
  <si>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</si>
  <si>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</si>
  <si>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</si>
  <si>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</si>
  <si>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</si>
  <si>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</si>
  <si>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</si>
  <si>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</si>
  <si>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</si>
  <si>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</si>
  <si>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</si>
  <si>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</si>
  <si>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</si>
  <si>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</si>
  <si>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</si>
  <si>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</si>
  <si>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</si>
  <si>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</si>
  <si>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</si>
  <si>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</si>
  <si>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</si>
  <si>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</si>
  <si>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</si>
  <si>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</si>
  <si>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</si>
  <si>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</si>
  <si>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</si>
  <si>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</si>
  <si>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</si>
  <si>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</si>
  <si>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</si>
  <si>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</si>
  <si>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</si>
  <si>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</si>
  <si>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</si>
  <si>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</si>
  <si>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</si>
  <si>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</si>
  <si>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</si>
  <si>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</si>
  <si>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</si>
  <si>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</si>
  <si>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</si>
  <si>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</si>
  <si>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</si>
  <si>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</si>
  <si>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</si>
  <si>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</si>
  <si>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</si>
  <si>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</si>
  <si>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</si>
  <si>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</si>
  <si>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</si>
  <si>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</si>
  <si>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</si>
  <si>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</si>
  <si>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</si>
  <si>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</si>
  <si>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</si>
  <si>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</si>
  <si>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</si>
  <si>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</si>
  <si>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</si>
  <si>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</si>
  <si>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</si>
  <si>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</si>
  <si>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</si>
  <si>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</si>
  <si>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</si>
  <si>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</si>
  <si>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</si>
  <si>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</si>
  <si>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</si>
  <si>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</si>
  <si>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</si>
  <si>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</si>
  <si>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</si>
  <si>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</si>
  <si>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</si>
  <si>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</si>
  <si>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</si>
  <si>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</si>
  <si>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</si>
  <si>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</si>
  <si>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</si>
  <si>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</si>
  <si>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</si>
  <si>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</si>
  <si>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</si>
  <si>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</si>
  <si>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</si>
  <si>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</si>
  <si>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</si>
  <si>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</si>
  <si>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</si>
  <si>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</si>
  <si>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</si>
  <si>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</si>
  <si>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</si>
  <si>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</si>
  <si>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</si>
  <si>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</si>
  <si>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</si>
  <si>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</si>
  <si>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</si>
  <si>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</si>
  <si>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</si>
  <si>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</si>
  <si>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</si>
  <si>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</si>
  <si>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</si>
  <si>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</si>
  <si>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</si>
  <si>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</si>
  <si>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</si>
  <si>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</si>
  <si>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</si>
  <si>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</si>
  <si>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</si>
  <si>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</si>
  <si>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</si>
  <si>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</si>
  <si>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</si>
  <si>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</si>
  <si>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</si>
  <si>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</si>
  <si>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</si>
  <si>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</si>
  <si>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</si>
  <si>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</si>
  <si>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</si>
  <si>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</si>
  <si>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</si>
  <si>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</si>
  <si>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</si>
  <si>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</si>
  <si>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</si>
  <si>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</si>
  <si>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</si>
  <si>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</si>
  <si>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</si>
  <si>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</si>
  <si>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</si>
  <si>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</si>
  <si>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</si>
  <si>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</si>
  <si>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</si>
  <si>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</si>
  <si>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</si>
  <si>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</si>
  <si>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</si>
  <si>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</si>
  <si>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</si>
  <si>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</si>
  <si>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</si>
  <si>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</si>
  <si>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</si>
  <si>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</si>
  <si>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</si>
  <si>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</si>
  <si>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</si>
  <si>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</si>
  <si>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</si>
  <si>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</si>
  <si>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</si>
  <si>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</si>
  <si>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</si>
  <si>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</si>
  <si>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</si>
  <si>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</si>
  <si>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</si>
  <si>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</si>
  <si>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</si>
  <si>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</si>
  <si>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</si>
  <si>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</si>
  <si>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</si>
  <si>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</si>
  <si>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</si>
  <si>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</si>
  <si>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</si>
  <si>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</si>
  <si>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</si>
  <si>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</si>
  <si>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</si>
  <si>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</si>
  <si>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</si>
  <si>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</si>
  <si>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</si>
  <si>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</si>
  <si>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</si>
  <si>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</si>
  <si>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</si>
  <si>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</si>
  <si>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</si>
  <si>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</si>
  <si>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</si>
  <si>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</si>
  <si>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</si>
  <si>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</si>
  <si>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</si>
  <si>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</si>
  <si>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</si>
  <si>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</si>
  <si>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</si>
  <si>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</si>
  <si>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</si>
  <si>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</si>
  <si>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</si>
  <si>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</si>
  <si>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</si>
  <si>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</si>
  <si>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</si>
  <si>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</si>
  <si>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</si>
  <si>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</si>
  <si>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</si>
  <si>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</si>
  <si>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</si>
  <si>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</si>
  <si>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</si>
  <si>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</si>
  <si>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</si>
  <si>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</si>
  <si>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</si>
  <si>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</si>
  <si>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</si>
  <si>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</si>
  <si>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</si>
  <si>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</si>
  <si>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</si>
  <si>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</si>
  <si>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</si>
  <si>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</si>
  <si>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</si>
  <si>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</si>
  <si>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</si>
  <si>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</si>
  <si>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</si>
  <si>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</si>
  <si>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</si>
  <si>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</si>
  <si>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</si>
  <si>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</si>
  <si>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</si>
  <si>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</si>
  <si>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</si>
  <si>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</si>
  <si>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</si>
  <si>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</si>
  <si>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</si>
  <si>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</si>
  <si>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</si>
  <si>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</si>
  <si>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</si>
  <si>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</si>
  <si>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</si>
  <si>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</si>
  <si>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</si>
  <si>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</si>
  <si>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</si>
  <si>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</si>
  <si>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</si>
  <si>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</si>
  <si>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</si>
  <si>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</si>
  <si>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</si>
  <si>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</si>
  <si>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</si>
  <si>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</si>
  <si>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</si>
  <si>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</si>
  <si>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</si>
  <si>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</si>
  <si>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</si>
  <si>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</si>
  <si>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</si>
  <si>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</si>
  <si>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</si>
  <si>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</si>
  <si>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</si>
  <si>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</si>
  <si>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</si>
  <si>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</si>
  <si>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</si>
  <si>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</si>
  <si>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</si>
  <si>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</si>
  <si>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</si>
  <si>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</si>
  <si>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</si>
  <si>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</si>
  <si>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</si>
  <si>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</si>
  <si>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</si>
  <si>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</si>
  <si>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</si>
  <si>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</si>
  <si>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</si>
  <si>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</si>
  <si>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</si>
  <si>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</si>
  <si>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</si>
  <si>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</si>
  <si>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</si>
  <si>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</si>
  <si>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</si>
  <si>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</si>
  <si>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</si>
  <si>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</si>
  <si>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</si>
  <si>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</si>
  <si>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</si>
  <si>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</si>
  <si>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</si>
  <si>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</si>
  <si>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</si>
  <si>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</si>
  <si>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</si>
  <si>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</si>
  <si>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</si>
  <si>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</si>
  <si>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</si>
  <si>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</si>
  <si>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</si>
  <si>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</si>
  <si>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</si>
  <si>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</si>
  <si>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</si>
  <si>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</si>
  <si>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</si>
  <si>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</si>
  <si>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</si>
  <si>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</si>
  <si>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</si>
  <si>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</si>
  <si>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</si>
  <si>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</si>
  <si>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</si>
  <si>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</si>
  <si>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</si>
  <si>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</si>
  <si>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</si>
  <si>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</si>
  <si>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</si>
  <si>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</si>
  <si>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</si>
  <si>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</si>
  <si>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</si>
  <si>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</si>
  <si>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</si>
  <si>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</si>
  <si>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</si>
  <si>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</si>
  <si>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</si>
  <si>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</si>
  <si>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</si>
  <si>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</si>
  <si>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</si>
  <si>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</si>
  <si>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</si>
  <si>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</si>
  <si>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</si>
  <si>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</si>
  <si>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</si>
  <si>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</si>
  <si>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</si>
  <si>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</si>
  <si>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</si>
  <si>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</si>
  <si>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</si>
  <si>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</si>
  <si>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</si>
  <si>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</si>
  <si>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</si>
  <si>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</si>
  <si>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</si>
  <si>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</si>
  <si>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</si>
  <si>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</si>
  <si>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</si>
  <si>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</si>
  <si>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</si>
  <si>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</si>
  <si>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</si>
  <si>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</si>
  <si>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</si>
  <si>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</si>
  <si>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</si>
  <si>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</si>
  <si>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</si>
  <si>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</si>
  <si>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</si>
  <si>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</si>
  <si>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</si>
  <si>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</si>
  <si>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</si>
  <si>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</si>
  <si>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</si>
  <si>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</si>
  <si>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</si>
  <si>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</si>
  <si>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</si>
  <si>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</si>
  <si>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</si>
  <si>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</si>
  <si>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</si>
  <si>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</si>
  <si>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</si>
  <si>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</si>
  <si>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</si>
  <si>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</si>
  <si>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</si>
  <si>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</si>
  <si>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</si>
  <si>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</si>
  <si>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</si>
  <si>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</si>
  <si>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</si>
  <si>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</si>
  <si>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</si>
  <si>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</si>
  <si>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</si>
  <si>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</si>
  <si>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</si>
  <si>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</si>
  <si>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</si>
  <si>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</si>
  <si>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</si>
  <si>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</si>
  <si>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</si>
  <si>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</si>
  <si>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</si>
  <si>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</si>
  <si>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</si>
  <si>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</si>
  <si>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</si>
  <si>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</si>
  <si>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</si>
  <si>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</si>
  <si>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</si>
  <si>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</si>
  <si>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</si>
  <si>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</si>
  <si>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</si>
  <si>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</si>
  <si>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</si>
  <si>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</si>
  <si>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</si>
  <si>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</si>
  <si>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</si>
  <si>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</si>
  <si>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</si>
  <si>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</si>
  <si>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</si>
  <si>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</si>
  <si>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</si>
  <si>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</si>
  <si>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</si>
  <si>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</si>
  <si>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</si>
  <si>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</si>
  <si>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</si>
  <si>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</si>
  <si>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</si>
  <si>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</si>
  <si>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</si>
  <si>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</si>
  <si>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</si>
  <si>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</si>
  <si>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</si>
  <si>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</si>
  <si>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</si>
  <si>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</si>
  <si>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</si>
  <si>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</si>
  <si>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</si>
  <si>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</si>
  <si>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</si>
  <si>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</si>
  <si>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</si>
  <si>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</si>
  <si>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</si>
  <si>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</si>
  <si>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</si>
  <si>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</si>
  <si>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</si>
  <si>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</si>
  <si>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</si>
  <si>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</si>
  <si>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</si>
  <si>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</si>
  <si>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</si>
  <si>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</si>
  <si>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</si>
  <si>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</si>
  <si>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</si>
  <si>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</si>
  <si>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</si>
  <si>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</si>
  <si>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</si>
  <si>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</si>
  <si>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</si>
  <si>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</si>
  <si>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</si>
  <si>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</si>
  <si>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</si>
  <si>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</si>
  <si>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</si>
  <si>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</si>
  <si>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</si>
  <si>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</si>
  <si>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</si>
  <si>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</si>
  <si>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</si>
  <si>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</si>
  <si>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</si>
  <si>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</si>
  <si>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</si>
  <si>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</si>
  <si>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</si>
  <si>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</si>
  <si>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</si>
  <si>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</si>
  <si>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</si>
  <si>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</si>
  <si>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</si>
  <si>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</si>
  <si>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</si>
  <si>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</si>
  <si>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</si>
  <si>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</si>
  <si>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</si>
  <si>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</si>
  <si>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</si>
  <si>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</si>
  <si>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</si>
  <si>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</si>
  <si>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</si>
  <si>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</si>
  <si>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</si>
  <si>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</si>
  <si>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</si>
  <si>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</si>
  <si>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</si>
  <si>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</si>
  <si>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</si>
  <si>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</si>
  <si>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</si>
  <si>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</si>
  <si>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</si>
  <si>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</si>
  <si>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</si>
  <si>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</si>
  <si>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</si>
  <si>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</si>
  <si>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</si>
  <si>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</si>
  <si>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</si>
  <si>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</si>
  <si>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</si>
  <si>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</si>
  <si>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</si>
  <si>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</si>
  <si>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</si>
  <si>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</si>
  <si>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</si>
  <si>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</si>
  <si>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</si>
  <si>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</si>
  <si>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</si>
  <si>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</si>
  <si>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</si>
  <si>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</si>
  <si>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</si>
  <si>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</si>
  <si>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</si>
  <si>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</si>
  <si>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</si>
  <si>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</si>
  <si>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</si>
  <si>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</si>
  <si>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</si>
  <si>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</si>
  <si>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</si>
  <si>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</si>
  <si>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</si>
  <si>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</si>
  <si>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</si>
  <si>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</si>
  <si>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</si>
  <si>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</si>
  <si>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</si>
  <si>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</si>
  <si>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</si>
  <si>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</si>
  <si>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</si>
  <si>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</si>
  <si>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</si>
  <si>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</si>
  <si>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</si>
  <si>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</si>
  <si>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</si>
  <si>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</si>
  <si>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</si>
  <si>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</si>
  <si>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</si>
  <si>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</si>
  <si>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</si>
  <si>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</si>
  <si>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</si>
  <si>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</si>
  <si>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</si>
  <si>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</si>
  <si>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</si>
  <si>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</si>
  <si>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</si>
  <si>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</si>
  <si>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</si>
  <si>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</si>
  <si>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</si>
  <si>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</si>
  <si>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</si>
  <si>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</si>
  <si>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</si>
  <si>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</si>
  <si>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</si>
  <si>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</si>
  <si>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</si>
  <si>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</si>
  <si>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</si>
  <si>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</si>
  <si>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</si>
  <si>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</si>
  <si>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</si>
  <si>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</si>
  <si>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</si>
  <si>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</si>
  <si>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</si>
  <si>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</si>
  <si>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</si>
  <si>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</si>
  <si>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</si>
  <si>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</si>
  <si>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</si>
  <si>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</si>
  <si>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</si>
  <si>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</si>
  <si>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</si>
  <si>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</si>
  <si>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</si>
  <si>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</si>
  <si>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</si>
  <si>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</si>
  <si>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</si>
  <si>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</si>
  <si>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</si>
  <si>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</si>
  <si>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</si>
  <si>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</si>
  <si>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</si>
  <si>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</si>
  <si>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</si>
  <si>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</si>
  <si>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</si>
  <si>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</si>
  <si>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</si>
  <si>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</si>
  <si>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</si>
  <si>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</si>
  <si>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</si>
  <si>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</si>
  <si>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</si>
  <si>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</si>
  <si>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</si>
  <si>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</si>
  <si>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</si>
  <si>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</si>
  <si>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</si>
  <si>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</si>
  <si>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</si>
  <si>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</si>
  <si>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</si>
  <si>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</si>
  <si>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</si>
  <si>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</si>
  <si>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</si>
  <si>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</si>
  <si>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</si>
  <si>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</si>
  <si>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</si>
  <si>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</si>
  <si>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</si>
  <si>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</si>
  <si>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</si>
  <si>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</si>
  <si>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</si>
  <si>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</si>
  <si>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</si>
  <si>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</si>
  <si>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</si>
  <si>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</si>
  <si>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</si>
  <si>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</si>
  <si>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</si>
  <si>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</si>
  <si>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</si>
  <si>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</si>
  <si>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</si>
  <si>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</si>
  <si>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</si>
  <si>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</si>
  <si>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</si>
  <si>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</si>
  <si>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</si>
  <si>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</si>
  <si>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</si>
  <si>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</si>
  <si>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</si>
  <si>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</si>
  <si>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</si>
  <si>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</si>
  <si>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</si>
  <si>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</si>
  <si>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</si>
  <si>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</si>
  <si>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</si>
  <si>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</si>
  <si>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</si>
  <si>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</si>
  <si>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</si>
  <si>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</si>
  <si>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</si>
  <si>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</si>
  <si>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</si>
  <si>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</si>
  <si>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</si>
  <si>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</si>
  <si>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</si>
  <si>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</si>
  <si>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</si>
  <si>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</si>
  <si>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</si>
  <si>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</si>
  <si>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</si>
  <si>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</si>
  <si>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</si>
  <si>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</si>
  <si>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</si>
  <si>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</si>
  <si>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</si>
  <si>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</si>
  <si>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</si>
  <si>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</si>
  <si>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</si>
  <si>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</si>
  <si>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</si>
  <si>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</si>
  <si>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</si>
  <si>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</si>
  <si>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</si>
  <si>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</si>
  <si>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</si>
  <si>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</si>
  <si>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</si>
  <si>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</si>
  <si>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</si>
  <si>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</si>
  <si>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</si>
  <si>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</si>
  <si>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</si>
  <si>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</si>
  <si>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</si>
  <si>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</si>
  <si>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</si>
  <si>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</si>
  <si>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</si>
  <si>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</si>
  <si>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</si>
  <si>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</si>
  <si>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</si>
  <si>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</si>
  <si>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</si>
  <si>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</si>
  <si>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</si>
  <si>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</si>
  <si>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</si>
  <si>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</si>
  <si>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</si>
  <si>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</si>
  <si>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</si>
  <si>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</si>
  <si>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</si>
  <si>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</si>
  <si>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</si>
  <si>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</si>
  <si>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</si>
  <si>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</si>
  <si>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</si>
  <si>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</si>
  <si>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</si>
  <si>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</si>
  <si>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</si>
  <si>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</si>
  <si>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</si>
  <si>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</si>
  <si>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</si>
  <si>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</si>
  <si>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</si>
  <si>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</si>
  <si>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</si>
  <si>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</si>
  <si>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</si>
  <si>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</si>
  <si>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</si>
  <si>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</si>
  <si>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</si>
  <si>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</si>
  <si>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</si>
  <si>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</si>
  <si>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</si>
  <si>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</si>
  <si>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</si>
  <si>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</si>
  <si>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</si>
  <si>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</si>
  <si>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</si>
  <si>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</si>
  <si>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</si>
  <si>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</si>
  <si>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</si>
  <si>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</si>
  <si>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</si>
  <si>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</si>
  <si>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</si>
  <si>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</si>
  <si>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</si>
  <si>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</si>
  <si>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</si>
  <si>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</si>
  <si>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</si>
  <si>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</si>
  <si>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</si>
  <si>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</si>
  <si>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</si>
  <si>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</si>
  <si>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</si>
  <si>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</si>
  <si>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</si>
  <si>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</si>
  <si>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</si>
  <si>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</si>
  <si>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</si>
  <si>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</si>
  <si>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</si>
  <si>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</si>
  <si>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</si>
  <si>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</si>
  <si>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</si>
  <si>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</si>
  <si>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</si>
  <si>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</si>
  <si>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</si>
  <si>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</si>
  <si>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</si>
  <si>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</si>
  <si>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</si>
  <si>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</si>
  <si>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</si>
  <si>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</si>
  <si>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</si>
  <si>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</si>
  <si>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</si>
  <si>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</si>
  <si>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</si>
  <si>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</si>
  <si>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</si>
  <si>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</si>
  <si>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</si>
  <si>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</si>
  <si>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</si>
  <si>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</si>
  <si>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</si>
  <si>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</si>
  <si>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</si>
  <si>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</si>
  <si>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</si>
  <si>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</si>
  <si>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</si>
  <si>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</si>
  <si>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</si>
  <si>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</si>
  <si>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</si>
  <si>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</si>
  <si>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</si>
  <si>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</si>
  <si>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</si>
  <si>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</si>
  <si>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</si>
  <si>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</si>
  <si>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</si>
  <si>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</si>
  <si>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</si>
  <si>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</si>
  <si>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</si>
  <si>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</si>
  <si>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</si>
  <si>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</si>
  <si>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</si>
  <si>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</si>
  <si>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</si>
  <si>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</si>
  <si>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</si>
  <si>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</si>
  <si>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</si>
  <si>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</si>
  <si>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</si>
  <si>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</si>
  <si>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</si>
  <si>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</si>
  <si>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</si>
  <si>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</si>
  <si>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</si>
  <si>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</si>
  <si>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</si>
  <si>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</si>
  <si>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</si>
  <si>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</si>
  <si>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</si>
  <si>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</si>
  <si>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</si>
  <si>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</si>
  <si>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</si>
  <si>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</si>
  <si>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</si>
  <si>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</si>
  <si>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</si>
  <si>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</si>
  <si>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</si>
  <si>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</si>
  <si>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</si>
  <si>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</si>
  <si>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</si>
  <si>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</si>
  <si>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</si>
  <si>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</si>
  <si>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</si>
  <si>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</si>
  <si>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</si>
  <si>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</si>
  <si>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</si>
  <si>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</si>
  <si>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</si>
  <si>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</si>
  <si>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</si>
  <si>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</si>
  <si>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</si>
  <si>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</si>
  <si>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</si>
  <si>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</si>
  <si>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</si>
  <si>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</si>
  <si>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</si>
  <si>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</si>
  <si>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</si>
  <si>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</si>
  <si>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</si>
  <si>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</si>
  <si>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</si>
  <si>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</si>
  <si>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</si>
  <si>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</si>
  <si>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</si>
  <si>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</si>
  <si>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</si>
  <si>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</si>
  <si>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</si>
  <si>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</si>
  <si>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</si>
  <si>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</si>
  <si>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</si>
  <si>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</si>
  <si>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</si>
  <si>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</si>
  <si>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</si>
  <si>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</si>
  <si>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</si>
  <si>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</si>
  <si>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</si>
  <si>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</si>
  <si>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</si>
  <si>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</si>
  <si>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</si>
  <si>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</si>
  <si>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</si>
  <si>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</si>
  <si>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</si>
  <si>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</si>
  <si>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</si>
  <si>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</si>
  <si>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</si>
  <si>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</si>
  <si>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</si>
  <si>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</si>
  <si>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</si>
  <si>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</si>
  <si>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</si>
  <si>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</si>
  <si>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</si>
  <si>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</si>
  <si>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</si>
  <si>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</si>
  <si>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</si>
  <si>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</si>
  <si>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</si>
  <si>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</si>
  <si>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</si>
  <si>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</si>
  <si>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</si>
  <si>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</si>
  <si>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</si>
  <si>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</si>
  <si>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</si>
  <si>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</si>
  <si>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</si>
  <si>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</si>
  <si>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</si>
  <si>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</si>
  <si>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</si>
  <si>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</si>
  <si>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</si>
  <si>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</si>
  <si>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</si>
  <si>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</si>
  <si>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</si>
  <si>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</si>
  <si>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</si>
  <si>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</si>
  <si>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</si>
  <si>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</si>
  <si>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</si>
  <si>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</si>
  <si>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</si>
  <si>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</si>
  <si>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</si>
  <si>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</si>
  <si>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</si>
  <si>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</si>
  <si>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</si>
  <si>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</si>
  <si>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</si>
  <si>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</si>
  <si>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</si>
  <si>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</si>
  <si>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</si>
  <si>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</si>
  <si>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</si>
  <si>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</si>
  <si>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</si>
  <si>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</si>
  <si>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</si>
  <si>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</si>
  <si>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</si>
  <si>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</si>
  <si>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</si>
  <si>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</si>
  <si>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</si>
  <si>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</si>
  <si>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</si>
  <si>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</si>
  <si>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</si>
  <si>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</si>
  <si>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</si>
  <si>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</si>
  <si>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</si>
  <si>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</si>
  <si>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</si>
  <si>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</si>
  <si>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</si>
  <si>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</si>
  <si>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</si>
  <si>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</si>
  <si>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</si>
  <si>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</si>
  <si>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</si>
  <si>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</si>
  <si>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</si>
  <si>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</si>
  <si>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</si>
  <si>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</si>
  <si>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</si>
  <si>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</si>
  <si>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</si>
  <si>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</si>
  <si>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</si>
  <si>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</si>
  <si>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</si>
  <si>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</si>
  <si>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</si>
  <si>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</si>
  <si>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</si>
  <si>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</si>
  <si>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</si>
  <si>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</si>
  <si>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</si>
  <si>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</si>
  <si>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</si>
  <si>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</si>
  <si>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</si>
  <si>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</si>
  <si>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</si>
  <si>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</si>
  <si>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</si>
  <si>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</si>
  <si>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</si>
  <si>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</si>
  <si>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</si>
  <si>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</si>
  <si>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</si>
  <si>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</si>
  <si>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</si>
  <si>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</si>
  <si>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</si>
  <si>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</si>
  <si>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</si>
  <si>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</si>
  <si>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</si>
  <si>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</si>
  <si>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</si>
  <si>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</si>
  <si>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</si>
  <si>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</si>
  <si>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</si>
  <si>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</si>
  <si>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</si>
  <si>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</si>
  <si>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</si>
  <si>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</si>
  <si>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</si>
  <si>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</si>
  <si>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</si>
  <si>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</si>
  <si>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</si>
  <si>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</si>
  <si>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</si>
  <si>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</si>
  <si>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</si>
  <si>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</si>
  <si>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</si>
  <si>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</si>
  <si>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</si>
  <si>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</si>
  <si>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</si>
  <si>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</si>
  <si>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</si>
  <si>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</si>
  <si>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</si>
  <si>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</si>
  <si>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</si>
  <si>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</si>
  <si>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</si>
  <si>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</si>
  <si>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</si>
  <si>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</si>
  <si>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</si>
  <si>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</si>
  <si>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</si>
  <si>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</si>
  <si>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</si>
  <si>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</si>
  <si>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</si>
  <si>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</si>
  <si>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</si>
  <si>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</si>
  <si>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</si>
  <si>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</si>
  <si>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</si>
  <si>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</si>
  <si>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</si>
  <si>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</si>
  <si>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</si>
  <si>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</si>
  <si>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</si>
  <si>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</si>
  <si>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</si>
  <si>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</si>
  <si>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</si>
  <si>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</si>
  <si>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</si>
  <si>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</si>
  <si>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</si>
  <si>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</si>
  <si>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</si>
  <si>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</si>
  <si>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</si>
  <si>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</si>
  <si>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</si>
  <si>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</si>
  <si>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</si>
  <si>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</si>
  <si>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</si>
  <si>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</si>
  <si>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</si>
  <si>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</si>
  <si>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</si>
  <si>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</si>
  <si>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</si>
  <si>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</si>
  <si>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</si>
  <si>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</si>
  <si>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</si>
  <si>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</si>
  <si>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</si>
  <si>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</si>
  <si>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</si>
  <si>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</si>
  <si>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</si>
  <si>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</si>
  <si>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</si>
  <si>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</si>
  <si>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</si>
  <si>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</si>
  <si>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</si>
  <si>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</si>
  <si>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</si>
  <si>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</si>
  <si>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</si>
  <si>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</si>
  <si>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</si>
  <si>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</si>
  <si>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</si>
  <si>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</si>
  <si>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</si>
  <si>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</si>
  <si>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</si>
  <si>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</si>
  <si>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</si>
  <si>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</si>
  <si>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</si>
  <si>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</si>
  <si>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</si>
  <si>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</si>
  <si>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</si>
  <si>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</si>
  <si>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</si>
  <si>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</si>
  <si>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</si>
  <si>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</si>
  <si>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</si>
  <si>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</si>
  <si>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</si>
  <si>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</si>
  <si>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</si>
  <si>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</si>
  <si>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</si>
  <si>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</si>
  <si>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</si>
  <si>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</si>
  <si>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</si>
  <si>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</si>
  <si>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</si>
  <si>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</si>
  <si>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</si>
  <si>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</si>
  <si>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</si>
  <si>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</si>
  <si>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</si>
  <si>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</si>
  <si>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</si>
  <si>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</si>
  <si>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</si>
  <si>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</si>
  <si>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</si>
  <si>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</si>
  <si>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</si>
  <si>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</si>
  <si>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</si>
  <si>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</si>
  <si>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</si>
  <si>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</si>
  <si>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</si>
  <si>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</si>
  <si>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</si>
  <si>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</si>
  <si>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</si>
  <si>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</si>
  <si>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</si>
  <si>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</si>
  <si>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</si>
  <si>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</si>
  <si>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</si>
  <si>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</si>
  <si>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</si>
  <si>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</si>
  <si>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</si>
  <si>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</si>
  <si>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</si>
  <si>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</si>
  <si>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</si>
  <si>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</si>
  <si>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</si>
  <si>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</si>
  <si>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</si>
  <si>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</si>
  <si>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</si>
  <si>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</si>
  <si>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</si>
  <si>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</si>
  <si>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</si>
  <si>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</si>
  <si>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</si>
  <si>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</si>
  <si>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</si>
  <si>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</si>
  <si>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</si>
  <si>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</si>
  <si>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</si>
  <si>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</si>
  <si>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</si>
  <si>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</si>
  <si>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</si>
  <si>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</si>
  <si>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</si>
  <si>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</si>
  <si>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</si>
  <si>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</si>
  <si>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</si>
  <si>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</si>
  <si>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</si>
  <si>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</si>
  <si>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</si>
  <si>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</si>
  <si>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</si>
  <si>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</si>
  <si>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</si>
  <si>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</si>
  <si>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</si>
  <si>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</si>
  <si>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</si>
  <si>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</si>
  <si>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</si>
  <si>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</si>
  <si>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</si>
  <si>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</si>
  <si>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</si>
  <si>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</si>
  <si>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</si>
  <si>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</si>
  <si>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</si>
  <si>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</si>
  <si>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</si>
  <si>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</si>
  <si>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</si>
  <si>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</si>
  <si>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</si>
  <si>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</si>
  <si>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</si>
  <si>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</si>
  <si>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</si>
  <si>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</si>
  <si>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</si>
  <si>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</si>
  <si>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</si>
  <si>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</si>
  <si>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</si>
  <si>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</si>
  <si>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</si>
  <si>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</si>
  <si>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</si>
  <si>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</si>
  <si>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</si>
  <si>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</si>
  <si>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</si>
  <si>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</si>
  <si>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</si>
  <si>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</si>
  <si>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</si>
  <si>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</si>
  <si>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</si>
  <si>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</si>
  <si>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</si>
  <si>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</si>
  <si>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</si>
  <si>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</si>
  <si>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</si>
  <si>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</si>
  <si>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</si>
  <si>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</si>
  <si>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</si>
  <si>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</si>
  <si>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</si>
  <si>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</si>
  <si>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</si>
  <si>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</si>
  <si>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</si>
  <si>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</si>
  <si>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</si>
  <si>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</si>
  <si>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</si>
  <si>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</si>
  <si>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</si>
  <si>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</si>
  <si>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</si>
  <si>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</si>
  <si>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</si>
  <si>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</si>
  <si>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</si>
  <si>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</si>
  <si>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</si>
  <si>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</si>
  <si>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</si>
  <si>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</si>
  <si>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</si>
  <si>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</si>
  <si>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</si>
  <si>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</si>
  <si>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</si>
  <si>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</si>
  <si>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</si>
  <si>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</si>
  <si>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</si>
  <si>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</si>
  <si>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</si>
  <si>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</si>
  <si>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</si>
  <si>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</si>
  <si>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</si>
  <si>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</si>
  <si>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</si>
  <si>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</si>
  <si>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</si>
  <si>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</si>
  <si>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</si>
  <si>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</si>
  <si>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</si>
  <si>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</si>
  <si>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</si>
  <si>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</si>
  <si>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</si>
  <si>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</si>
  <si>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</si>
  <si>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</si>
  <si>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</si>
  <si>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</si>
  <si>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</si>
  <si>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</si>
  <si>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</si>
  <si>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</si>
  <si>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</si>
  <si>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</si>
  <si>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</si>
  <si>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</si>
  <si>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</si>
  <si>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</si>
  <si>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</si>
  <si>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</si>
  <si>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</si>
  <si>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</si>
  <si>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</si>
  <si>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</si>
  <si>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</si>
  <si>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</si>
  <si>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</si>
  <si>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</si>
  <si>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</si>
  <si>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</si>
  <si>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</si>
  <si>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</si>
  <si>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</si>
  <si>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</si>
  <si>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</si>
  <si>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</si>
  <si>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</si>
  <si>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</si>
  <si>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</si>
  <si>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</si>
  <si>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</si>
  <si>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</si>
  <si>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</si>
  <si>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</si>
  <si>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</si>
  <si>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</si>
  <si>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</si>
  <si>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</si>
  <si>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</si>
  <si>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</si>
  <si>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</si>
  <si>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</si>
  <si>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</si>
  <si>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</si>
  <si>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</si>
  <si>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</si>
  <si>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</si>
  <si>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</si>
  <si>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</si>
  <si>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</si>
  <si>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</si>
  <si>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</si>
  <si>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</si>
  <si>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</si>
  <si>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</si>
  <si>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</si>
  <si>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</si>
  <si>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</si>
  <si>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</si>
  <si>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</si>
  <si>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</si>
  <si>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</si>
  <si>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</si>
  <si>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</si>
  <si>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</si>
  <si>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</si>
  <si>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</si>
  <si>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</si>
  <si>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</si>
  <si>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</si>
  <si>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</si>
  <si>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</si>
  <si>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</si>
  <si>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</si>
  <si>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</si>
  <si>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</si>
  <si>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</si>
  <si>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</si>
  <si>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</si>
  <si>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</si>
  <si>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</si>
  <si>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</si>
  <si>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</si>
  <si>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</si>
  <si>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</si>
  <si>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</si>
  <si>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</si>
  <si>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</si>
  <si>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</si>
  <si>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</si>
  <si>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</si>
  <si>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</si>
  <si>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</si>
  <si>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</si>
  <si>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</si>
  <si>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</si>
  <si>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</si>
  <si>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</si>
  <si>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</si>
  <si>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</si>
  <si>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</si>
  <si>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</si>
  <si>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</si>
  <si>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</si>
  <si>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</si>
  <si>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</si>
  <si>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</si>
  <si>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</si>
  <si>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</si>
  <si>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</si>
  <si>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</si>
  <si>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</si>
  <si>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</si>
  <si>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</si>
  <si>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</si>
  <si>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</si>
  <si>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</si>
  <si>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</si>
  <si>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</si>
  <si>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</si>
  <si>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</si>
  <si>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</si>
  <si>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</si>
  <si>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</si>
  <si>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</si>
  <si>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</si>
  <si>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</si>
  <si>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</si>
  <si>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</si>
  <si>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</si>
  <si>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</si>
  <si>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</si>
  <si>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</si>
  <si>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</si>
  <si>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</si>
  <si>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</si>
  <si>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</si>
  <si>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</si>
  <si>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</si>
  <si>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</si>
  <si>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</si>
  <si>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</si>
  <si>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</si>
  <si>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</si>
  <si>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</si>
  <si>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</si>
  <si>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</si>
  <si>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</si>
  <si>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</si>
  <si>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</si>
  <si>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</si>
  <si>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</si>
  <si>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</si>
  <si>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</si>
  <si>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</si>
  <si>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</si>
  <si>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</si>
  <si>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</si>
  <si>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</si>
  <si>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</si>
  <si>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</si>
  <si>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</si>
  <si>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</si>
  <si>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</si>
  <si>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</si>
  <si>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</si>
  <si>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</si>
  <si>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</si>
  <si>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</si>
  <si>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</si>
  <si>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</si>
  <si>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</si>
  <si>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</si>
  <si>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</si>
  <si>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</si>
  <si>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</si>
  <si>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</si>
  <si>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</si>
  <si>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</si>
  <si>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</si>
  <si>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</si>
  <si>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</si>
  <si>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</si>
  <si>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</si>
  <si>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</si>
  <si>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</si>
  <si>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</si>
  <si>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</si>
  <si>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</si>
  <si>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</si>
  <si>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</si>
  <si>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</si>
  <si>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</si>
  <si>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</si>
  <si>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</si>
  <si>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</si>
  <si>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</si>
  <si>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</si>
  <si>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</si>
  <si>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</si>
  <si>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</si>
  <si>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</si>
  <si>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</si>
  <si>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</si>
  <si>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</si>
  <si>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</si>
  <si>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</si>
  <si>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</si>
  <si>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</si>
  <si>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</si>
  <si>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</si>
  <si>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</si>
  <si>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</si>
  <si>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</si>
  <si>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</si>
  <si>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</si>
  <si>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</si>
  <si>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</si>
  <si>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</si>
  <si>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</si>
  <si>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</si>
  <si>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</si>
  <si>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</si>
  <si>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</si>
  <si>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</si>
  <si>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</si>
  <si>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</si>
  <si>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</si>
  <si>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</si>
  <si>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</si>
  <si>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</si>
  <si>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</si>
  <si>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</si>
  <si>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</si>
  <si>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</si>
  <si>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</si>
  <si>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</si>
  <si>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</si>
  <si>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</si>
  <si>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</si>
  <si>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</si>
  <si>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</si>
  <si>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</si>
  <si>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</si>
  <si>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</si>
  <si>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</si>
  <si>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</si>
  <si>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</si>
  <si>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</si>
  <si>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</si>
  <si>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</si>
  <si>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</si>
  <si>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</si>
  <si>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</si>
  <si>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</si>
  <si>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</si>
  <si>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</si>
  <si>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</si>
  <si>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</si>
  <si>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</si>
  <si>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</si>
  <si>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</si>
  <si>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</si>
  <si>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</si>
  <si>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</si>
  <si>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</si>
  <si>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</si>
  <si>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</si>
  <si>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</si>
  <si>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</si>
  <si>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</si>
  <si>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</si>
  <si>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</si>
  <si>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</si>
  <si>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</si>
  <si>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</si>
  <si>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</si>
  <si>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</si>
  <si>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</si>
  <si>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</si>
  <si>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</si>
  <si>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</si>
  <si>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</si>
  <si>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</si>
  <si>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</si>
  <si>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</si>
  <si>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</si>
  <si>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</si>
  <si>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</si>
  <si>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</si>
  <si>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</si>
  <si>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</si>
  <si>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</si>
  <si>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</si>
  <si>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</si>
  <si>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</si>
  <si>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</si>
  <si>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</si>
  <si>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</si>
  <si>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</si>
  <si>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</si>
  <si>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</si>
  <si>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</si>
  <si>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</si>
  <si>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</si>
  <si>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</si>
  <si>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</si>
  <si>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</si>
  <si>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</si>
  <si>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</si>
  <si>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</si>
  <si>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</si>
  <si>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</si>
  <si>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</si>
  <si>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</si>
  <si>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</si>
  <si>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</si>
  <si>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</si>
  <si>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</si>
  <si>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</si>
  <si>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</si>
  <si>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</si>
  <si>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</si>
  <si>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</si>
  <si>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</si>
  <si>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</si>
  <si>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</si>
  <si>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</si>
  <si>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</si>
  <si>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</si>
  <si>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</si>
  <si>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</si>
  <si>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</si>
  <si>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</si>
  <si>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</si>
  <si>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</si>
  <si>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</si>
  <si>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</si>
  <si>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</si>
  <si>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</si>
  <si>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</si>
  <si>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</si>
  <si>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</si>
  <si>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</si>
  <si>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</si>
  <si>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</si>
  <si>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</si>
  <si>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</si>
  <si>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</si>
  <si>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</si>
  <si>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</si>
  <si>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</si>
  <si>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</si>
  <si>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</si>
  <si>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</si>
  <si>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</si>
  <si>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</si>
  <si>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</si>
  <si>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</si>
  <si>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</si>
  <si>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</si>
  <si>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</si>
  <si>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</si>
  <si>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</si>
  <si>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</si>
  <si>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</si>
  <si>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</si>
  <si>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</si>
  <si>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</si>
  <si>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</si>
  <si>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</si>
  <si>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</si>
  <si>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</si>
  <si>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</si>
  <si>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</si>
  <si>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</si>
  <si>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</si>
  <si>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</si>
  <si>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</si>
  <si>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</si>
  <si>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</si>
  <si>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</si>
  <si>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</si>
  <si>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</si>
  <si>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</si>
  <si>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</si>
  <si>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</si>
  <si>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</si>
  <si>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</si>
  <si>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</si>
  <si>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</si>
  <si>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</si>
  <si>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</si>
  <si>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</si>
  <si>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</si>
  <si>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</si>
  <si>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</si>
  <si>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</si>
  <si>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</si>
  <si>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</si>
  <si>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</si>
  <si>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</si>
  <si>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</si>
  <si>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</si>
  <si>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</si>
  <si>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</si>
  <si>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</si>
  <si>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</si>
  <si>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</si>
  <si>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</si>
  <si>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</si>
  <si>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</si>
  <si>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</si>
  <si>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</si>
  <si>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</si>
  <si>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</si>
  <si>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</si>
  <si>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</si>
  <si>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</si>
  <si>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</si>
  <si>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</si>
  <si>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</si>
  <si>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</si>
  <si>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</si>
  <si>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</si>
  <si>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</si>
  <si>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</si>
  <si>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</si>
  <si>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</si>
  <si>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</si>
  <si>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</si>
  <si>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</si>
  <si>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</si>
  <si>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</si>
  <si>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</si>
  <si>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</si>
  <si>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</si>
  <si>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</si>
  <si>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</si>
  <si>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</si>
  <si>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</si>
  <si>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</si>
  <si>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</si>
  <si>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</si>
  <si>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</si>
  <si>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</si>
  <si>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</si>
  <si>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</si>
  <si>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</si>
  <si>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</si>
  <si>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</si>
  <si>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</si>
  <si>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</si>
  <si>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</si>
  <si>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</si>
  <si>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</si>
  <si>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</si>
  <si>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</si>
  <si>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</si>
  <si>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</si>
  <si>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</si>
  <si>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</si>
  <si>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</si>
  <si>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</si>
  <si>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</si>
  <si>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</si>
  <si>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</si>
  <si>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</si>
  <si>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</si>
  <si>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</si>
  <si>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</si>
  <si>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</si>
  <si>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</si>
  <si>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</si>
  <si>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</si>
  <si>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</si>
  <si>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</si>
  <si>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</si>
  <si>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</si>
  <si>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</si>
  <si>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</si>
  <si>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</si>
  <si>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</si>
  <si>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</si>
  <si>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</si>
  <si>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</si>
  <si>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</si>
  <si>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</si>
  <si>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</si>
  <si>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</si>
  <si>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</si>
  <si>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</si>
  <si>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</si>
  <si>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</si>
  <si>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</si>
  <si>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</si>
  <si>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</si>
  <si>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</si>
  <si>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</si>
  <si>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</si>
  <si>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</si>
  <si>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</si>
  <si>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</si>
  <si>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</si>
  <si>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</si>
  <si>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</si>
  <si>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</si>
  <si>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</si>
  <si>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</si>
  <si>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</si>
  <si>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</si>
  <si>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</si>
  <si>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</si>
  <si>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</si>
  <si>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</si>
  <si>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</si>
  <si>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</si>
  <si>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</si>
  <si>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</si>
  <si>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</si>
  <si>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</si>
  <si>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</si>
  <si>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</si>
  <si>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</si>
  <si>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</si>
  <si>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</si>
  <si>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</si>
  <si>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</si>
  <si>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</si>
  <si>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</si>
  <si>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</si>
  <si>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</si>
  <si>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</si>
  <si>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</si>
  <si>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</si>
  <si>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</si>
  <si>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</si>
  <si>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</si>
  <si>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</si>
  <si>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</si>
  <si>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</si>
  <si>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</si>
  <si>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</si>
  <si>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</si>
  <si>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</si>
  <si>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</si>
  <si>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</si>
  <si>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</si>
  <si>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</si>
  <si>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</si>
  <si>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</si>
  <si>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</si>
  <si>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</si>
  <si>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</si>
  <si>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</si>
  <si>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</si>
  <si>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</si>
  <si>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</si>
  <si>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</si>
  <si>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</si>
  <si>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</si>
  <si>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</si>
  <si>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</si>
  <si>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</si>
  <si>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</si>
  <si>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</si>
  <si>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</si>
  <si>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</si>
  <si>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</si>
  <si>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</si>
  <si>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</si>
  <si>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</si>
  <si>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</si>
  <si>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</si>
  <si>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</si>
  <si>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</si>
  <si>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</si>
  <si>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</si>
  <si>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</si>
  <si>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</si>
  <si>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</si>
  <si>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</si>
  <si>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</si>
  <si>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</si>
  <si>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</si>
  <si>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</si>
  <si>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</si>
  <si>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</si>
  <si>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</si>
  <si>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</si>
  <si>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</si>
  <si>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</si>
  <si>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</si>
  <si>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</si>
  <si>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</si>
  <si>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</si>
  <si>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</si>
  <si>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</si>
  <si>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</si>
  <si>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</si>
  <si>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</si>
  <si>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</si>
  <si>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</si>
  <si>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</si>
  <si>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</si>
  <si>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</si>
  <si>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</si>
  <si>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</si>
  <si>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</si>
  <si>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</si>
  <si>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</si>
  <si>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</si>
  <si>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</si>
  <si>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</si>
  <si>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</si>
  <si>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</si>
  <si>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</si>
  <si>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</si>
  <si>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</si>
  <si>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</si>
  <si>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</si>
  <si>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</si>
  <si>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</si>
  <si>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</si>
  <si>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</si>
  <si>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</si>
  <si>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</si>
  <si>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</si>
  <si>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</si>
  <si>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</si>
  <si>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</si>
  <si>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</si>
  <si>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</si>
  <si>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</si>
  <si>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</si>
  <si>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</si>
  <si>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</si>
  <si>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</si>
  <si>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</si>
  <si>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</si>
  <si>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</si>
  <si>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</si>
  <si>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</si>
  <si>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</si>
  <si>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</si>
  <si>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</si>
  <si>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</si>
  <si>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</si>
  <si>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</si>
  <si>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</si>
  <si>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</si>
  <si>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</si>
  <si>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</si>
  <si>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</si>
  <si>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</si>
  <si>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</si>
  <si>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</si>
  <si>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</si>
  <si>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</si>
  <si>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</si>
  <si>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</si>
  <si>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</si>
  <si>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</si>
  <si>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</si>
  <si>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</si>
  <si>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</si>
  <si>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</si>
  <si>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</si>
  <si>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</si>
  <si>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</si>
  <si>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</si>
  <si>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</si>
  <si>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</si>
  <si>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</si>
  <si>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</si>
  <si>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</si>
  <si>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</si>
  <si>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</si>
  <si>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</si>
  <si>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</si>
  <si>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</si>
  <si>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</si>
  <si>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</si>
  <si>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</si>
  <si>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</si>
  <si>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</si>
  <si>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</si>
  <si>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</si>
  <si>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</si>
  <si>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</si>
  <si>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</si>
  <si>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</si>
  <si>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</si>
  <si>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</si>
  <si>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</si>
  <si>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</si>
  <si>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</si>
  <si>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</si>
  <si>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</si>
  <si>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</si>
  <si>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</si>
  <si>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</si>
  <si>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</si>
  <si>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</si>
  <si>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</si>
  <si>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</si>
  <si>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</si>
  <si>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</si>
  <si>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</si>
  <si>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</si>
  <si>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</si>
  <si>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</si>
  <si>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</si>
  <si>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</si>
  <si>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</si>
  <si>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</si>
  <si>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</si>
  <si>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</si>
  <si>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</si>
  <si>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</si>
  <si>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</si>
  <si>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</si>
  <si>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</si>
  <si>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</si>
  <si>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</si>
  <si>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</si>
  <si>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</si>
  <si>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</si>
  <si>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</si>
  <si>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</si>
  <si>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</si>
  <si>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</si>
  <si>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</si>
  <si>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</si>
  <si>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</si>
  <si>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</si>
  <si>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</si>
  <si>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</si>
  <si>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</si>
  <si>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</si>
  <si>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</si>
  <si>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</si>
  <si>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</si>
  <si>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</si>
  <si>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</si>
  <si>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</si>
  <si>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</si>
  <si>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</si>
  <si>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</si>
  <si>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</si>
  <si>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</si>
  <si>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</si>
  <si>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</si>
  <si>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</si>
  <si>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</si>
  <si>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</si>
  <si>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</si>
  <si>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</si>
  <si>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</si>
  <si>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</si>
  <si>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</si>
  <si>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</si>
  <si>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</si>
  <si>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</si>
  <si>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</si>
  <si>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</si>
  <si>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</si>
  <si>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</si>
  <si>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</si>
  <si>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</si>
  <si>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</si>
  <si>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</si>
  <si>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</si>
  <si>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</si>
  <si>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</si>
  <si>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</si>
  <si>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</si>
  <si>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</si>
  <si>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</si>
  <si>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</si>
  <si>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</si>
  <si>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</si>
  <si>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</si>
  <si>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</si>
  <si>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</si>
  <si>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</si>
  <si>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</si>
  <si>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</si>
  <si>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</si>
  <si>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</si>
  <si>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</si>
  <si>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</si>
  <si>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</si>
  <si>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</si>
  <si>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</si>
  <si>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</si>
  <si>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</si>
  <si>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</si>
  <si>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</si>
  <si>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</si>
  <si>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</si>
  <si>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</si>
  <si>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</si>
  <si>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</si>
  <si>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</si>
  <si>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</si>
  <si>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</si>
  <si>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</si>
  <si>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</si>
  <si>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</si>
  <si>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</si>
  <si>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</si>
  <si>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</si>
  <si>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</si>
  <si>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</si>
  <si>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</si>
  <si>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</si>
  <si>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</si>
  <si>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</si>
  <si>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</si>
  <si>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</si>
  <si>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</si>
  <si>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</si>
  <si>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</si>
  <si>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</si>
  <si>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</si>
  <si>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</si>
  <si>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</si>
  <si>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</si>
  <si>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</si>
  <si>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</si>
  <si>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</si>
  <si>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</si>
  <si>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</si>
  <si>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</si>
  <si>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</si>
  <si>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</si>
  <si>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</si>
  <si>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</si>
  <si>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</si>
  <si>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</si>
  <si>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</si>
  <si>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</si>
  <si>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</si>
  <si>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</si>
  <si>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</si>
  <si>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</si>
  <si>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</si>
  <si>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</si>
  <si>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</si>
  <si>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</si>
  <si>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</si>
  <si>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</si>
  <si>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</si>
  <si>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</si>
  <si>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</si>
  <si>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</si>
  <si>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</si>
  <si>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</si>
  <si>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</si>
  <si>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</si>
  <si>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</si>
  <si>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</si>
  <si>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</si>
  <si>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</si>
  <si>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</si>
  <si>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</si>
  <si>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</si>
  <si>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</si>
  <si>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</si>
  <si>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</si>
  <si>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</si>
  <si>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</si>
  <si>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</si>
  <si>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</si>
  <si>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</si>
  <si>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</si>
  <si>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</si>
  <si>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</si>
  <si>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</si>
  <si>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</si>
  <si>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</si>
  <si>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</si>
  <si>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</si>
  <si>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</si>
  <si>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</si>
  <si>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</si>
  <si>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</si>
  <si>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</si>
  <si>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</si>
  <si>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</si>
  <si>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</si>
  <si>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</si>
  <si>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</si>
  <si>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</si>
  <si>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</si>
  <si>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</si>
  <si>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</si>
  <si>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</si>
  <si>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</si>
  <si>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</si>
  <si>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</si>
  <si>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</si>
  <si>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</si>
  <si>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</si>
  <si>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</si>
  <si>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</si>
  <si>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</si>
  <si>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</si>
  <si>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</si>
  <si>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</si>
  <si>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</si>
  <si>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</si>
  <si>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</si>
  <si>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</si>
  <si>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</si>
  <si>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</si>
  <si>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</si>
  <si>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</si>
  <si>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</si>
  <si>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</si>
  <si>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</si>
  <si>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</si>
  <si>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</si>
  <si>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</si>
  <si>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</si>
  <si>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</si>
  <si>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</si>
  <si>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</si>
  <si>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</si>
  <si>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</si>
  <si>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</si>
  <si>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</si>
  <si>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</si>
  <si>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</si>
  <si>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</si>
  <si>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</si>
  <si>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</si>
  <si>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</si>
  <si>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</si>
  <si>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</si>
  <si>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</si>
  <si>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</si>
  <si>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</si>
  <si>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</si>
  <si>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</si>
  <si>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</si>
  <si>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</si>
  <si>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</si>
  <si>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</si>
  <si>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</si>
  <si>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</si>
  <si>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</si>
  <si>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</si>
  <si>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</si>
  <si>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</si>
  <si>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</si>
  <si>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</si>
  <si>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</si>
  <si>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</si>
  <si>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</si>
  <si>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</si>
  <si>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</si>
  <si>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</si>
  <si>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</si>
  <si>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</si>
  <si>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</si>
  <si>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</si>
  <si>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</si>
  <si>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</si>
  <si>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</si>
  <si>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</si>
  <si>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</si>
  <si>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</si>
  <si>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</si>
  <si>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</si>
  <si>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</si>
  <si>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</si>
  <si>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</si>
  <si>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</si>
  <si>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</si>
  <si>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</si>
  <si>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</si>
  <si>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</si>
  <si>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</si>
  <si>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</si>
  <si>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</si>
  <si>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</si>
  <si>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</si>
  <si>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</si>
  <si>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</si>
  <si>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</si>
  <si>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</si>
  <si>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</si>
  <si>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</si>
  <si>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</si>
  <si>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</si>
  <si>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</si>
  <si>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</si>
  <si>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</si>
  <si>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</si>
  <si>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</si>
  <si>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</si>
  <si>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</si>
  <si>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</si>
  <si>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</si>
  <si>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</si>
  <si>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</si>
  <si>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</si>
  <si>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</si>
  <si>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</si>
  <si>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</si>
  <si>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</si>
  <si>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</si>
  <si>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</si>
  <si>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</si>
  <si>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</si>
  <si>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</si>
  <si>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</si>
  <si>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</si>
  <si>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</si>
  <si>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</si>
  <si>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</si>
  <si>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</si>
  <si>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</si>
  <si>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</si>
  <si>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</si>
  <si>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</si>
  <si>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</si>
  <si>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</si>
  <si>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</si>
  <si>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</si>
  <si>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</si>
  <si>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</si>
  <si>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</si>
  <si>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</si>
  <si>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</si>
  <si>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</si>
  <si>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</si>
  <si>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</si>
  <si>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</si>
  <si>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</si>
  <si>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</si>
  <si>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</si>
  <si>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</si>
  <si>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</si>
  <si>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</si>
  <si>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</si>
  <si>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</si>
  <si>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</si>
  <si>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</si>
  <si>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</si>
  <si>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</si>
  <si>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</si>
  <si>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</si>
  <si>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</si>
  <si>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</si>
  <si>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</si>
  <si>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</si>
  <si>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</si>
  <si>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</si>
  <si>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</si>
  <si>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</si>
  <si>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</si>
  <si>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</si>
  <si>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</si>
  <si>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</si>
  <si>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</si>
  <si>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</si>
  <si>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</si>
  <si>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</si>
  <si>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</si>
  <si>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</si>
  <si>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</si>
  <si>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</si>
  <si>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</si>
  <si>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</si>
  <si>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</si>
  <si>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</si>
  <si>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</si>
  <si>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</si>
  <si>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</si>
  <si>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</si>
  <si>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</si>
  <si>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</si>
  <si>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</si>
  <si>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</si>
  <si>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</si>
  <si>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</si>
  <si>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</si>
  <si>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</si>
  <si>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</si>
  <si>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</si>
  <si>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</si>
  <si>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</si>
  <si>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</si>
  <si>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</si>
  <si>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</si>
  <si>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</si>
  <si>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</si>
  <si>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</si>
  <si>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</si>
  <si>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</si>
  <si>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</si>
  <si>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</si>
  <si>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</si>
  <si>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</si>
  <si>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</si>
  <si>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</si>
  <si>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</si>
  <si>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</si>
  <si>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</si>
  <si>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</si>
  <si>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</si>
  <si>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</si>
  <si>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</si>
  <si>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</si>
  <si>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</si>
  <si>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</si>
  <si>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</si>
  <si>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</si>
  <si>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</si>
  <si>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</si>
  <si>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</si>
  <si>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</si>
  <si>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</si>
  <si>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</si>
  <si>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</si>
  <si>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</si>
  <si>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</si>
  <si>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</si>
  <si>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</si>
  <si>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</si>
  <si>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</si>
  <si>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</si>
  <si>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</si>
  <si>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</si>
  <si>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</si>
  <si>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</si>
  <si>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</si>
  <si>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</si>
  <si>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</si>
  <si>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</si>
  <si>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</si>
  <si>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</si>
  <si>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</si>
  <si>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</si>
  <si>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</si>
  <si>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</si>
  <si>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</si>
  <si>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</si>
  <si>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</si>
  <si>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</si>
  <si>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</si>
  <si>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</si>
  <si>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</si>
  <si>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</si>
  <si>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</si>
  <si>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</si>
  <si>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</si>
  <si>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</si>
  <si>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</si>
  <si>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</si>
  <si>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</si>
  <si>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</si>
  <si>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</si>
  <si>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</si>
  <si>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</si>
  <si>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</si>
  <si>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</si>
  <si>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</si>
  <si>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</si>
  <si>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</si>
  <si>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</si>
  <si>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</si>
  <si>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</si>
  <si>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</si>
  <si>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</si>
  <si>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</si>
  <si>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</si>
  <si>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</si>
  <si>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</si>
  <si>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</si>
  <si>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</si>
  <si>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</si>
  <si>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</si>
  <si>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</si>
  <si>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</si>
  <si>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</si>
  <si>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</si>
  <si>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</si>
  <si>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</si>
  <si>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</si>
  <si>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</si>
  <si>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</si>
  <si>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</si>
  <si>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</si>
  <si>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</si>
  <si>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</si>
  <si>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</si>
  <si>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</si>
  <si>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</si>
  <si>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</si>
  <si>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</si>
  <si>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</si>
  <si>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</si>
  <si>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</si>
  <si>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</si>
  <si>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</si>
  <si>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</si>
  <si>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</si>
  <si>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</si>
  <si>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</si>
  <si>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</si>
  <si>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</si>
  <si>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</si>
  <si>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</si>
  <si>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</si>
  <si>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</si>
  <si>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</si>
  <si>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</si>
  <si>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</si>
  <si>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</si>
  <si>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</si>
  <si>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</si>
  <si>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</si>
  <si>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</si>
  <si>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</si>
  <si>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</si>
  <si>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</si>
  <si>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</si>
  <si>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</si>
  <si>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</si>
  <si>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</si>
  <si>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</si>
  <si>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</si>
  <si>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</si>
  <si>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</si>
  <si>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</si>
  <si>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</si>
  <si>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</si>
  <si>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</si>
  <si>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</si>
  <si>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</si>
  <si>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</si>
  <si>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</si>
  <si>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</si>
  <si>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</si>
  <si>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</si>
  <si>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</si>
  <si>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</si>
  <si>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</si>
  <si>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</si>
  <si>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</si>
  <si>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</si>
  <si>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</si>
  <si>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</si>
  <si>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</si>
  <si>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</si>
  <si>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</si>
  <si>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</si>
  <si>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</si>
  <si>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</si>
  <si>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</si>
  <si>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</si>
  <si>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</si>
  <si>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</si>
  <si>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</si>
  <si>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</si>
  <si>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</si>
  <si>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</si>
  <si>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</si>
  <si>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</si>
  <si>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</si>
  <si>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</si>
  <si>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</si>
  <si>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</si>
  <si>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</si>
  <si>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</si>
  <si>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</si>
  <si>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</si>
  <si>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</si>
  <si>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</si>
  <si>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</si>
  <si>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</si>
  <si>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</si>
  <si>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</si>
  <si>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</si>
  <si>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</si>
  <si>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</si>
  <si>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</si>
  <si>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</si>
  <si>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</si>
  <si>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</si>
  <si>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</si>
  <si>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</si>
  <si>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</si>
  <si>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</si>
  <si>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</si>
  <si>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</si>
  <si>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</si>
  <si>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</si>
  <si>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</si>
  <si>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</si>
  <si>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</si>
  <si>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</si>
  <si>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</si>
  <si>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</si>
  <si>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</si>
  <si>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</si>
  <si>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</si>
  <si>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</si>
  <si>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</si>
  <si>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</si>
  <si>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</si>
  <si>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</si>
  <si>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</si>
  <si>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</si>
  <si>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</si>
  <si>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</si>
  <si>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</si>
  <si>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</si>
  <si>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</si>
  <si>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</si>
  <si>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</si>
  <si>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</si>
  <si>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</si>
  <si>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</si>
  <si>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</si>
  <si>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</si>
  <si>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</si>
  <si>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</si>
  <si>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</si>
  <si>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</si>
  <si>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</si>
  <si>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</si>
  <si>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</si>
  <si>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</si>
  <si>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</si>
  <si>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</si>
  <si>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</si>
  <si>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</si>
  <si>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</si>
  <si>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</si>
  <si>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</si>
  <si>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</si>
  <si>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</si>
  <si>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</si>
  <si>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</si>
  <si>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</si>
  <si>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</si>
  <si>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</si>
  <si>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</si>
  <si>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</si>
  <si>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</si>
  <si>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</si>
  <si>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</si>
  <si>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</si>
  <si>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</si>
  <si>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</si>
  <si>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</si>
  <si>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</si>
  <si>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</si>
  <si>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</si>
  <si>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</si>
  <si>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</si>
  <si>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</si>
  <si>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</si>
  <si>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</si>
  <si>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</si>
  <si>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</si>
  <si>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</si>
  <si>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</si>
  <si>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</si>
  <si>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</si>
  <si>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</si>
  <si>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</si>
  <si>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</si>
  <si>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</si>
  <si>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</si>
  <si>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</si>
  <si>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</si>
  <si>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</si>
  <si>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</si>
  <si>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</si>
  <si>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</si>
  <si>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</si>
  <si>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</si>
  <si>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</si>
  <si>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</si>
  <si>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</si>
  <si>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</si>
  <si>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</si>
  <si>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</si>
  <si>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</si>
  <si>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</si>
  <si>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</si>
  <si>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</si>
  <si>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</si>
  <si>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</si>
  <si>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</si>
  <si>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</si>
  <si>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</si>
  <si>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</si>
  <si>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</si>
  <si>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</si>
  <si>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</si>
  <si>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</si>
  <si>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</si>
  <si>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</si>
  <si>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</si>
  <si>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</si>
  <si>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</si>
  <si>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</si>
  <si>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</si>
  <si>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</si>
  <si>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</si>
  <si>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</si>
  <si>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</si>
  <si>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</si>
  <si>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</si>
  <si>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</si>
  <si>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</si>
  <si>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</si>
  <si>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</si>
  <si>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</si>
  <si>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</si>
  <si>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</si>
  <si>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</si>
  <si>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</si>
  <si>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</si>
  <si>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</si>
  <si>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</si>
  <si>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</si>
  <si>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</si>
  <si>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</si>
  <si>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</si>
  <si>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</si>
  <si>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</si>
  <si>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</si>
  <si>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</si>
  <si>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</si>
  <si>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</si>
  <si>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</si>
  <si>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</si>
  <si>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</si>
  <si>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项目全部</t>
  </si>
  <si>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</si>
  <si>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</si>
  <si>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</si>
  <si>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</si>
  <si>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</si>
  <si>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</si>
  <si>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</si>
  <si>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</si>
  <si>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</si>
  <si>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</si>
  <si>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</si>
  <si>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</si>
  <si>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</si>
  <si>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</si>
  <si>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</si>
  <si>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</si>
  <si>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</si>
  <si>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</si>
  <si>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</si>
  <si>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</si>
  <si>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</si>
  <si>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</si>
  <si>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</si>
  <si>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</si>
  <si>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</si>
  <si>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</si>
  <si>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</si>
  <si>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</si>
  <si>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</si>
  <si>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</si>
  <si>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华澳信托</t>
    <phoneticPr fontId="6" type="noConversion"/>
  </si>
  <si>
    <t>其他：</t>
  </si>
  <si>
    <t>山东省</t>
    <phoneticPr fontId="6" type="noConversion"/>
  </si>
  <si>
    <t>滨州市盛华路588号</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</si>
  <si>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</si>
  <si>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</si>
  <si>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</si>
  <si>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</si>
  <si>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</si>
  <si>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</si>
  <si>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</si>
  <si>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</si>
  <si>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</si>
  <si>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</si>
  <si>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</si>
  <si>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</si>
  <si>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</si>
  <si>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</si>
  <si>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</si>
  <si>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</si>
  <si>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</si>
  <si>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</si>
  <si>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面积汇总</t>
    <phoneticPr fontId="143" type="noConversion"/>
  </si>
  <si>
    <t>抵押别墅</t>
    <phoneticPr fontId="143" type="noConversion"/>
  </si>
  <si>
    <t>抵押底商</t>
    <phoneticPr fontId="143" type="noConversion"/>
  </si>
  <si>
    <t>抵押会所</t>
    <phoneticPr fontId="143" type="noConversion"/>
  </si>
  <si>
    <t>合计</t>
    <phoneticPr fontId="143" type="noConversion"/>
  </si>
  <si>
    <t>面积</t>
    <phoneticPr fontId="143" type="noConversion"/>
  </si>
  <si>
    <t>已售别墅</t>
    <phoneticPr fontId="143" type="noConversion"/>
  </si>
  <si>
    <t>已售洋房</t>
    <phoneticPr fontId="143" type="noConversion"/>
  </si>
  <si>
    <t>一期现房部分</t>
    <phoneticPr fontId="143" type="noConversion"/>
  </si>
  <si>
    <t>二期一标段在建</t>
    <phoneticPr fontId="143" type="noConversion"/>
  </si>
  <si>
    <t>洋房</t>
    <phoneticPr fontId="143" type="noConversion"/>
  </si>
  <si>
    <t>仓储</t>
    <phoneticPr fontId="143" type="noConversion"/>
  </si>
  <si>
    <r>
      <t>5</t>
    </r>
    <r>
      <rPr>
        <sz val="11"/>
        <color theme="1"/>
        <rFont val="宋体"/>
        <family val="3"/>
        <charset val="134"/>
        <scheme val="minor"/>
      </rPr>
      <t>1#</t>
    </r>
    <phoneticPr fontId="143" type="noConversion"/>
  </si>
  <si>
    <t>面积</t>
    <phoneticPr fontId="143" type="noConversion"/>
  </si>
  <si>
    <r>
      <t>5</t>
    </r>
    <r>
      <rPr>
        <sz val="11"/>
        <color theme="1"/>
        <rFont val="宋体"/>
        <family val="3"/>
        <charset val="134"/>
        <scheme val="minor"/>
      </rPr>
      <t>2#</t>
    </r>
    <phoneticPr fontId="143" type="noConversion"/>
  </si>
  <si>
    <r>
      <t>5</t>
    </r>
    <r>
      <rPr>
        <sz val="11"/>
        <color theme="1"/>
        <rFont val="宋体"/>
        <family val="3"/>
        <charset val="134"/>
        <scheme val="minor"/>
      </rPr>
      <t>3#</t>
    </r>
    <phoneticPr fontId="143" type="noConversion"/>
  </si>
  <si>
    <t>小计</t>
    <phoneticPr fontId="143" type="noConversion"/>
  </si>
  <si>
    <t>小计</t>
    <phoneticPr fontId="143" type="noConversion"/>
  </si>
  <si>
    <t>物业用房</t>
    <phoneticPr fontId="143" type="noConversion"/>
  </si>
  <si>
    <t>小计</t>
    <phoneticPr fontId="143" type="noConversion"/>
  </si>
  <si>
    <r>
      <t>5</t>
    </r>
    <r>
      <rPr>
        <sz val="11"/>
        <color theme="1"/>
        <rFont val="宋体"/>
        <family val="3"/>
        <charset val="134"/>
        <scheme val="minor"/>
      </rPr>
      <t>4#</t>
    </r>
    <phoneticPr fontId="143" type="noConversion"/>
  </si>
  <si>
    <t>59#</t>
    <phoneticPr fontId="143" type="noConversion"/>
  </si>
  <si>
    <t>洋房</t>
    <phoneticPr fontId="143" type="noConversion"/>
  </si>
  <si>
    <t>仓储</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</si>
  <si>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</si>
  <si>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</si>
  <si>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r>
      <t>6</t>
    </r>
    <r>
      <rPr>
        <sz val="11"/>
        <color theme="1"/>
        <rFont val="宋体"/>
        <family val="3"/>
        <charset val="134"/>
        <scheme val="minor"/>
      </rPr>
      <t>2#</t>
    </r>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</si>
  <si>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</si>
  <si>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</si>
  <si>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</si>
  <si>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t>洋房</t>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</si>
  <si>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</si>
  <si>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</si>
  <si>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</si>
  <si>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</si>
  <si>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</si>
  <si>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</si>
  <si>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</si>
  <si>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地下仓储</t>
    <phoneticPr fontId="143" type="noConversion"/>
  </si>
  <si>
    <t>地下物业用房</t>
    <phoneticPr fontId="143" type="noConversion"/>
  </si>
  <si>
    <t>地下车库用房</t>
    <phoneticPr fontId="143" type="noConversion"/>
  </si>
  <si>
    <t>地下设备用房</t>
    <phoneticPr fontId="143" type="noConversion"/>
  </si>
  <si>
    <t>二期二标段土地</t>
    <phoneticPr fontId="143" type="noConversion"/>
  </si>
  <si>
    <t>二期总规划建筑面积</t>
    <phoneticPr fontId="143" type="noConversion"/>
  </si>
  <si>
    <t>住宅</t>
    <phoneticPr fontId="143" type="noConversion"/>
  </si>
  <si>
    <t>社区服务用房</t>
    <phoneticPr fontId="143" type="noConversion"/>
  </si>
  <si>
    <t>物业经营</t>
    <phoneticPr fontId="143" type="noConversion"/>
  </si>
  <si>
    <t>物业办公</t>
    <phoneticPr fontId="143" type="noConversion"/>
  </si>
  <si>
    <t>架空层</t>
    <phoneticPr fontId="143" type="noConversion"/>
  </si>
  <si>
    <t>洋房</t>
    <phoneticPr fontId="143" type="noConversion"/>
  </si>
  <si>
    <t>地下车库</t>
    <phoneticPr fontId="143" type="noConversion"/>
  </si>
  <si>
    <t>地上车库</t>
    <phoneticPr fontId="143" type="noConversion"/>
  </si>
  <si>
    <t>地下车库</t>
    <phoneticPr fontId="143" type="noConversion"/>
  </si>
  <si>
    <t>地下储藏室（51#、52#）</t>
    <phoneticPr fontId="143" type="noConversion"/>
  </si>
  <si>
    <t>纯地下仓储</t>
    <phoneticPr fontId="143" type="noConversion"/>
  </si>
  <si>
    <t>地下物业</t>
    <phoneticPr fontId="143" type="noConversion"/>
  </si>
  <si>
    <t>地下设备</t>
    <phoneticPr fontId="143" type="noConversion"/>
  </si>
  <si>
    <t>地下仓储</t>
    <phoneticPr fontId="143" type="noConversion"/>
  </si>
  <si>
    <t>面积</t>
    <phoneticPr fontId="143" type="noConversion"/>
  </si>
  <si>
    <t>总计</t>
  </si>
  <si>
    <t>别墅明细</t>
    <phoneticPr fontId="143" type="noConversion"/>
  </si>
  <si>
    <t>8号别墅</t>
    <phoneticPr fontId="3" type="noConversion"/>
  </si>
  <si>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</si>
  <si>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</si>
  <si>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</si>
  <si>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</si>
  <si>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</si>
  <si>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</si>
  <si>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</si>
  <si>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合计</t>
    <phoneticPr fontId="143" type="noConversion"/>
  </si>
  <si>
    <t>合计</t>
    <phoneticPr fontId="14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</si>
  <si>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</si>
  <si>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</si>
  <si>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</si>
  <si>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</si>
  <si>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</si>
  <si>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</si>
  <si>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</si>
  <si>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</si>
  <si>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</si>
  <si>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</si>
  <si>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</si>
  <si>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</si>
  <si>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</si>
  <si>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</si>
  <si>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</si>
  <si>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</si>
  <si>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</si>
  <si>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</si>
  <si>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</si>
  <si>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</si>
  <si>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</si>
  <si>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</si>
  <si>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</si>
  <si>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</si>
  <si>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</si>
  <si>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</si>
  <si>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</si>
  <si>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</si>
  <si>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</si>
  <si>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</si>
  <si>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</si>
  <si>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</si>
  <si>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</si>
  <si>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</si>
  <si>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</si>
  <si>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</si>
  <si>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</si>
  <si>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</si>
  <si>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</si>
  <si>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</si>
  <si>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</si>
  <si>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</si>
  <si>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</si>
  <si>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</si>
  <si>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</si>
  <si>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</si>
  <si>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</si>
  <si>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</si>
  <si>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</si>
  <si>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</si>
  <si>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</si>
  <si>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</si>
  <si>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</si>
  <si>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</si>
  <si>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</si>
  <si>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</si>
  <si>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</si>
  <si>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</si>
  <si>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</si>
  <si>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</si>
  <si>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</si>
  <si>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</si>
  <si>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</si>
  <si>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</si>
  <si>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</si>
  <si>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</si>
  <si>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</si>
  <si>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</si>
  <si>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</si>
  <si>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</si>
  <si>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</si>
  <si>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</si>
  <si>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</si>
  <si>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</si>
  <si>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</si>
  <si>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</si>
  <si>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</si>
  <si>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</si>
  <si>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</si>
  <si>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</si>
  <si>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</si>
  <si>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</si>
  <si>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</si>
  <si>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</si>
  <si>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</si>
  <si>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</si>
  <si>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</si>
  <si>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</si>
  <si>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</si>
  <si>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</si>
  <si>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</si>
  <si>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</si>
  <si>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</si>
  <si>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</si>
  <si>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</si>
  <si>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</si>
  <si>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</si>
  <si>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</si>
  <si>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</si>
  <si>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</si>
  <si>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</si>
  <si>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</si>
  <si>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</si>
  <si>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</si>
  <si>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</si>
  <si>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</si>
  <si>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</si>
  <si>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</si>
  <si>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</si>
  <si>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</si>
  <si>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</si>
  <si>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</si>
  <si>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</si>
  <si>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</si>
  <si>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</si>
  <si>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</si>
  <si>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</si>
  <si>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</si>
  <si>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</si>
  <si>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</si>
  <si>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</si>
  <si>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</si>
  <si>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</si>
  <si>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</si>
  <si>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</si>
  <si>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</si>
  <si>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</si>
  <si>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</si>
  <si>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</si>
  <si>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</si>
  <si>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</si>
  <si>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</si>
  <si>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</si>
  <si>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</si>
  <si>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</si>
  <si>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</si>
  <si>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</si>
  <si>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</si>
  <si>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</si>
  <si>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</si>
  <si>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</si>
  <si>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</si>
  <si>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</si>
  <si>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</si>
  <si>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</si>
  <si>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</si>
  <si>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</si>
  <si>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</si>
  <si>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</si>
  <si>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</si>
  <si>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</si>
  <si>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</si>
  <si>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</si>
  <si>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</si>
  <si>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</si>
  <si>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</si>
  <si>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</si>
  <si>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</si>
  <si>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</si>
  <si>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</si>
  <si>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</si>
  <si>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</si>
  <si>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</si>
  <si>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</si>
  <si>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</si>
  <si>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</si>
  <si>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</si>
  <si>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</si>
  <si>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</si>
  <si>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</si>
  <si>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</si>
  <si>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</si>
  <si>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</si>
  <si>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</si>
  <si>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</si>
  <si>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</si>
  <si>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</si>
  <si>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</si>
  <si>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</si>
  <si>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</si>
  <si>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</si>
  <si>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</si>
  <si>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</si>
  <si>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</si>
  <si>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</si>
  <si>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</si>
  <si>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</si>
  <si>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</si>
  <si>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</si>
  <si>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</si>
  <si>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</si>
  <si>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</si>
  <si>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</si>
  <si>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</si>
  <si>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</si>
  <si>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</si>
  <si>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</si>
  <si>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一期商业</t>
    <phoneticPr fontId="143" type="noConversion"/>
  </si>
  <si>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</si>
  <si>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</si>
  <si>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</si>
  <si>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</si>
  <si>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</si>
  <si>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</si>
  <si>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</si>
  <si>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</si>
  <si>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</si>
  <si>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</si>
  <si>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</si>
  <si>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</si>
  <si>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</si>
  <si>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</si>
  <si>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</si>
  <si>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</si>
  <si>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</si>
  <si>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</si>
  <si>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</si>
  <si>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</si>
  <si>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</si>
  <si>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</si>
  <si>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</si>
  <si>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</si>
  <si>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</si>
  <si>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</si>
  <si>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</si>
  <si>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</si>
  <si>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</si>
  <si>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</si>
  <si>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</si>
  <si>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</si>
  <si>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</si>
  <si>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</si>
  <si>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</si>
  <si>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</si>
  <si>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</si>
  <si>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</si>
  <si>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</si>
  <si>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</si>
  <si>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</si>
  <si>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</si>
  <si>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</si>
  <si>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</si>
  <si>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</si>
  <si>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</si>
  <si>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</si>
  <si>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</si>
  <si>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</si>
  <si>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</si>
  <si>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</si>
  <si>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</si>
  <si>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</si>
  <si>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</si>
  <si>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</si>
  <si>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</si>
  <si>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</si>
  <si>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</si>
  <si>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</si>
  <si>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</si>
  <si>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</si>
  <si>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</si>
  <si>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</si>
  <si>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</si>
  <si>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</si>
  <si>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</si>
  <si>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</si>
  <si>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</si>
  <si>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</si>
  <si>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</si>
  <si>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</si>
  <si>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</si>
  <si>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</si>
  <si>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</si>
  <si>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</si>
  <si>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</si>
  <si>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</si>
  <si>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</si>
  <si>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</si>
  <si>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</si>
  <si>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</si>
  <si>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</si>
  <si>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</si>
  <si>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</si>
  <si>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</si>
  <si>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</si>
  <si>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</si>
  <si>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</si>
  <si>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</si>
  <si>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</si>
  <si>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假设开发法</t>
  </si>
  <si>
    <t>土地比较法-住宅、综合</t>
  </si>
  <si>
    <r>
      <t>2.</t>
    </r>
    <r>
      <rPr>
        <sz val="10"/>
        <color indexed="8"/>
        <rFont val="宋体"/>
        <family val="3"/>
        <charset val="134"/>
      </rPr>
      <t>车库、仓储未区分地上地下（未计算土地价款）</t>
    </r>
    <phoneticPr fontId="8" type="noConversion"/>
  </si>
  <si>
    <t>一期总计</t>
    <phoneticPr fontId="143" type="noConversion"/>
  </si>
  <si>
    <t>大祥·金庭公馆</t>
    <phoneticPr fontId="3" type="noConversion"/>
  </si>
  <si>
    <t>土地（套用方法）</t>
  </si>
  <si>
    <t>自定义</t>
  </si>
  <si>
    <t>初审意见：</t>
    <phoneticPr fontId="8" type="noConversion"/>
  </si>
  <si>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8" type="noConversion"/>
  </si>
  <si>
    <r>
      <t>3.</t>
    </r>
    <r>
      <rPr>
        <sz val="10"/>
        <color indexed="8"/>
        <rFont val="宋体"/>
        <family val="3"/>
        <charset val="134"/>
      </rPr>
      <t>二期二标段面积依据不足（仅设计图。建议总值</t>
    </r>
    <r>
      <rPr>
        <sz val="10"/>
        <color indexed="8"/>
        <rFont val="Arial"/>
        <family val="2"/>
      </rPr>
      <t>-</t>
    </r>
    <r>
      <rPr>
        <sz val="10"/>
        <color indexed="8"/>
        <rFont val="宋体"/>
        <family val="3"/>
        <charset val="134"/>
      </rPr>
      <t>一标段规证所载数值（与施工证、预测绘差异大））</t>
    </r>
    <phoneticPr fontId="8" type="noConversion"/>
  </si>
  <si>
    <r>
      <t>6.</t>
    </r>
    <r>
      <rPr>
        <sz val="10"/>
        <color indexed="8"/>
        <rFont val="宋体"/>
        <family val="3"/>
        <charset val="134"/>
      </rPr>
      <t>未见地价款、城建费缴纳票据</t>
    </r>
    <phoneticPr fontId="8" type="noConversion"/>
  </si>
  <si>
    <r>
      <t>5.</t>
    </r>
    <r>
      <rPr>
        <sz val="10"/>
        <color indexed="8"/>
        <rFont val="宋体"/>
        <family val="3"/>
        <charset val="134"/>
      </rPr>
      <t>土地比较法案例差异修正不足；开发完成后未修正容积率、居住成熟度区分度不足</t>
    </r>
    <phoneticPr fontId="8" type="noConversion"/>
  </si>
  <si>
    <r>
      <t>4.</t>
    </r>
    <r>
      <rPr>
        <sz val="10"/>
        <color indexed="8"/>
        <rFont val="宋体"/>
        <family val="3"/>
        <charset val="134"/>
      </rPr>
      <t>地上车库及仓储确定有收益？确定不是赠送？架空层转为仓储？</t>
    </r>
    <phoneticPr fontId="8" type="noConversion"/>
  </si>
  <si>
    <t>秦皇水岸</t>
    <phoneticPr fontId="3" type="noConversion"/>
  </si>
  <si>
    <t>不抵押洋房</t>
    <phoneticPr fontId="143" type="noConversion"/>
  </si>
  <si>
    <t>二期一标段不抵押洋房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</si>
</sst>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xf numFmtId="9" fontId="264" fillId="0" borderId="0" applyFont="0" applyFill="0" applyBorder="0" applyAlignment="0" applyProtection="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81"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left" vertical="center"/>
      <protection locked="0"/>
    </xf>
    <xf numFmtId="9" fontId="114" fillId="0" borderId="0" xfId="14" applyFont="1">
      <alignment vertical="center"/>
    </xf>
    <xf numFmtId="0" fontId="47" fillId="9" borderId="23"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0" fontId="0" fillId="8" borderId="0" xfId="0" applyFill="1">
      <alignment vertical="center"/>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0" fontId="47" fillId="8" borderId="23" xfId="0" applyFont="1" applyFill="1" applyBorder="1" applyAlignment="1" applyProtection="1">
      <alignment vertical="center"/>
      <protection locked="0"/>
    </xf>
    <xf numFmtId="0" fontId="47" fillId="8" borderId="4" xfId="0" applyFont="1" applyFill="1" applyBorder="1" applyAlignment="1" applyProtection="1">
      <alignment horizontal="center" vertical="center" wrapText="1"/>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83" fillId="7" borderId="4" xfId="0" applyFont="1" applyFill="1" applyBorder="1" applyAlignment="1" applyProtection="1">
      <alignment horizontal="left" vertical="center" wrapText="1"/>
      <protection locked="0"/>
    </xf>
    <xf numFmtId="0" fontId="47" fillId="8" borderId="29" xfId="0" applyFont="1" applyFill="1" applyBorder="1" applyAlignment="1" applyProtection="1">
      <alignment horizontal="center" vertical="center" wrapText="1"/>
    </xf>
    <xf numFmtId="0" fontId="54" fillId="9" borderId="41"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47" fillId="9" borderId="24" xfId="1" applyNumberFormat="1"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0" xfId="0" applyFont="1" applyAlignment="1">
      <alignment horizontal="center" vertical="center"/>
    </xf>
    <xf numFmtId="0" fontId="262" fillId="0" borderId="81" xfId="0" applyFont="1" applyBorder="1" applyAlignment="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4535;&#32753;/1-&#27491;&#24335;&#24037;&#20316;&#25991;&#20214;/2018/&#38134;&#34892;&#32452;/A/2018-1-0302-P01DYGJ2&#23665;&#19996;&#30465;&#28392;&#24030;&#24066;&#30427;&#21326;&#36335;588&#21495;&#26032;&#28246;&#29611;&#29808;&#22253;8&#21495;&#27004;101&#31561;10&#24162;&#20303;&#23429;&#29992;&#25151;&#25151;&#22320;&#20135;&#12289;1&#21495;&#27004;102&#31561;4&#24162;&#21830;&#19994;&#29992;&#25151;&#25151;&#22320;&#20135;&#12289;&#28196;&#28023;&#21313;&#19968;&#36335;&#20197;&#19996;&#12289;&#30427;&#21326;&#36335;&#20197;&#21335;&#20108;&#26399;&#19968;&#26631;&#27573;&#20998;&#25674;&#20986;&#35753;&#22269;&#26377;&#24314;&#35774;&#29992;&#22320;&#20351;&#29992;&#26435;&#21450;&#22312;&#24314;&#24314;&#31569;&#29289;&#25151;&#22320;&#20135;&#21450;&#20108;&#26399;&#20108;&#26631;&#27573;&#20998;&#25674;&#20986;&#35753;&#22269;&#26377;&#24314;&#35774;&#29992;&#22320;&#20351;&#29992;&#26435;&#25269;&#25276;&#20215;&#20540;&#39044;&#35780;&#20272;/P02/&#26368;&#32456;/&#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830;&#19994;&#20108;&#2345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035;&#22661;&#20108;&#23457;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6">
          <cell r="AN16">
            <v>10360.009999999987</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G11">
            <v>2.4</v>
          </cell>
          <cell r="I11">
            <v>2.19</v>
          </cell>
          <cell r="K11">
            <v>2</v>
          </cell>
        </row>
        <row r="47">
          <cell r="E47">
            <v>8200</v>
          </cell>
          <cell r="G47">
            <v>8000</v>
          </cell>
          <cell r="I47">
            <v>7950</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row r="11">
          <cell r="I11">
            <v>457.04</v>
          </cell>
        </row>
        <row r="12">
          <cell r="I12">
            <v>50</v>
          </cell>
        </row>
        <row r="13">
          <cell r="I13">
            <v>9125.51</v>
          </cell>
        </row>
        <row r="14">
          <cell r="I14">
            <v>5366.96</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5">
          <cell r="E15">
            <v>38.42</v>
          </cell>
        </row>
        <row r="20">
          <cell r="E20">
            <v>2636.1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2492</v>
          </cell>
        </row>
        <row r="22">
          <cell r="B22">
            <v>3361.5600000000004</v>
          </cell>
        </row>
      </sheetData>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4">
          <cell r="E14">
            <v>2626.29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row r="22">
          <cell r="B22">
            <v>3614.68</v>
          </cell>
        </row>
      </sheetData>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66075.62999999999</v>
          </cell>
          <cell r="C14">
            <v>52570.98</v>
          </cell>
          <cell r="D14">
            <v>12733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山东省滨州市盛华路588号房地产抵押价值预评估</v>
      </c>
    </row>
    <row r="3" spans="1:2" s="1587" customFormat="1">
      <c r="A3" s="1585" t="s">
        <v>1221</v>
      </c>
      <c r="B3" s="1586" t="str">
        <f>'预评函-封皮'!B40</f>
        <v>滨州新湖房地产开发有限公司</v>
      </c>
    </row>
    <row r="4" spans="1:2" s="1587" customFormat="1">
      <c r="A4" s="1585" t="s">
        <v>1222</v>
      </c>
      <c r="B4" s="1586" t="str">
        <f ca="1">'预评函-封皮'!B46</f>
        <v>刘梅（注册号：1120140022)、吴薇（注册号：1419970001)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受贵公司委托，我公司对山东省滨州市盛华路588号房地产抵押价值进行了预评估。</v>
      </c>
    </row>
    <row r="7" spans="1:2" s="1587" customFormat="1">
      <c r="A7" s="1585" t="s">
        <v>1264</v>
      </c>
      <c r="B7" s="1586" t="str">
        <f>'预评函-1'!A7</f>
        <v>估价对象为山东省滨州市盛华路588号房地产，为所有。根据，估价对象（分摊）出让国有建设用地使用权面积为51051.35平方米。根据，估价对象建筑面积为64165.63平方米。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山东省滨州市盛华路588号房地产,为开发建设的居住项目，该项目尚在开发建设中。根据，估价对象（分摊）出让国有建设用地使用权面积为51051.35平方米。根据，估价对象规划建筑面积为64165.63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为估价委托人在向华澳信托办理贷款手续过程中，确定房地产抵押贷款额度提供参考依据而评估房地产抵押价值。</v>
      </c>
    </row>
    <row r="12" spans="1:2" s="1587" customFormat="1">
      <c r="A12" s="1585" t="s">
        <v>1226</v>
      </c>
      <c r="B12" s="1586" t="str">
        <f>'预评函-1'!A15</f>
        <v>2018年4月17日（评估专业人员实地查勘之日）</v>
      </c>
    </row>
    <row r="13" spans="1:2" s="1587" customFormat="1">
      <c r="A13" s="1585" t="s">
        <v>1227</v>
      </c>
      <c r="B13" s="1586"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7" customFormat="1">
      <c r="A14" s="1585" t="s">
        <v>1228</v>
      </c>
      <c r="B14" s="1586"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本次评估采用的主估价方法为比较法和假设开发法。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13233</v>
      </c>
    </row>
    <row r="21" spans="1:2" s="1587" customFormat="1">
      <c r="A21" s="1585" t="s">
        <v>1235</v>
      </c>
      <c r="B21" s="1586">
        <f ca="1">'预评函-2'!D7</f>
        <v>2062</v>
      </c>
    </row>
    <row r="22" spans="1:2" s="1587" customFormat="1">
      <c r="A22" s="1585" t="s">
        <v>1236</v>
      </c>
      <c r="B22" s="1586" t="str">
        <f ca="1">'预评函-2'!D6</f>
        <v>壹亿叁仟贰佰叁拾叁万元整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13233</v>
      </c>
    </row>
    <row r="31" spans="1:2" s="1587" customFormat="1">
      <c r="A31" s="1585" t="s">
        <v>1274</v>
      </c>
      <c r="B31" s="1586">
        <f ca="1">'预评函-2'!D15</f>
        <v>2062</v>
      </c>
    </row>
    <row r="32" spans="1:2" s="1587" customFormat="1">
      <c r="A32" s="1585" t="s">
        <v>1241</v>
      </c>
      <c r="B32" s="1586" t="str">
        <f ca="1">'预评函-2'!D14</f>
        <v>壹亿叁仟贰佰叁拾叁万元整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山东省滨州市盛华路588号房地产</v>
      </c>
    </row>
    <row r="42" spans="1:2" s="1587" customFormat="1">
      <c r="A42" s="1585" t="s">
        <v>1288</v>
      </c>
      <c r="B42" s="1586" t="str">
        <f>'预评函-3'!B2</f>
        <v>建筑面积</v>
      </c>
    </row>
    <row r="43" spans="1:2" s="1587" customFormat="1">
      <c r="A43" s="1585" t="s">
        <v>1289</v>
      </c>
      <c r="B43" s="1586">
        <f>'预评函-3'!B4</f>
        <v>64165.63</v>
      </c>
    </row>
    <row r="44" spans="1:2" s="1587" customFormat="1">
      <c r="A44" s="1585" t="s">
        <v>1273</v>
      </c>
      <c r="B44" s="1586" t="str">
        <f>'预评函-3'!C2</f>
        <v>(分摊)土地面积</v>
      </c>
    </row>
    <row r="45" spans="1:2" s="1587" customFormat="1">
      <c r="A45" s="1585" t="s">
        <v>1245</v>
      </c>
      <c r="B45" s="1586">
        <f>'预评函-3'!C4</f>
        <v>51051.35</v>
      </c>
    </row>
    <row r="46" spans="1:2" s="1587" customFormat="1">
      <c r="A46" s="1585" t="s">
        <v>1271</v>
      </c>
      <c r="B46" s="1586" t="str">
        <f>'预评函-3'!D2</f>
        <v>出让国有建设用地使用权价值</v>
      </c>
    </row>
    <row r="47" spans="1:2" s="1587" customFormat="1">
      <c r="A47" s="1585" t="s">
        <v>1246</v>
      </c>
      <c r="B47" s="1586">
        <f ca="1">'预评函-3'!D4</f>
        <v>5783</v>
      </c>
    </row>
    <row r="48" spans="1:2" s="1587" customFormat="1">
      <c r="A48" s="1585" t="s">
        <v>1247</v>
      </c>
      <c r="B48" s="1586">
        <f ca="1">'预评函-3'!E4</f>
        <v>901</v>
      </c>
    </row>
    <row r="49" spans="1:2" s="1587" customFormat="1">
      <c r="A49" s="1585" t="s">
        <v>1248</v>
      </c>
      <c r="B49" s="1586" t="str">
        <f ca="1">'预评函-3'!D5</f>
        <v>伍仟柒佰捌拾叁万元整</v>
      </c>
    </row>
    <row r="50" spans="1:2" s="1587" customFormat="1">
      <c r="A50" s="1585" t="s">
        <v>1272</v>
      </c>
      <c r="B50" s="1586" t="str">
        <f>'预评函-3'!F2</f>
        <v>建筑物价值</v>
      </c>
    </row>
    <row r="51" spans="1:2" s="1587" customFormat="1">
      <c r="A51" s="1585" t="s">
        <v>1249</v>
      </c>
      <c r="B51" s="1586">
        <f ca="1">'预评函-3'!F4</f>
        <v>7450</v>
      </c>
    </row>
    <row r="52" spans="1:2" s="1587" customFormat="1">
      <c r="A52" s="1585" t="s">
        <v>1250</v>
      </c>
      <c r="B52" s="1586">
        <f ca="1">'预评函-3'!G4</f>
        <v>1161</v>
      </c>
    </row>
    <row r="53" spans="1:2" s="1587" customFormat="1">
      <c r="A53" s="1585" t="s">
        <v>1278</v>
      </c>
      <c r="B53" s="1586" t="str">
        <f ca="1">'预评函-3'!F5</f>
        <v>柒仟肆佰伍拾万元整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（1）根据估价对象《房屋所有权证》原件、《国有土地使用权》原件，截至价值时点，估价对象抵押权未见登记。</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v>
      </c>
    </row>
    <row r="67" spans="1:2" s="1587" customFormat="1">
      <c r="A67" s="1585" t="s">
        <v>1269</v>
      </c>
      <c r="B67" s="1586" t="str">
        <f>'预评函-4'!A21</f>
        <v>——</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刘梅</v>
      </c>
    </row>
    <row r="71" spans="1:2">
      <c r="A71" s="1585" t="s">
        <v>1261</v>
      </c>
      <c r="B71" s="1586">
        <f ca="1">'预评函-4'!B4</f>
        <v>1120140022</v>
      </c>
    </row>
    <row r="72" spans="1:2">
      <c r="A72" s="1585" t="s">
        <v>1262</v>
      </c>
      <c r="B72" s="1594" t="str">
        <f>'预评函-4'!A5</f>
        <v>吴薇</v>
      </c>
    </row>
    <row r="73" spans="1:2" s="1581" customFormat="1" ht="15" thickBot="1">
      <c r="A73" s="1588" t="s">
        <v>1263</v>
      </c>
      <c r="B73" s="1589">
        <f ca="1">'预评函-4'!B5</f>
        <v>1419970001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11" t="s">
        <v>3522</v>
      </c>
      <c r="C5" s="2009" t="s">
        <v>763</v>
      </c>
      <c r="F5" s="2010" t="s">
        <v>1732</v>
      </c>
      <c r="H5" s="2010" t="s">
        <v>1733</v>
      </c>
      <c r="I5" s="2010" t="s">
        <v>1734</v>
      </c>
      <c r="K5" s="2010" t="s">
        <v>1735</v>
      </c>
      <c r="L5" s="2010" t="s">
        <v>1735</v>
      </c>
      <c r="M5" s="2010" t="s">
        <v>1735</v>
      </c>
      <c r="N5" s="2010" t="s">
        <v>1735</v>
      </c>
      <c r="O5" s="2010" t="s">
        <v>1735</v>
      </c>
      <c r="P5" s="2010" t="s">
        <v>1735</v>
      </c>
      <c r="Q5" s="2010" t="s">
        <v>1735</v>
      </c>
      <c r="R5" s="2010" t="s">
        <v>1142</v>
      </c>
      <c r="S5" s="2010" t="s">
        <v>1735</v>
      </c>
      <c r="T5" s="2010" t="s">
        <v>1736</v>
      </c>
      <c r="U5" s="2010" t="s">
        <v>1735</v>
      </c>
      <c r="W5" s="2010" t="s">
        <v>1735</v>
      </c>
    </row>
    <row r="6" spans="1:23">
      <c r="A6" s="2008" t="s">
        <v>1737</v>
      </c>
      <c r="B6" s="2011" t="s">
        <v>1146</v>
      </c>
      <c r="C6" s="2014" t="s">
        <v>30</v>
      </c>
      <c r="F6" s="2010" t="s">
        <v>1733</v>
      </c>
      <c r="H6" s="2010" t="s">
        <v>1738</v>
      </c>
      <c r="I6" s="2010" t="s">
        <v>1739</v>
      </c>
      <c r="K6" s="2010" t="s">
        <v>1740</v>
      </c>
      <c r="L6" s="2010" t="s">
        <v>1740</v>
      </c>
      <c r="M6" s="2010" t="s">
        <v>1740</v>
      </c>
      <c r="N6" s="2010" t="s">
        <v>1740</v>
      </c>
      <c r="O6" s="2010" t="s">
        <v>1740</v>
      </c>
      <c r="P6" s="2010" t="s">
        <v>1740</v>
      </c>
      <c r="Q6" s="2010" t="s">
        <v>1740</v>
      </c>
      <c r="R6" s="2010" t="s">
        <v>1143</v>
      </c>
      <c r="S6" s="2010" t="s">
        <v>1740</v>
      </c>
      <c r="T6" s="2010"/>
      <c r="U6" s="2010" t="s">
        <v>1740</v>
      </c>
      <c r="W6" s="2010" t="s">
        <v>1740</v>
      </c>
    </row>
    <row r="7" spans="1:23">
      <c r="A7" s="2008" t="s">
        <v>1741</v>
      </c>
      <c r="B7" s="2011" t="s">
        <v>1147</v>
      </c>
      <c r="C7" s="2009" t="s">
        <v>31</v>
      </c>
      <c r="F7" s="2010" t="s">
        <v>1742</v>
      </c>
      <c r="H7" s="2010" t="s">
        <v>1743</v>
      </c>
      <c r="I7" s="2010" t="s">
        <v>1744</v>
      </c>
    </row>
    <row r="8" spans="1:23">
      <c r="A8" s="2008" t="s">
        <v>1745</v>
      </c>
      <c r="B8" s="2008" t="s">
        <v>1746</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3121</v>
      </c>
      <c r="C17" s="2009"/>
    </row>
    <row r="18" spans="1:3">
      <c r="A18" s="2008" t="s">
        <v>1766</v>
      </c>
      <c r="B18" s="2008" t="s">
        <v>3124</v>
      </c>
      <c r="C18" s="2009"/>
    </row>
    <row r="19" spans="1:3">
      <c r="A19" s="2008" t="s">
        <v>1767</v>
      </c>
      <c r="B19" s="2008" t="s">
        <v>3533</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盛华路588号房地产作为抵押担保物，向华澳信托办理贷款手续。华澳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116"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6"/>
      <c r="B54" s="2016" t="s">
        <v>864</v>
      </c>
      <c r="C54" s="2013" t="s">
        <v>1281</v>
      </c>
    </row>
    <row r="55" spans="1:4">
      <c r="A55" s="3116"/>
      <c r="B55" s="2016" t="s">
        <v>865</v>
      </c>
      <c r="C55" s="2013" t="s">
        <v>1282</v>
      </c>
    </row>
    <row r="56" spans="1:4">
      <c r="A56" s="3116"/>
      <c r="B56" s="2016" t="s">
        <v>866</v>
      </c>
      <c r="C56" s="2013" t="s">
        <v>1286</v>
      </c>
    </row>
    <row r="57" spans="1:4">
      <c r="A57" s="3116"/>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8.875" style="2147" customWidth="1"/>
    <col min="10" max="10" width="10" style="2026" customWidth="1"/>
    <col min="11" max="11" width="10" style="2148" customWidth="1"/>
    <col min="12" max="13" width="10" style="2149" customWidth="1"/>
    <col min="14" max="14" width="10" style="2026" customWidth="1"/>
    <col min="15" max="15" width="10" style="2147" customWidth="1"/>
    <col min="16" max="17" width="10" style="2026"/>
    <col min="18" max="18" width="10" style="2026" customWidth="1"/>
    <col min="19" max="16384" width="10" style="2026"/>
  </cols>
  <sheetData>
    <row r="1" spans="1:19" ht="38.25" customHeight="1" thickBot="1">
      <c r="A1" s="2019" t="s">
        <v>1775</v>
      </c>
      <c r="B1" s="3125" t="str">
        <f>IF(B10="北京市","北京市",C10)&amp;F10&amp;IF(结果表!G1="在建","出让国有建设用地使用权及在建建筑物",IF(结果表!G1="土地","出让国有建设用地使用权",))&amp;B9&amp;"预评估"</f>
        <v>山东省滨州市盛华路588号房地产抵押价值预评估</v>
      </c>
      <c r="C1" s="3126"/>
      <c r="D1" s="3126"/>
      <c r="E1" s="3126"/>
      <c r="F1" s="3126"/>
      <c r="G1" s="3126"/>
      <c r="H1" s="3126"/>
      <c r="I1" s="312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山东省滨州市盛华路588号房地产抵押价值</v>
      </c>
    </row>
    <row r="2" spans="1:19" ht="18" customHeight="1">
      <c r="A2" s="2020" t="s">
        <v>1776</v>
      </c>
      <c r="B2" s="1036"/>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山东省滨州市盛华路588号房地产</v>
      </c>
    </row>
    <row r="3" spans="1:19" ht="18" customHeight="1">
      <c r="A3" s="2029" t="s">
        <v>1777</v>
      </c>
      <c r="B3" s="2030">
        <v>43207</v>
      </c>
      <c r="C3" s="2031" t="s">
        <v>1778</v>
      </c>
      <c r="D3" s="2030">
        <v>43207</v>
      </c>
      <c r="E3" s="2020"/>
      <c r="F3" s="2020"/>
      <c r="G3" s="2020"/>
      <c r="H3" s="2020"/>
      <c r="I3" s="2020"/>
      <c r="J3" s="2020"/>
      <c r="K3" s="2021"/>
      <c r="L3" s="2022"/>
      <c r="M3" s="2022"/>
      <c r="N3" s="2023"/>
      <c r="O3" s="2024"/>
      <c r="P3" s="2023"/>
      <c r="Q3" s="2023"/>
      <c r="R3" s="2023"/>
      <c r="S3" s="2025"/>
    </row>
    <row r="4" spans="1:19" ht="18" customHeight="1" thickBot="1">
      <c r="A4" s="2032" t="s">
        <v>1779</v>
      </c>
      <c r="B4" s="2033" t="s">
        <v>3149</v>
      </c>
      <c r="C4" s="1034">
        <f ca="1">SUMIF(注册房地产估价师,B4,估价师及机构信息!B3:B24)</f>
        <v>1120140022</v>
      </c>
      <c r="D4" s="2033" t="s">
        <v>3150</v>
      </c>
      <c r="E4" s="1035">
        <f ca="1">SUMIF(注册房地产估价师,D4,估价师及机构信息!B3:B24)</f>
        <v>1419970001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刘梅（注册号：1120140022)、吴薇（注册号：1419970001)</v>
      </c>
      <c r="L4" s="2022"/>
      <c r="M4" s="2022"/>
      <c r="N4" s="2023"/>
      <c r="O4" s="2024"/>
      <c r="P4" s="2023"/>
      <c r="Q4" s="2023"/>
      <c r="R4" s="2023"/>
      <c r="S4" s="2025"/>
    </row>
    <row r="5" spans="1:19" ht="18" customHeight="1" thickTop="1">
      <c r="A5" s="2038" t="s">
        <v>1780</v>
      </c>
      <c r="B5" s="3011" t="s">
        <v>3152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1781</v>
      </c>
      <c r="B6" s="3012" t="s">
        <v>3154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1782</v>
      </c>
      <c r="B7" s="3012" t="s">
        <v>3153</v>
      </c>
      <c r="C7" s="2042"/>
      <c r="D7" s="2043"/>
      <c r="E7" s="2028"/>
      <c r="F7" s="2036"/>
      <c r="G7" s="2036"/>
      <c r="H7" s="2036"/>
      <c r="I7" s="2036"/>
      <c r="J7" s="2036"/>
      <c r="K7" s="2045"/>
      <c r="L7" s="2022"/>
      <c r="M7" s="2022"/>
      <c r="N7" s="2023"/>
      <c r="O7" s="2024"/>
      <c r="P7" s="2023"/>
      <c r="Q7" s="2023"/>
      <c r="R7" s="2023"/>
    </row>
    <row r="8" spans="1:19" ht="18" customHeight="1">
      <c r="A8" s="2041" t="s">
        <v>1783</v>
      </c>
      <c r="B8" s="2046" t="s">
        <v>3026</v>
      </c>
      <c r="C8" s="2047"/>
      <c r="D8" s="3128" t="s">
        <v>1784</v>
      </c>
      <c r="E8" s="2048" t="s">
        <v>3027</v>
      </c>
      <c r="F8" s="2049"/>
      <c r="G8" s="2020"/>
      <c r="H8" s="2020"/>
      <c r="I8" s="2020"/>
      <c r="J8" s="2036"/>
      <c r="K8" s="2037"/>
      <c r="L8" s="2022"/>
      <c r="M8" s="2022"/>
      <c r="N8" s="2023"/>
      <c r="O8" s="2024"/>
      <c r="P8" s="2023"/>
      <c r="Q8" s="2023"/>
      <c r="R8" s="2023"/>
    </row>
    <row r="9" spans="1:19" ht="18" customHeight="1" thickBot="1">
      <c r="A9" s="2034" t="s">
        <v>1785</v>
      </c>
      <c r="B9" s="2050" t="s">
        <v>3027</v>
      </c>
      <c r="C9" s="2051"/>
      <c r="D9" s="3129"/>
      <c r="E9" s="2050"/>
      <c r="F9" s="2052"/>
      <c r="G9" s="2053"/>
      <c r="H9" s="2053"/>
      <c r="I9" s="2053"/>
      <c r="J9" s="2036"/>
      <c r="K9" s="2045"/>
      <c r="L9" s="2022"/>
      <c r="M9" s="2022"/>
      <c r="N9" s="2023"/>
      <c r="O9" s="2024"/>
      <c r="P9" s="2023"/>
      <c r="Q9" s="2023"/>
      <c r="R9" s="2023"/>
    </row>
    <row r="10" spans="1:19" ht="18" customHeight="1" thickTop="1">
      <c r="A10" s="2054" t="s">
        <v>1786</v>
      </c>
      <c r="B10" s="2055" t="s">
        <v>3155</v>
      </c>
      <c r="C10" s="3013" t="s">
        <v>3156</v>
      </c>
      <c r="D10" s="2040"/>
      <c r="E10" s="2056" t="s">
        <v>1787</v>
      </c>
      <c r="F10" s="3010" t="s">
        <v>3157</v>
      </c>
      <c r="G10" s="2057"/>
      <c r="H10" s="2058"/>
      <c r="I10" s="2040"/>
      <c r="J10" s="2036"/>
      <c r="K10" s="2045"/>
      <c r="L10" s="2022"/>
      <c r="M10" s="2022"/>
      <c r="N10" s="2023"/>
      <c r="O10" s="2024"/>
      <c r="P10" s="2023"/>
      <c r="Q10" s="2023"/>
      <c r="R10" s="2023"/>
    </row>
    <row r="11" spans="1:19" ht="18" customHeight="1">
      <c r="A11" s="2059" t="s">
        <v>1788</v>
      </c>
      <c r="B11" s="2060" t="s">
        <v>3028</v>
      </c>
      <c r="C11" s="2061"/>
      <c r="D11" s="2062"/>
      <c r="E11" s="2036"/>
      <c r="F11" s="2036"/>
      <c r="G11" s="2036"/>
      <c r="H11" s="2036"/>
      <c r="I11" s="2036"/>
      <c r="J11" s="2036"/>
      <c r="K11" s="2045"/>
      <c r="L11" s="2022"/>
      <c r="M11" s="2022"/>
      <c r="N11" s="2023"/>
      <c r="O11" s="2024"/>
      <c r="P11" s="2023"/>
      <c r="Q11" s="2023"/>
      <c r="R11" s="2023"/>
    </row>
    <row r="12" spans="1:19" ht="18" customHeight="1">
      <c r="A12" s="2063" t="s">
        <v>1789</v>
      </c>
      <c r="B12" s="2060" t="s">
        <v>3029</v>
      </c>
      <c r="C12" s="2064" t="s">
        <v>1790</v>
      </c>
      <c r="D12" s="2065" t="s">
        <v>1791</v>
      </c>
      <c r="E12" s="2065" t="s">
        <v>1792</v>
      </c>
      <c r="F12" s="2065" t="s">
        <v>1793</v>
      </c>
      <c r="G12" s="2065" t="s">
        <v>1794</v>
      </c>
      <c r="H12" s="2065" t="s">
        <v>1795</v>
      </c>
      <c r="I12" s="2065" t="s">
        <v>1796</v>
      </c>
      <c r="J12" s="2036"/>
      <c r="K12" s="2045"/>
      <c r="L12" s="2022"/>
      <c r="M12" s="2022"/>
      <c r="N12" s="2023"/>
      <c r="O12" s="2024"/>
      <c r="P12" s="2023"/>
      <c r="Q12" s="2023"/>
      <c r="R12" s="2023"/>
    </row>
    <row r="13" spans="1:19" ht="18" customHeight="1">
      <c r="A13" s="2066"/>
      <c r="B13" s="2067"/>
      <c r="C13" s="2068" t="s">
        <v>1797</v>
      </c>
      <c r="D13" s="2069">
        <v>65462</v>
      </c>
      <c r="E13" s="2069">
        <v>54505</v>
      </c>
      <c r="F13" s="2069"/>
      <c r="G13" s="2069">
        <v>58157</v>
      </c>
      <c r="H13" s="2069">
        <v>58157</v>
      </c>
      <c r="I13" s="1044"/>
      <c r="J13" s="2036"/>
      <c r="K13" s="2045"/>
      <c r="L13" s="2022"/>
      <c r="M13" s="2022"/>
      <c r="N13" s="2023"/>
      <c r="O13" s="2024"/>
      <c r="P13" s="2023"/>
      <c r="Q13" s="2023"/>
      <c r="R13" s="2023"/>
    </row>
    <row r="14" spans="1:19" ht="18" customHeight="1">
      <c r="A14" s="2066"/>
      <c r="B14" s="2067"/>
      <c r="C14" s="2068" t="s">
        <v>1798</v>
      </c>
      <c r="D14" s="1047">
        <v>70</v>
      </c>
      <c r="E14" s="1047">
        <v>40</v>
      </c>
      <c r="F14" s="1047"/>
      <c r="G14" s="1047">
        <v>50</v>
      </c>
      <c r="H14" s="1047">
        <v>50</v>
      </c>
      <c r="I14" s="1047"/>
      <c r="J14" s="2036"/>
      <c r="K14" s="2070"/>
      <c r="L14" s="2022"/>
      <c r="M14" s="2022"/>
      <c r="N14" s="2023"/>
      <c r="O14" s="2024"/>
      <c r="P14" s="2023"/>
      <c r="Q14" s="2023"/>
      <c r="R14" s="2023"/>
    </row>
    <row r="15" spans="1:19" ht="18" customHeight="1">
      <c r="A15" s="2054"/>
      <c r="B15" s="2071"/>
      <c r="C15" s="2068" t="s">
        <v>1799</v>
      </c>
      <c r="D15" s="1046">
        <f>IF(B12="出让",IF(D13="","",ROUNDDOWN(MIN((D13-$D$3)/365,D14),2)),D14)</f>
        <v>60.97</v>
      </c>
      <c r="E15" s="1046">
        <f>IF(B12="出让",IF(E13="","",ROUNDDOWN(MIN((E13-$D$3)/365,E14),2)),E14)</f>
        <v>30.95</v>
      </c>
      <c r="F15" s="1046" t="str">
        <f>IF(B12="出让",IF(F13="","",ROUNDDOWN(MIN((F13-$D$3)/365,F14),2)),F14)</f>
        <v/>
      </c>
      <c r="G15" s="1046">
        <f>IF(B12="出让",IF(G13="","",ROUNDDOWN(MIN((G13-$D$3)/365,G14),2)),G14)</f>
        <v>40.950000000000003</v>
      </c>
      <c r="H15" s="1046">
        <f>IF(B12="出让",IF(H13="","",ROUNDDOWN(MIN((H13-$D$3)/365,H14),2)),H14)</f>
        <v>40.950000000000003</v>
      </c>
      <c r="I15" s="1046" t="str">
        <f>IF(B12="出让",IF(I13="","",ROUNDDOWN(MIN((I13-$D$3)/365,I14),2)),I14)</f>
        <v/>
      </c>
      <c r="J15" s="2036"/>
      <c r="K15" s="2072"/>
      <c r="L15" s="2073"/>
      <c r="M15" s="2073"/>
      <c r="N15" s="2074"/>
      <c r="O15" s="2073"/>
      <c r="P15" s="2074"/>
      <c r="Q15" s="2023"/>
      <c r="R15" s="2023"/>
    </row>
    <row r="16" spans="1:19" ht="30.75" customHeight="1">
      <c r="A16" s="2056" t="s">
        <v>1800</v>
      </c>
      <c r="B16" s="3135" t="s">
        <v>3170</v>
      </c>
      <c r="C16" s="3136"/>
      <c r="D16" s="3137"/>
      <c r="E16" s="2075" t="s">
        <v>1801</v>
      </c>
      <c r="F16" s="3138" t="s">
        <v>3171</v>
      </c>
      <c r="G16" s="3139"/>
      <c r="H16" s="3139"/>
      <c r="I16" s="3140"/>
      <c r="J16" s="2023"/>
      <c r="K16" s="2072"/>
      <c r="L16" s="2073"/>
      <c r="M16" s="2073"/>
      <c r="N16" s="2074"/>
      <c r="O16" s="2073"/>
      <c r="P16" s="2074"/>
      <c r="Q16" s="2023"/>
      <c r="R16" s="2023"/>
    </row>
    <row r="17" spans="1:22" ht="18" customHeight="1">
      <c r="A17" s="2076" t="s">
        <v>1802</v>
      </c>
      <c r="B17" s="2029" t="s">
        <v>1803</v>
      </c>
      <c r="C17" s="1051">
        <f>'数据-汇总表'!E3</f>
        <v>64165.63</v>
      </c>
      <c r="D17" s="2077" t="s">
        <v>1804</v>
      </c>
      <c r="E17" s="3141"/>
      <c r="F17" s="3142"/>
      <c r="G17" s="3142"/>
      <c r="H17" s="3142"/>
      <c r="I17" s="3143"/>
      <c r="J17" s="2023"/>
      <c r="K17" s="2078"/>
      <c r="L17" s="2073"/>
      <c r="M17" s="2073"/>
      <c r="N17" s="2074"/>
      <c r="O17" s="2073"/>
      <c r="P17" s="2074"/>
      <c r="Q17" s="2023"/>
      <c r="R17" s="2023"/>
      <c r="S17" s="2023"/>
      <c r="T17" s="2023"/>
      <c r="U17" s="2023"/>
      <c r="V17" s="2023"/>
    </row>
    <row r="18" spans="1:22" ht="36" customHeight="1" thickBot="1">
      <c r="A18" s="2079" t="s">
        <v>70</v>
      </c>
      <c r="B18" s="2032" t="s">
        <v>1805</v>
      </c>
      <c r="C18" s="1439">
        <f>'数据-汇总表'!D3</f>
        <v>51051.35</v>
      </c>
      <c r="D18" s="2080" t="s">
        <v>1804</v>
      </c>
      <c r="E18" s="3144"/>
      <c r="F18" s="3145"/>
      <c r="G18" s="3145"/>
      <c r="H18" s="3145"/>
      <c r="I18" s="3146"/>
      <c r="J18" s="2023"/>
      <c r="K18" s="2078"/>
      <c r="L18" s="2073"/>
      <c r="M18" s="2073"/>
      <c r="N18" s="2074"/>
      <c r="O18" s="2073"/>
      <c r="P18" s="2074"/>
      <c r="Q18" s="2023"/>
      <c r="R18" s="2023"/>
      <c r="S18" s="2023"/>
      <c r="T18" s="2023"/>
      <c r="U18" s="2023"/>
      <c r="V18" s="2023"/>
    </row>
    <row r="19" spans="1:22" ht="37.5" customHeight="1" thickTop="1" thickBot="1">
      <c r="A19" s="371" t="s">
        <v>1806</v>
      </c>
      <c r="B19" s="350" t="s">
        <v>1807</v>
      </c>
      <c r="C19" s="2081" t="s">
        <v>3030</v>
      </c>
      <c r="D19" s="2082" t="s">
        <v>1808</v>
      </c>
      <c r="E19" s="2083" t="s">
        <v>70</v>
      </c>
      <c r="F19" s="2084" t="str">
        <f>IF(AND(C19="是",E19="否"),"是否提供他项权证或相关说明","")</f>
        <v/>
      </c>
      <c r="G19" s="2085"/>
      <c r="H19" s="2036"/>
      <c r="I19" s="2036"/>
      <c r="J19" s="2036"/>
      <c r="K19" s="2045"/>
      <c r="L19" s="2022"/>
      <c r="M19" s="2022"/>
      <c r="N19" s="2074"/>
      <c r="O19" s="2073"/>
      <c r="P19" s="2074"/>
      <c r="Q19" s="2023"/>
      <c r="R19" s="2023"/>
      <c r="S19" s="2023"/>
      <c r="T19" s="2023"/>
      <c r="U19" s="2023"/>
      <c r="V19" s="2023"/>
    </row>
    <row r="20" spans="1:22" ht="18" customHeight="1">
      <c r="A20" s="2086" t="s">
        <v>1809</v>
      </c>
      <c r="B20" s="3131" t="s">
        <v>1810</v>
      </c>
      <c r="C20" s="3132"/>
      <c r="D20" s="3133" t="s">
        <v>1811</v>
      </c>
      <c r="E20" s="3134"/>
      <c r="F20" s="2087" t="s">
        <v>1812</v>
      </c>
      <c r="G20" s="2036"/>
      <c r="H20" s="2036"/>
      <c r="I20" s="2036"/>
      <c r="J20" s="2036"/>
      <c r="K20" s="3130" t="s">
        <v>1813</v>
      </c>
      <c r="L20" s="74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2"/>
      <c r="N20" s="2074"/>
      <c r="O20" s="2073"/>
      <c r="P20" s="2074"/>
      <c r="Q20" s="2023"/>
      <c r="R20" s="2023"/>
      <c r="S20" s="2023"/>
      <c r="T20" s="2023"/>
      <c r="U20" s="2023"/>
      <c r="V20" s="2023"/>
    </row>
    <row r="21" spans="1:22" ht="24.75" customHeight="1">
      <c r="A21" s="2086"/>
      <c r="B21" s="2088" t="s">
        <v>1814</v>
      </c>
      <c r="C21" s="2089" t="s">
        <v>3158</v>
      </c>
      <c r="D21" s="2090" t="s">
        <v>1815</v>
      </c>
      <c r="E21" s="2091" t="s">
        <v>70</v>
      </c>
      <c r="F21" s="2092"/>
      <c r="G21" s="2036"/>
      <c r="H21" s="2036"/>
      <c r="I21" s="2036"/>
      <c r="J21" s="2036"/>
      <c r="K21" s="313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4"/>
      <c r="O21" s="2073"/>
      <c r="P21" s="2074"/>
      <c r="Q21" s="2023"/>
      <c r="R21" s="2023"/>
      <c r="S21" s="2023"/>
      <c r="T21" s="2023"/>
      <c r="U21" s="2023"/>
      <c r="V21" s="2023"/>
    </row>
    <row r="22" spans="1:22" ht="24.75" customHeight="1" thickBot="1">
      <c r="A22" s="2086"/>
      <c r="B22" s="2093" t="s">
        <v>1816</v>
      </c>
      <c r="C22" s="2089" t="s">
        <v>3158</v>
      </c>
      <c r="D22" s="2020"/>
      <c r="E22" s="2020"/>
      <c r="F22" s="2094"/>
      <c r="G22" s="2036"/>
      <c r="H22" s="2036"/>
      <c r="I22" s="2036"/>
      <c r="J22" s="2036"/>
      <c r="K22" s="313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4"/>
      <c r="O22" s="2073"/>
      <c r="P22" s="2074"/>
      <c r="Q22" s="2023"/>
      <c r="R22" s="2023"/>
      <c r="S22" s="2023"/>
      <c r="T22" s="2023"/>
      <c r="U22" s="2023"/>
      <c r="V22" s="2023"/>
    </row>
    <row r="23" spans="1:22" ht="18" customHeight="1">
      <c r="A23" s="2095" t="s">
        <v>1817</v>
      </c>
      <c r="B23" s="181" t="s">
        <v>1818</v>
      </c>
      <c r="C23" s="2096"/>
      <c r="D23" s="2097" t="s">
        <v>1818</v>
      </c>
      <c r="E23" s="2098"/>
      <c r="F23" s="2094"/>
      <c r="G23" s="2036"/>
      <c r="H23" s="2036"/>
      <c r="I23" s="2036"/>
      <c r="J23" s="2036"/>
      <c r="K23" s="2099"/>
      <c r="L23" s="743"/>
      <c r="M23" s="2022"/>
      <c r="N23" s="2074"/>
      <c r="O23" s="2073"/>
      <c r="P23" s="2074"/>
      <c r="Q23" s="2023"/>
      <c r="R23" s="2023"/>
      <c r="S23" s="2023"/>
      <c r="T23" s="2023"/>
      <c r="U23" s="2023"/>
      <c r="V23" s="2023"/>
    </row>
    <row r="24" spans="1:22" ht="18" customHeight="1">
      <c r="A24" s="2100"/>
      <c r="B24" s="181" t="s">
        <v>1819</v>
      </c>
      <c r="C24" s="2101"/>
      <c r="D24" s="2095" t="s">
        <v>1819</v>
      </c>
      <c r="E24" s="2102"/>
      <c r="F24" s="2094"/>
      <c r="G24" s="2036"/>
      <c r="H24" s="2036"/>
      <c r="I24" s="2036"/>
      <c r="J24" s="2036"/>
      <c r="K24" s="2099"/>
      <c r="L24" s="743"/>
      <c r="M24" s="2022"/>
      <c r="N24" s="2074"/>
      <c r="O24" s="2073"/>
      <c r="P24" s="2074"/>
      <c r="Q24" s="2023"/>
      <c r="R24" s="2023"/>
      <c r="S24" s="2023"/>
      <c r="T24" s="2023"/>
      <c r="U24" s="2023"/>
      <c r="V24" s="2023"/>
    </row>
    <row r="25" spans="1:22" ht="18" customHeight="1">
      <c r="A25" s="2100"/>
      <c r="B25" s="181" t="s">
        <v>1820</v>
      </c>
      <c r="C25" s="2101"/>
      <c r="D25" s="2095" t="s">
        <v>1820</v>
      </c>
      <c r="E25" s="2102"/>
      <c r="F25" s="2094"/>
      <c r="G25" s="2036"/>
      <c r="H25" s="2036"/>
      <c r="I25" s="2036"/>
      <c r="J25" s="2036"/>
      <c r="K25" s="2045"/>
      <c r="L25" s="2022"/>
      <c r="M25" s="2022"/>
      <c r="N25" s="2074"/>
      <c r="O25" s="2073"/>
      <c r="P25" s="2074"/>
      <c r="Q25" s="2023"/>
      <c r="R25" s="2023"/>
      <c r="S25" s="2023"/>
      <c r="T25" s="2023"/>
      <c r="U25" s="2023"/>
      <c r="V25" s="2023"/>
    </row>
    <row r="26" spans="1:22" ht="18" customHeight="1" thickBot="1">
      <c r="A26" s="2103"/>
      <c r="B26" s="2104" t="s">
        <v>1821</v>
      </c>
      <c r="C26" s="2105"/>
      <c r="D26" s="2106" t="s">
        <v>1822</v>
      </c>
      <c r="E26" s="2107"/>
      <c r="F26" s="2108"/>
      <c r="G26" s="2053"/>
      <c r="H26" s="2053"/>
      <c r="I26" s="2053"/>
      <c r="J26" s="2036"/>
      <c r="K26" s="2045"/>
      <c r="L26" s="2022"/>
      <c r="M26" s="2022"/>
      <c r="N26" s="2074"/>
      <c r="O26" s="2073"/>
      <c r="P26" s="2074"/>
      <c r="Q26" s="2023"/>
      <c r="R26" s="2023"/>
      <c r="S26" s="2023"/>
      <c r="T26" s="2023"/>
      <c r="U26" s="2023"/>
      <c r="V26" s="2023"/>
    </row>
    <row r="27" spans="1:22" ht="18" customHeight="1" thickTop="1">
      <c r="A27" s="3118" t="s">
        <v>1823</v>
      </c>
      <c r="B27" s="2054" t="s">
        <v>1824</v>
      </c>
      <c r="C27" s="2109" t="s">
        <v>3159</v>
      </c>
      <c r="D27" s="2110"/>
      <c r="E27" s="2036"/>
      <c r="F27" s="2036"/>
      <c r="G27" s="2036"/>
      <c r="H27" s="2036"/>
      <c r="I27" s="2036"/>
      <c r="J27" s="2023"/>
      <c r="K27" s="2072"/>
      <c r="L27" s="2073"/>
      <c r="M27" s="2073"/>
      <c r="N27" s="2074"/>
      <c r="O27" s="2073"/>
      <c r="P27" s="2074"/>
      <c r="Q27" s="2023"/>
      <c r="R27" s="2023"/>
      <c r="S27" s="2023"/>
      <c r="T27" s="2023"/>
      <c r="U27" s="2023"/>
      <c r="V27" s="2023"/>
    </row>
    <row r="28" spans="1:22" ht="18" customHeight="1">
      <c r="A28" s="3118"/>
      <c r="B28" s="2029" t="s">
        <v>1825</v>
      </c>
      <c r="C28" s="2111" t="s">
        <v>3032</v>
      </c>
      <c r="D28" s="2112"/>
      <c r="E28" s="2036"/>
      <c r="F28" s="2036"/>
      <c r="G28" s="2036"/>
      <c r="H28" s="2036"/>
      <c r="I28" s="2036"/>
      <c r="J28" s="2023"/>
      <c r="K28" s="2113"/>
      <c r="L28" s="2022"/>
      <c r="M28" s="2022"/>
      <c r="N28" s="2023"/>
      <c r="O28" s="2024"/>
      <c r="P28" s="2023"/>
      <c r="Q28" s="2023"/>
      <c r="R28" s="2023"/>
      <c r="S28" s="2023"/>
      <c r="T28" s="2023"/>
      <c r="U28" s="2023"/>
      <c r="V28" s="2023"/>
    </row>
    <row r="29" spans="1:22" ht="18" customHeight="1">
      <c r="A29" s="3118"/>
      <c r="B29" s="2029" t="s">
        <v>1826</v>
      </c>
      <c r="C29" s="2114" t="s">
        <v>3030</v>
      </c>
      <c r="D29" s="2115"/>
      <c r="E29" s="2036"/>
      <c r="F29" s="2036"/>
      <c r="G29" s="2036"/>
      <c r="H29" s="2036"/>
      <c r="I29" s="2036"/>
      <c r="J29" s="2023"/>
      <c r="K29" s="2113"/>
      <c r="L29" s="2022"/>
      <c r="M29" s="2022"/>
      <c r="N29" s="2023"/>
      <c r="O29" s="2024"/>
      <c r="P29" s="2023"/>
      <c r="Q29" s="2023"/>
      <c r="R29" s="2023"/>
      <c r="S29" s="2023"/>
      <c r="T29" s="2023"/>
      <c r="U29" s="2023"/>
      <c r="V29" s="2023"/>
    </row>
    <row r="30" spans="1:22" ht="18" customHeight="1">
      <c r="A30" s="3119"/>
      <c r="B30" s="2029" t="s">
        <v>1827</v>
      </c>
      <c r="C30" s="3120"/>
      <c r="D30" s="3121"/>
      <c r="E30" s="2036"/>
      <c r="F30" s="2036"/>
      <c r="G30" s="2036"/>
      <c r="H30" s="2036"/>
      <c r="I30" s="2036"/>
      <c r="J30" s="2023"/>
      <c r="K30" s="2113"/>
      <c r="L30" s="2022"/>
      <c r="M30" s="2022"/>
      <c r="N30" s="2023"/>
      <c r="O30" s="2024"/>
      <c r="P30" s="2023"/>
      <c r="Q30" s="2023"/>
      <c r="R30" s="2023"/>
      <c r="S30" s="2023"/>
      <c r="T30" s="2023"/>
      <c r="U30" s="2023"/>
      <c r="V30" s="2023"/>
    </row>
    <row r="31" spans="1:22" ht="18" customHeight="1">
      <c r="A31" s="3122" t="s">
        <v>1828</v>
      </c>
      <c r="B31" s="2116" t="s">
        <v>3033</v>
      </c>
      <c r="C31" s="2117" t="str">
        <f>IF(B31="现房","成新及维护状况正常否",IF(B31="在建","工程状态是否正常",IF(B31="土地","是否闲置","-")))</f>
        <v>成新及维护状况正常否</v>
      </c>
      <c r="D31" s="2118"/>
      <c r="E31" s="3014" t="s">
        <v>3162</v>
      </c>
      <c r="F31" s="2036"/>
      <c r="G31" s="2036"/>
      <c r="H31" s="2036"/>
      <c r="I31" s="2036"/>
      <c r="J31" s="2036"/>
      <c r="K31" s="2044"/>
      <c r="L31" s="2022"/>
      <c r="M31" s="2022"/>
      <c r="N31" s="2023"/>
      <c r="O31" s="2024"/>
      <c r="P31" s="2023"/>
      <c r="Q31" s="2023"/>
      <c r="R31" s="2023"/>
      <c r="S31" s="2023"/>
      <c r="T31" s="2023"/>
      <c r="U31" s="2023"/>
      <c r="V31" s="2023"/>
    </row>
    <row r="32" spans="1:22" ht="18" customHeight="1">
      <c r="A32" s="3123"/>
      <c r="B32" s="2116" t="s">
        <v>3160</v>
      </c>
      <c r="C32" s="2117" t="str">
        <f>IF(B32="现房","成新及维护状况是否正常",IF(B32="在建","工程状态是否正常",IF(B32="土地","是否闲置","-")))</f>
        <v>工程状态是否正常</v>
      </c>
      <c r="D32" s="2118"/>
      <c r="E32" s="3014" t="s">
        <v>3163</v>
      </c>
      <c r="F32" s="2036"/>
      <c r="G32" s="2036"/>
      <c r="H32" s="2036"/>
      <c r="I32" s="2036"/>
      <c r="J32" s="2036"/>
      <c r="K32" s="2045"/>
      <c r="L32" s="2022"/>
      <c r="M32" s="2022"/>
      <c r="N32" s="2023"/>
      <c r="O32" s="2024"/>
      <c r="P32" s="2023"/>
      <c r="Q32" s="2023"/>
      <c r="R32" s="2023"/>
      <c r="S32" s="2023"/>
      <c r="T32" s="2023"/>
      <c r="U32" s="2023"/>
      <c r="V32" s="2023"/>
    </row>
    <row r="33" spans="1:22" ht="18" customHeight="1">
      <c r="A33" s="3123"/>
      <c r="B33" s="2119" t="s">
        <v>3161</v>
      </c>
      <c r="C33" s="2059" t="str">
        <f>IF(B33="现房","成新及维护状况是否正常",IF(B33="在建","工程状态是否正常",IF(B33="土地","是否闲置","-")))</f>
        <v>是否闲置</v>
      </c>
      <c r="D33" s="2120"/>
      <c r="E33" s="3015" t="s">
        <v>3163</v>
      </c>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1829</v>
      </c>
      <c r="B34" s="2121" t="s">
        <v>3034</v>
      </c>
      <c r="C34" s="2121" t="s">
        <v>3035</v>
      </c>
      <c r="D34" s="2121" t="s">
        <v>3036</v>
      </c>
      <c r="E34" s="2121" t="s">
        <v>3037</v>
      </c>
      <c r="F34" s="2121" t="s">
        <v>3038</v>
      </c>
      <c r="G34" s="2121" t="s">
        <v>3039</v>
      </c>
      <c r="H34" s="2121" t="s">
        <v>3164</v>
      </c>
      <c r="I34" s="2036"/>
      <c r="J34" s="2036"/>
      <c r="K34" s="1789">
        <f>COUNTIF(B34:H34,"——")</f>
        <v>0</v>
      </c>
      <c r="L34" s="2064" t="s">
        <v>1830</v>
      </c>
      <c r="M34" s="2064" t="s">
        <v>1831</v>
      </c>
      <c r="N34" s="2064" t="s">
        <v>1832</v>
      </c>
      <c r="O34" s="2064" t="s">
        <v>1833</v>
      </c>
      <c r="P34" s="2064" t="s">
        <v>1834</v>
      </c>
      <c r="Q34" s="2064" t="s">
        <v>1835</v>
      </c>
      <c r="R34" s="2064" t="s">
        <v>1836</v>
      </c>
      <c r="S34" s="3117" t="s">
        <v>1837</v>
      </c>
      <c r="T34" s="2122" t="str">
        <f>NUMBERSTRING(7-K34,1)&amp;"通"</f>
        <v>七通</v>
      </c>
      <c r="U34" s="2023"/>
      <c r="V34" s="2023"/>
    </row>
    <row r="35" spans="1:22" ht="18" customHeight="1">
      <c r="A35" s="2123"/>
      <c r="B35" s="3124" t="s">
        <v>1838</v>
      </c>
      <c r="C35" s="3124"/>
      <c r="D35" s="3124"/>
      <c r="E35" s="3124"/>
      <c r="F35" s="2124" t="str">
        <f>C10</f>
        <v>山东省</v>
      </c>
      <c r="G35" s="2036"/>
      <c r="H35" s="2036"/>
      <c r="I35" s="2036"/>
      <c r="J35" s="2036"/>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17"/>
      <c r="T35" s="48" t="str">
        <f>IF(T34="一通",L35,IF(T34="二通",M35,IF(T34="三通",N35,IF(T34="四通",O35,IF(T34="五通",P35,IF(T34="六通",Q35,R35))))))</f>
        <v>通路、通电、通讯、通上水、通下水、平整、通热</v>
      </c>
      <c r="U35" s="2023"/>
      <c r="V35" s="2023"/>
    </row>
    <row r="36" spans="1:22" ht="18" customHeight="1">
      <c r="A36" s="2125"/>
      <c r="B36" s="2124" t="s">
        <v>1839</v>
      </c>
      <c r="C36" s="2124" t="s">
        <v>1840</v>
      </c>
      <c r="D36" s="2124" t="s">
        <v>1841</v>
      </c>
      <c r="E36" s="2124" t="s">
        <v>1842</v>
      </c>
      <c r="F36" s="2126"/>
      <c r="G36" s="2036"/>
      <c r="H36" s="2036"/>
      <c r="I36" s="2036"/>
      <c r="J36" s="2036"/>
      <c r="K36" s="2045"/>
      <c r="L36" s="2022"/>
      <c r="M36" s="2022"/>
      <c r="N36" s="2023"/>
      <c r="O36" s="2024"/>
      <c r="P36" s="2023"/>
      <c r="Q36" s="2023"/>
      <c r="R36" s="2023"/>
      <c r="S36" s="2023"/>
      <c r="T36" s="2023"/>
      <c r="U36" s="2023"/>
      <c r="V36" s="2023"/>
    </row>
    <row r="37" spans="1:22" ht="18" customHeight="1">
      <c r="A37" s="2127" t="s">
        <v>1843</v>
      </c>
      <c r="B37" s="2128"/>
      <c r="C37" s="2128"/>
      <c r="D37" s="2128"/>
      <c r="E37" s="2128"/>
      <c r="F37" s="2126"/>
      <c r="G37" s="2036"/>
      <c r="H37" s="2036"/>
      <c r="I37" s="2036"/>
      <c r="J37" s="2036"/>
      <c r="K37" s="2045"/>
      <c r="L37" s="2022"/>
      <c r="M37" s="2022"/>
      <c r="N37" s="2023"/>
      <c r="O37" s="2024"/>
      <c r="P37" s="2023"/>
      <c r="Q37" s="2023"/>
      <c r="R37" s="2023"/>
      <c r="S37" s="2023"/>
      <c r="T37" s="2023"/>
      <c r="U37" s="2023"/>
      <c r="V37" s="2023"/>
    </row>
    <row r="38" spans="1:22" ht="18" customHeight="1" thickBot="1">
      <c r="A38" s="2129" t="s">
        <v>1844</v>
      </c>
      <c r="B38" s="2130"/>
      <c r="C38" s="2130"/>
      <c r="D38" s="2130"/>
      <c r="E38" s="2130"/>
      <c r="F38" s="2131"/>
      <c r="G38" s="2053"/>
      <c r="H38" s="2053"/>
      <c r="I38" s="2053"/>
      <c r="J38" s="2036"/>
      <c r="K38" s="2045"/>
      <c r="L38" s="2022"/>
      <c r="M38" s="2022"/>
      <c r="N38" s="2023"/>
      <c r="O38" s="2024"/>
      <c r="P38" s="2023"/>
      <c r="Q38" s="2023"/>
      <c r="R38" s="2023"/>
      <c r="S38" s="2023"/>
      <c r="T38" s="2023"/>
      <c r="U38" s="2023"/>
      <c r="V38" s="2023"/>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3"/>
      <c r="B40" s="2023"/>
      <c r="C40" s="2023"/>
      <c r="D40" s="2023"/>
      <c r="E40" s="2023"/>
      <c r="F40" s="2023"/>
      <c r="G40" s="2023"/>
      <c r="H40" s="2023"/>
      <c r="I40" s="2137"/>
      <c r="J40" s="2074"/>
      <c r="K40" s="663"/>
      <c r="L40" s="2073"/>
      <c r="M40" s="2073"/>
      <c r="N40" s="2074"/>
      <c r="O40" s="2073"/>
      <c r="P40" s="2023"/>
      <c r="Q40" s="2023"/>
      <c r="R40" s="2023"/>
      <c r="S40" s="2023"/>
      <c r="T40" s="2023"/>
      <c r="U40" s="2023"/>
      <c r="V40" s="2023"/>
    </row>
    <row r="41" spans="1:22" ht="18" customHeight="1">
      <c r="A41" s="8" t="s">
        <v>1846</v>
      </c>
      <c r="B41" s="2138"/>
      <c r="C41" s="2139"/>
      <c r="D41" s="2023"/>
      <c r="E41" s="2023"/>
      <c r="F41" s="2023"/>
      <c r="G41" s="2023"/>
      <c r="H41" s="2023"/>
      <c r="I41" s="2024"/>
      <c r="J41" s="2023"/>
      <c r="K41" s="2113"/>
      <c r="L41" s="2022"/>
      <c r="M41" s="2022"/>
      <c r="N41" s="2023"/>
      <c r="O41" s="2024"/>
      <c r="P41" s="2023"/>
      <c r="Q41" s="2023"/>
      <c r="R41" s="2023"/>
      <c r="S41" s="2023"/>
      <c r="T41" s="2023"/>
      <c r="U41" s="2023"/>
      <c r="V41" s="2023"/>
    </row>
    <row r="42" spans="1:22" ht="18" customHeight="1">
      <c r="A42" s="2064" t="s">
        <v>1847</v>
      </c>
      <c r="B42" s="1789" t="s">
        <v>1848</v>
      </c>
      <c r="C42" s="1789" t="s">
        <v>1849</v>
      </c>
      <c r="D42" s="1789" t="s">
        <v>1850</v>
      </c>
      <c r="E42" s="1789" t="s">
        <v>1851</v>
      </c>
      <c r="F42" s="1789" t="s">
        <v>1852</v>
      </c>
      <c r="G42" s="1789" t="s">
        <v>1853</v>
      </c>
      <c r="H42" s="1789" t="s">
        <v>1854</v>
      </c>
      <c r="I42" s="1789" t="s">
        <v>1855</v>
      </c>
      <c r="J42" s="2140" t="s">
        <v>1856</v>
      </c>
      <c r="K42" s="2065" t="s">
        <v>1857</v>
      </c>
      <c r="L42" s="2065" t="s">
        <v>1858</v>
      </c>
      <c r="M42" s="2065" t="s">
        <v>1859</v>
      </c>
      <c r="N42" s="1789" t="s">
        <v>1860</v>
      </c>
      <c r="O42" s="1789" t="s">
        <v>1861</v>
      </c>
      <c r="P42" s="1789" t="s">
        <v>1862</v>
      </c>
      <c r="Q42" s="2064" t="s">
        <v>1863</v>
      </c>
      <c r="R42" s="2064" t="s">
        <v>1864</v>
      </c>
      <c r="S42" s="2023"/>
      <c r="T42" s="2023"/>
      <c r="U42" s="2023"/>
      <c r="V42" s="2023"/>
    </row>
    <row r="43" spans="1:22" s="2145" customFormat="1" ht="18" customHeight="1">
      <c r="A43" s="2141"/>
      <c r="B43" s="1267"/>
      <c r="C43" s="1267"/>
      <c r="D43" s="1267"/>
      <c r="E43" s="1267"/>
      <c r="F43" s="1267"/>
      <c r="G43" s="1267"/>
      <c r="H43" s="9"/>
      <c r="I43" s="9"/>
      <c r="J43" s="2142"/>
      <c r="K43" s="2143"/>
      <c r="L43" s="2143"/>
      <c r="M43" s="9"/>
      <c r="N43" s="1267"/>
      <c r="O43" s="9"/>
      <c r="P43" s="1267"/>
      <c r="Q43" s="1267"/>
      <c r="R43" s="1267"/>
      <c r="S43" s="2144"/>
      <c r="T43" s="2144"/>
      <c r="U43" s="2144"/>
      <c r="V43" s="2144"/>
    </row>
    <row r="44" spans="1:22" s="2145" customFormat="1" ht="18" customHeight="1">
      <c r="A44" s="2141"/>
      <c r="B44" s="2141"/>
      <c r="C44" s="1267"/>
      <c r="D44" s="1267"/>
      <c r="E44" s="1267"/>
      <c r="F44" s="1267"/>
      <c r="G44" s="1267"/>
      <c r="H44" s="9"/>
      <c r="I44" s="9"/>
      <c r="J44" s="2142"/>
      <c r="K44" s="2143"/>
      <c r="L44" s="2143"/>
      <c r="M44" s="9"/>
      <c r="N44" s="1267"/>
      <c r="O44" s="9"/>
      <c r="P44" s="1267"/>
      <c r="Q44" s="1267"/>
      <c r="R44" s="1267"/>
      <c r="S44" s="2144"/>
      <c r="T44" s="2144"/>
      <c r="U44" s="2144"/>
      <c r="V44" s="2144"/>
    </row>
    <row r="45" spans="1:22" s="2145" customFormat="1" ht="18" customHeight="1">
      <c r="A45" s="2141"/>
      <c r="B45" s="2141"/>
      <c r="C45" s="1267"/>
      <c r="D45" s="1267"/>
      <c r="E45" s="1267"/>
      <c r="F45" s="1267"/>
      <c r="G45" s="1267"/>
      <c r="H45" s="9"/>
      <c r="I45" s="9"/>
      <c r="J45" s="2142"/>
      <c r="K45" s="2143"/>
      <c r="L45" s="2143"/>
      <c r="M45" s="9"/>
      <c r="N45" s="1267"/>
      <c r="O45" s="9"/>
      <c r="P45" s="1267"/>
      <c r="Q45" s="1267"/>
      <c r="R45" s="1267"/>
      <c r="S45" s="2144"/>
      <c r="T45" s="2144"/>
      <c r="U45" s="2144"/>
      <c r="V45" s="2144"/>
    </row>
    <row r="46" spans="1:22" s="2145" customFormat="1" ht="18" customHeight="1">
      <c r="A46" s="2141"/>
      <c r="B46" s="2141"/>
      <c r="C46" s="1267"/>
      <c r="D46" s="1267"/>
      <c r="E46" s="1267"/>
      <c r="F46" s="1267"/>
      <c r="G46" s="1267"/>
      <c r="H46" s="9"/>
      <c r="I46" s="9"/>
      <c r="J46" s="2142"/>
      <c r="K46" s="2143"/>
      <c r="L46" s="2143"/>
      <c r="M46" s="9"/>
      <c r="N46" s="1267"/>
      <c r="O46" s="9"/>
      <c r="P46" s="1267"/>
      <c r="Q46" s="1267"/>
      <c r="R46" s="1267"/>
      <c r="S46" s="2144"/>
      <c r="T46" s="2144"/>
      <c r="U46" s="2144"/>
      <c r="V46" s="2144"/>
    </row>
    <row r="47" spans="1:22" s="2145" customFormat="1" ht="18" customHeight="1">
      <c r="A47" s="2141"/>
      <c r="B47" s="2141"/>
      <c r="C47" s="1267"/>
      <c r="D47" s="1267"/>
      <c r="E47" s="1267"/>
      <c r="F47" s="1267"/>
      <c r="G47" s="1267"/>
      <c r="H47" s="9"/>
      <c r="I47" s="9"/>
      <c r="J47" s="2142"/>
      <c r="K47" s="2143"/>
      <c r="L47" s="2143"/>
      <c r="M47" s="9"/>
      <c r="N47" s="1267"/>
      <c r="O47" s="9"/>
      <c r="P47" s="1267"/>
      <c r="Q47" s="1267"/>
      <c r="R47" s="1267"/>
      <c r="S47" s="2144"/>
      <c r="T47" s="2144"/>
      <c r="U47" s="2144"/>
      <c r="V47" s="2144"/>
    </row>
    <row r="48" spans="1:22" s="2145" customFormat="1" ht="18" customHeight="1">
      <c r="A48" s="2141"/>
      <c r="B48" s="2141"/>
      <c r="C48" s="1267"/>
      <c r="D48" s="1267"/>
      <c r="E48" s="1267"/>
      <c r="F48" s="1267"/>
      <c r="G48" s="1267"/>
      <c r="H48" s="9"/>
      <c r="I48" s="9"/>
      <c r="J48" s="2142"/>
      <c r="K48" s="2143"/>
      <c r="L48" s="2143"/>
      <c r="M48" s="9"/>
      <c r="N48" s="1267"/>
      <c r="O48" s="9"/>
      <c r="P48" s="1267"/>
      <c r="Q48" s="1267"/>
      <c r="R48" s="1267"/>
      <c r="S48" s="2144"/>
      <c r="T48" s="2144"/>
      <c r="U48" s="2144"/>
      <c r="V48" s="2144"/>
    </row>
    <row r="49" spans="1:22" s="2145" customFormat="1" ht="18" customHeight="1">
      <c r="A49" s="2141"/>
      <c r="B49" s="2141"/>
      <c r="C49" s="1267"/>
      <c r="D49" s="1267"/>
      <c r="E49" s="1267"/>
      <c r="F49" s="1267"/>
      <c r="G49" s="1267"/>
      <c r="H49" s="9"/>
      <c r="I49" s="9"/>
      <c r="J49" s="2142"/>
      <c r="K49" s="2143"/>
      <c r="L49" s="2143"/>
      <c r="M49" s="9"/>
      <c r="N49" s="1267"/>
      <c r="O49" s="9"/>
      <c r="P49" s="1267"/>
      <c r="Q49" s="1267"/>
      <c r="R49" s="1267"/>
      <c r="S49" s="2144"/>
      <c r="T49" s="2144"/>
      <c r="U49" s="2144"/>
      <c r="V49" s="2144"/>
    </row>
    <row r="50" spans="1:22" s="2145" customFormat="1" ht="18" customHeight="1">
      <c r="A50" s="2141"/>
      <c r="B50" s="2141"/>
      <c r="C50" s="1267"/>
      <c r="D50" s="1267"/>
      <c r="E50" s="1267"/>
      <c r="F50" s="1267"/>
      <c r="G50" s="1267"/>
      <c r="H50" s="9"/>
      <c r="I50" s="9"/>
      <c r="J50" s="2142"/>
      <c r="K50" s="2143"/>
      <c r="L50" s="2143"/>
      <c r="M50" s="9"/>
      <c r="N50" s="1267"/>
      <c r="O50" s="9"/>
      <c r="P50" s="1267"/>
      <c r="Q50" s="1267"/>
      <c r="R50" s="1267"/>
      <c r="S50" s="2144"/>
      <c r="T50" s="2144"/>
      <c r="U50" s="2144"/>
      <c r="V50" s="2144"/>
    </row>
    <row r="51" spans="1:22" s="2145" customFormat="1" ht="18" customHeight="1">
      <c r="A51" s="2141"/>
      <c r="B51" s="2141"/>
      <c r="C51" s="1267"/>
      <c r="D51" s="1267"/>
      <c r="E51" s="1267"/>
      <c r="F51" s="1267"/>
      <c r="G51" s="1267"/>
      <c r="H51" s="9"/>
      <c r="I51" s="9"/>
      <c r="J51" s="2142"/>
      <c r="K51" s="2143"/>
      <c r="L51" s="2143"/>
      <c r="M51" s="9"/>
      <c r="N51" s="1267"/>
      <c r="O51" s="9"/>
      <c r="P51" s="1267"/>
      <c r="Q51" s="1267"/>
      <c r="R51" s="1267"/>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2147" customWidth="1"/>
    <col min="2" max="2" width="11" style="2147" customWidth="1"/>
    <col min="3" max="3" width="12.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hidden="1" customWidth="1"/>
    <col min="16" max="16" width="9.75" style="2147" hidden="1" customWidth="1"/>
    <col min="17" max="17" width="9.375" style="2147" customWidth="1"/>
    <col min="18" max="18" width="9.25" style="2147" customWidth="1"/>
    <col min="19" max="19" width="10.875" style="2147" customWidth="1"/>
    <col min="20" max="20" width="10.75" style="2147" customWidth="1"/>
    <col min="21"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1"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4" t="s">
        <v>1870</v>
      </c>
      <c r="AZ2" s="1265"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123801</v>
      </c>
      <c r="B3" s="14">
        <f>IF(C3="否",G5-AT5,G5)</f>
        <v>155603.50999999998</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6"/>
      <c r="AZ3" s="1267"/>
      <c r="BA3" s="1268"/>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7"/>
      <c r="C5" s="1797"/>
      <c r="D5" s="1800"/>
      <c r="E5" s="16" t="s">
        <v>1</v>
      </c>
      <c r="F5" s="16">
        <f>SUM(F13:F587)</f>
        <v>0</v>
      </c>
      <c r="G5" s="16">
        <f>SUM(G13:G587)</f>
        <v>155603.50999999998</v>
      </c>
      <c r="H5" s="16">
        <f t="shared" ref="H5:AT5" si="0">SUM(H13:H656)</f>
        <v>143416.26999999999</v>
      </c>
      <c r="I5" s="16">
        <f t="shared" si="0"/>
        <v>12937.380000000001</v>
      </c>
      <c r="J5" s="16">
        <f t="shared" si="0"/>
        <v>0</v>
      </c>
      <c r="K5" s="16">
        <f t="shared" si="0"/>
        <v>98583.82</v>
      </c>
      <c r="L5" s="16">
        <f t="shared" si="0"/>
        <v>0</v>
      </c>
      <c r="M5" s="16">
        <f t="shared" si="0"/>
        <v>3361.56</v>
      </c>
      <c r="N5" s="16">
        <f t="shared" si="0"/>
        <v>0</v>
      </c>
      <c r="O5" s="16">
        <f t="shared" si="0"/>
        <v>0</v>
      </c>
      <c r="P5" s="16">
        <f t="shared" si="0"/>
        <v>0</v>
      </c>
      <c r="Q5" s="16">
        <f t="shared" si="0"/>
        <v>10105.599999999999</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12187.239999999989</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765.41</v>
      </c>
      <c r="AM5" s="16">
        <f t="shared" si="0"/>
        <v>0</v>
      </c>
      <c r="AN5" s="16">
        <f t="shared" si="0"/>
        <v>10360.009999999987</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64165.63</v>
      </c>
      <c r="BA5" s="18">
        <f t="shared" si="1"/>
        <v>63658.59</v>
      </c>
      <c r="BB5" s="18">
        <f t="shared" si="1"/>
        <v>0</v>
      </c>
      <c r="BC5" s="18">
        <f t="shared" si="1"/>
        <v>49166.119999999995</v>
      </c>
      <c r="BD5" s="18">
        <f t="shared" si="1"/>
        <v>0</v>
      </c>
      <c r="BE5" s="18">
        <f t="shared" si="1"/>
        <v>0</v>
      </c>
      <c r="BF5" s="18">
        <f t="shared" si="1"/>
        <v>5366.96</v>
      </c>
      <c r="BG5" s="18">
        <f t="shared" si="1"/>
        <v>9125.51</v>
      </c>
      <c r="BH5" s="18">
        <f t="shared" si="1"/>
        <v>0</v>
      </c>
      <c r="BI5" s="18">
        <f t="shared" si="1"/>
        <v>0</v>
      </c>
      <c r="BJ5" s="18">
        <f t="shared" si="1"/>
        <v>0</v>
      </c>
      <c r="BK5" s="18">
        <f t="shared" si="1"/>
        <v>0</v>
      </c>
      <c r="BL5" s="18">
        <f t="shared" si="1"/>
        <v>507.04</v>
      </c>
      <c r="BM5" s="18">
        <f t="shared" si="1"/>
        <v>0</v>
      </c>
      <c r="BN5" s="18">
        <f t="shared" si="1"/>
        <v>0</v>
      </c>
      <c r="BO5" s="18">
        <f t="shared" si="1"/>
        <v>0</v>
      </c>
      <c r="BP5" s="18">
        <f t="shared" si="1"/>
        <v>457.04</v>
      </c>
      <c r="BQ5" s="18">
        <f t="shared" si="1"/>
        <v>50</v>
      </c>
      <c r="BR5" s="18">
        <f t="shared" si="1"/>
        <v>0</v>
      </c>
      <c r="BS5" s="18">
        <f t="shared" si="1"/>
        <v>0</v>
      </c>
      <c r="BT5" s="19">
        <f t="shared" si="1"/>
        <v>0</v>
      </c>
    </row>
    <row r="6" spans="1:72" s="2165" customFormat="1" ht="12.75">
      <c r="A6" s="15" t="s">
        <v>1875</v>
      </c>
      <c r="B6" s="2162"/>
      <c r="C6" s="2162"/>
      <c r="D6" s="2163"/>
      <c r="E6" s="16">
        <f>H6+AC6+AT6</f>
        <v>123800.99</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9696.380000000001</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608.97</v>
      </c>
      <c r="AM6" s="16">
        <f t="shared" si="3"/>
        <v>0</v>
      </c>
      <c r="AN6" s="16">
        <f t="shared" si="3"/>
        <v>8242.61</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51051.35</v>
      </c>
      <c r="AZ6" s="16" t="s">
        <v>3</v>
      </c>
      <c r="BA6" s="16">
        <f>ROUND($AY$6*BA5/$AZ$5,2)</f>
        <v>50647.94</v>
      </c>
      <c r="BB6" s="16">
        <f>ROUND($AY$6*BB5/$AZ$5,2)</f>
        <v>0</v>
      </c>
      <c r="BC6" s="16">
        <f t="shared" ref="BC6:BH6" si="4">ROUND($AY$6*BC5/$AZ$5,2)</f>
        <v>39117.47</v>
      </c>
      <c r="BD6" s="16">
        <f t="shared" si="4"/>
        <v>0</v>
      </c>
      <c r="BE6" s="16">
        <f t="shared" si="4"/>
        <v>0</v>
      </c>
      <c r="BF6" s="16">
        <f t="shared" si="4"/>
        <v>4270.05</v>
      </c>
      <c r="BG6" s="16">
        <f t="shared" si="4"/>
        <v>7260.42</v>
      </c>
      <c r="BH6" s="16">
        <f t="shared" si="4"/>
        <v>0</v>
      </c>
      <c r="BI6" s="16">
        <f t="shared" ref="BI6:BT6" si="5">ROUND($AY$6*BI5/$AZ$5,2)</f>
        <v>0</v>
      </c>
      <c r="BJ6" s="16">
        <f t="shared" si="5"/>
        <v>0</v>
      </c>
      <c r="BK6" s="16">
        <f t="shared" si="5"/>
        <v>0</v>
      </c>
      <c r="BL6" s="16">
        <f t="shared" si="5"/>
        <v>403.41</v>
      </c>
      <c r="BM6" s="16">
        <f t="shared" si="5"/>
        <v>0</v>
      </c>
      <c r="BN6" s="16">
        <f t="shared" si="5"/>
        <v>0</v>
      </c>
      <c r="BO6" s="16">
        <f t="shared" si="5"/>
        <v>0</v>
      </c>
      <c r="BP6" s="16">
        <f t="shared" si="5"/>
        <v>363.63</v>
      </c>
      <c r="BQ6" s="16">
        <f t="shared" si="5"/>
        <v>39.78</v>
      </c>
      <c r="BR6" s="16">
        <f t="shared" si="5"/>
        <v>0</v>
      </c>
      <c r="BS6" s="16">
        <f t="shared" si="5"/>
        <v>0</v>
      </c>
      <c r="BT6" s="22">
        <f t="shared" si="5"/>
        <v>0</v>
      </c>
    </row>
    <row r="7" spans="1:72" s="2155" customFormat="1" ht="24.75">
      <c r="A7" s="2099" t="s">
        <v>1876</v>
      </c>
      <c r="B7" s="2099" t="s">
        <v>1877</v>
      </c>
      <c r="C7" s="2099" t="s">
        <v>1878</v>
      </c>
      <c r="D7" s="2099" t="s">
        <v>1879</v>
      </c>
      <c r="E7" s="2099" t="s">
        <v>1880</v>
      </c>
      <c r="F7" s="2099"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800"/>
      <c r="AU7" s="2167" t="s">
        <v>1883</v>
      </c>
      <c r="AV7" s="23" t="s">
        <v>1884</v>
      </c>
      <c r="AW7" s="2154" t="s">
        <v>1885</v>
      </c>
      <c r="AX7" s="23" t="s">
        <v>1878</v>
      </c>
      <c r="AY7" s="1797"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2"/>
      <c r="K8" s="1812"/>
      <c r="L8" s="1812"/>
      <c r="M8" s="1812"/>
      <c r="N8" s="1812"/>
      <c r="O8" s="1812"/>
      <c r="P8" s="1812"/>
      <c r="Q8" s="1812"/>
      <c r="R8" s="1812"/>
      <c r="S8" s="1812"/>
      <c r="T8" s="1812"/>
      <c r="U8" s="1812"/>
      <c r="V8" s="2174"/>
      <c r="W8" s="1812"/>
      <c r="X8" s="1812"/>
      <c r="Y8" s="1812"/>
      <c r="Z8" s="1812"/>
      <c r="AA8" s="2174"/>
      <c r="AB8" s="2175"/>
      <c r="AC8" s="978" t="s">
        <v>1889</v>
      </c>
      <c r="AD8" s="2176"/>
      <c r="AE8" s="2168"/>
      <c r="AF8" s="1812"/>
      <c r="AG8" s="1812"/>
      <c r="AH8" s="1812"/>
      <c r="AI8" s="1812"/>
      <c r="AJ8" s="1812"/>
      <c r="AK8" s="1812"/>
      <c r="AL8" s="1812"/>
      <c r="AM8" s="1812"/>
      <c r="AN8" s="1812"/>
      <c r="AO8" s="1812"/>
      <c r="AP8" s="1812"/>
      <c r="AQ8" s="1812"/>
      <c r="AR8" s="1812"/>
      <c r="AS8" s="1812"/>
      <c r="AT8" s="1287" t="s">
        <v>1890</v>
      </c>
      <c r="AU8" s="2170" t="s">
        <v>1891</v>
      </c>
      <c r="AV8" s="1287"/>
      <c r="AW8" s="2153"/>
      <c r="AX8" s="1287"/>
      <c r="AY8" s="2154"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7" customFormat="1" ht="12.75">
      <c r="A9" s="2170"/>
      <c r="B9" s="2170"/>
      <c r="C9" s="2170"/>
      <c r="D9" s="2170"/>
      <c r="E9" s="2170"/>
      <c r="F9" s="2170"/>
      <c r="G9" s="1287"/>
      <c r="H9" s="2178" t="s">
        <v>1894</v>
      </c>
      <c r="I9" s="2179" t="s">
        <v>3040</v>
      </c>
      <c r="J9" s="978"/>
      <c r="K9" s="2179" t="s">
        <v>3040</v>
      </c>
      <c r="L9" s="978"/>
      <c r="M9" s="2179" t="s">
        <v>3040</v>
      </c>
      <c r="N9" s="978"/>
      <c r="O9" s="2179" t="s">
        <v>3040</v>
      </c>
      <c r="P9" s="978"/>
      <c r="Q9" s="2179" t="s">
        <v>3172</v>
      </c>
      <c r="R9" s="978"/>
      <c r="S9" s="2179" t="s">
        <v>3172</v>
      </c>
      <c r="T9" s="978"/>
      <c r="U9" s="2179"/>
      <c r="V9" s="978"/>
      <c r="W9" s="2179"/>
      <c r="X9" s="2180"/>
      <c r="Y9" s="2179"/>
      <c r="Z9" s="978"/>
      <c r="AA9" s="2179"/>
      <c r="AB9" s="978"/>
      <c r="AC9" s="2171"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1"/>
      <c r="AT9" s="2170"/>
      <c r="AU9" s="2170" t="s">
        <v>1897</v>
      </c>
      <c r="AV9" s="1287"/>
      <c r="AW9" s="2153"/>
      <c r="AX9" s="1287"/>
      <c r="AY9" s="28"/>
      <c r="AZ9" s="28" t="s">
        <v>1887</v>
      </c>
      <c r="BA9" s="2182" t="s">
        <v>1898</v>
      </c>
      <c r="BB9" s="2183"/>
      <c r="BC9" s="1333"/>
      <c r="BD9" s="1333"/>
      <c r="BE9" s="1333"/>
      <c r="BF9" s="1333"/>
      <c r="BG9" s="1333"/>
      <c r="BH9" s="1333"/>
      <c r="BI9" s="1333"/>
      <c r="BJ9" s="1333"/>
      <c r="BK9" s="2184"/>
      <c r="BL9" s="15" t="s">
        <v>1899</v>
      </c>
      <c r="BM9" s="1812"/>
      <c r="BN9" s="2173"/>
      <c r="BO9" s="1812"/>
      <c r="BP9" s="1812"/>
      <c r="BQ9" s="1812"/>
      <c r="BR9" s="1812"/>
      <c r="BS9" s="1812"/>
      <c r="BT9" s="26"/>
    </row>
    <row r="10" spans="1:72" s="2177" customFormat="1" ht="12.75">
      <c r="A10" s="2170"/>
      <c r="B10" s="2170"/>
      <c r="C10" s="2170"/>
      <c r="D10" s="2170"/>
      <c r="E10" s="2170"/>
      <c r="F10" s="2170"/>
      <c r="G10" s="1287"/>
      <c r="H10" s="28"/>
      <c r="I10" s="2179" t="s">
        <v>3165</v>
      </c>
      <c r="J10" s="978"/>
      <c r="K10" s="2185" t="s">
        <v>3165</v>
      </c>
      <c r="L10" s="978"/>
      <c r="M10" s="2185" t="s">
        <v>1377</v>
      </c>
      <c r="N10" s="978"/>
      <c r="O10" s="2185" t="s">
        <v>1377</v>
      </c>
      <c r="P10" s="978"/>
      <c r="Q10" s="2185" t="s">
        <v>3173</v>
      </c>
      <c r="R10" s="978"/>
      <c r="S10" s="2185" t="s">
        <v>3175</v>
      </c>
      <c r="T10" s="978"/>
      <c r="U10" s="2185"/>
      <c r="V10" s="978"/>
      <c r="W10" s="2185"/>
      <c r="X10" s="978"/>
      <c r="Y10" s="2185"/>
      <c r="Z10" s="978"/>
      <c r="AA10" s="2185"/>
      <c r="AB10" s="978"/>
      <c r="AC10" s="1287"/>
      <c r="AD10" s="15" t="s">
        <v>1900</v>
      </c>
      <c r="AE10" s="2186"/>
      <c r="AF10" s="15" t="s">
        <v>1900</v>
      </c>
      <c r="AG10" s="2186"/>
      <c r="AH10" s="15" t="s">
        <v>1901</v>
      </c>
      <c r="AI10" s="2186"/>
      <c r="AJ10" s="15" t="s">
        <v>1901</v>
      </c>
      <c r="AK10" s="2186"/>
      <c r="AL10" s="15" t="s">
        <v>1902</v>
      </c>
      <c r="AM10" s="1293"/>
      <c r="AN10" s="15" t="s">
        <v>1902</v>
      </c>
      <c r="AO10" s="1293"/>
      <c r="AP10" s="15" t="s">
        <v>1903</v>
      </c>
      <c r="AQ10" s="1293"/>
      <c r="AR10" s="15" t="s">
        <v>1903</v>
      </c>
      <c r="AS10" s="1293"/>
      <c r="AT10" s="2170"/>
      <c r="AU10" s="2170"/>
      <c r="AV10" s="1287"/>
      <c r="AW10" s="2153"/>
      <c r="AX10" s="1287"/>
      <c r="AY10" s="28"/>
      <c r="AZ10" s="28"/>
      <c r="BA10" s="2187" t="s">
        <v>1894</v>
      </c>
      <c r="BB10" s="2188"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89" t="str">
        <f>AR9</f>
        <v>地下</v>
      </c>
    </row>
    <row r="11" spans="1:72" s="2177" customFormat="1" ht="12.75">
      <c r="A11" s="2170"/>
      <c r="B11" s="2170"/>
      <c r="C11" s="2170"/>
      <c r="D11" s="2170"/>
      <c r="E11" s="2170"/>
      <c r="F11" s="2170"/>
      <c r="G11" s="1287"/>
      <c r="H11" s="2187"/>
      <c r="I11" s="2190" t="s">
        <v>3166</v>
      </c>
      <c r="J11" s="2191"/>
      <c r="K11" s="2190" t="s">
        <v>3167</v>
      </c>
      <c r="L11" s="2191"/>
      <c r="M11" s="2190" t="s">
        <v>3168</v>
      </c>
      <c r="N11" s="2191"/>
      <c r="O11" s="2190" t="s">
        <v>3169</v>
      </c>
      <c r="P11" s="2191"/>
      <c r="Q11" s="2190" t="s">
        <v>3174</v>
      </c>
      <c r="R11" s="2191"/>
      <c r="S11" s="2190" t="s">
        <v>3175</v>
      </c>
      <c r="T11" s="2191"/>
      <c r="U11" s="2190"/>
      <c r="V11" s="2191"/>
      <c r="W11" s="2190"/>
      <c r="X11" s="2191"/>
      <c r="Y11" s="2190"/>
      <c r="Z11" s="2191"/>
      <c r="AA11" s="2190"/>
      <c r="AB11" s="2191"/>
      <c r="AC11" s="1287"/>
      <c r="AD11" s="2192" t="s">
        <v>1904</v>
      </c>
      <c r="AE11" s="1813"/>
      <c r="AF11" s="2192" t="s">
        <v>1904</v>
      </c>
      <c r="AG11" s="1813"/>
      <c r="AH11" s="2192" t="s">
        <v>1905</v>
      </c>
      <c r="AI11" s="2193"/>
      <c r="AJ11" s="2192" t="s">
        <v>1905</v>
      </c>
      <c r="AK11" s="1813"/>
      <c r="AL11" s="1811"/>
      <c r="AM11" s="1813"/>
      <c r="AN11" s="1811"/>
      <c r="AO11" s="1813"/>
      <c r="AP11" s="1811"/>
      <c r="AQ11" s="1813"/>
      <c r="AR11" s="1811"/>
      <c r="AS11" s="1813"/>
      <c r="AT11" s="2153"/>
      <c r="AU11" s="2170"/>
      <c r="AV11" s="1287"/>
      <c r="AW11" s="2153"/>
      <c r="AX11" s="1287"/>
      <c r="AY11" s="28"/>
      <c r="AZ11" s="28"/>
      <c r="BA11" s="28"/>
      <c r="BB11" s="2175" t="str">
        <f>I10</f>
        <v>住宅</v>
      </c>
      <c r="BC11" s="2175" t="str">
        <f>K10</f>
        <v>住宅</v>
      </c>
      <c r="BD11" s="2175" t="str">
        <f>M10</f>
        <v>商业</v>
      </c>
      <c r="BE11" s="2175" t="str">
        <f>O10</f>
        <v>商业</v>
      </c>
      <c r="BF11" s="2175" t="str">
        <f>Q10</f>
        <v>仓储</v>
      </c>
      <c r="BG11" s="2175" t="str">
        <f>S10</f>
        <v>车库</v>
      </c>
      <c r="BH11" s="2175">
        <f>U10</f>
        <v>0</v>
      </c>
      <c r="BI11" s="2175">
        <f>W10</f>
        <v>0</v>
      </c>
      <c r="BJ11" s="2175">
        <f>Y10</f>
        <v>0</v>
      </c>
      <c r="BK11" s="2175">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197"/>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独栋</v>
      </c>
      <c r="BC12" s="2200" t="str">
        <f>K11</f>
        <v>洋房</v>
      </c>
      <c r="BD12" s="2200" t="str">
        <f>M11</f>
        <v>底商</v>
      </c>
      <c r="BE12" s="2175" t="str">
        <f>O11</f>
        <v>独立商业</v>
      </c>
      <c r="BF12" s="2175" t="str">
        <f>Q11</f>
        <v>戊类库房</v>
      </c>
      <c r="BG12" s="2175" t="str">
        <f>S11</f>
        <v>车库</v>
      </c>
      <c r="BH12" s="2175">
        <f>U11</f>
        <v>0</v>
      </c>
      <c r="BI12" s="2175">
        <f>W11</f>
        <v>0</v>
      </c>
      <c r="BJ12" s="2175">
        <f>Y11</f>
        <v>0</v>
      </c>
      <c r="BK12" s="2175">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4">
        <f>AR11</f>
        <v>0</v>
      </c>
    </row>
    <row r="13" spans="1:72" s="2155" customFormat="1" ht="12.75">
      <c r="A13" s="1267"/>
      <c r="B13" s="1267"/>
      <c r="C13" s="3017" t="s">
        <v>3237</v>
      </c>
      <c r="D13" s="2201" t="s">
        <v>3030</v>
      </c>
      <c r="E13" s="16">
        <f>IF($C$3="是",ROUND($A$3*G13/$B$3,2),ROUND($A$3*(G13-AT13)/$B$3,2))</f>
        <v>249.62</v>
      </c>
      <c r="F13" s="32"/>
      <c r="G13" s="33">
        <f>H13+AC13+AT13</f>
        <v>313.74</v>
      </c>
      <c r="H13" s="20">
        <f>SUMIF(I$12:AB$12,"总值",I13:AB13)</f>
        <v>313.74</v>
      </c>
      <c r="I13" s="2202">
        <f>Sheet3!I19</f>
        <v>313.74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8号别墅</v>
      </c>
      <c r="AY13" s="18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5.5">
      <c r="A14" s="1267"/>
      <c r="B14" s="1267"/>
      <c r="C14" s="3018" t="s">
        <v>3238</v>
      </c>
      <c r="D14" s="2201" t="s">
        <v>3030</v>
      </c>
      <c r="E14" s="16">
        <f>IF($C$3="是",ROUND($A$3*G14/$B$3,2),ROUND($A$3*(G14-AT14)/$B$3,2))</f>
        <v>2626.29</v>
      </c>
      <c r="F14" s="32"/>
      <c r="G14" s="33">
        <f>H14+AC14+AT14</f>
        <v>3300.9399999999996</v>
      </c>
      <c r="H14" s="20">
        <f>SUMIF(I$12:AB$12,"总值",I14:AB14)</f>
        <v>3300.9399999999996</v>
      </c>
      <c r="I14" s="2202">
        <f>Sheet3!I20+Sheet3!I21+Sheet3!I22+Sheet3!I23+Sheet3!I24+Sheet3!I25+Sheet3!I26+Sheet3!I27+Sheet3!I28</f>
        <v>3300.9399999999996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其余抵押别墅</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5.5">
      <c r="A15" s="1267"/>
      <c r="B15" s="1267"/>
      <c r="C15" s="3018" t="s">
        <v>3470</v>
      </c>
      <c r="D15" s="2201" t="s">
        <v>3030</v>
      </c>
      <c r="E15" s="16">
        <f>IF($C$3="是",ROUND($A$3*G15/$B$3,2),ROUND($A$3*(G15-AT15)/$B$3,2))</f>
        <v>38.42</v>
      </c>
      <c r="F15" s="32"/>
      <c r="G15" s="33">
        <f>H15+AC15+AT15</f>
        <v>48.29</v>
      </c>
      <c r="H15" s="20">
        <f>SUMIF(I$12:AB$12,"总值",I15:AB15)</f>
        <v>48.29</v>
      </c>
      <c r="I15" s="2202"/>
      <c r="J15" s="2202"/>
      <c r="K15" s="2202"/>
      <c r="L15" s="2202"/>
      <c r="M15" s="2202">
        <f>Sheet3!K33</f>
        <v>48.29</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抵押商业一层商铺之一</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7"/>
      <c r="B16" s="1267"/>
      <c r="C16" s="3018" t="s">
        <v>3239</v>
      </c>
      <c r="D16" s="2201" t="s">
        <v>3030</v>
      </c>
      <c r="E16" s="16">
        <f>IF($C$3="是",ROUND($A$3*G16/$B$3,2),ROUND($A$3*(G16-AT16)/$B$3,2))</f>
        <v>52570.98</v>
      </c>
      <c r="F16" s="32"/>
      <c r="G16" s="33">
        <f>H16+AC16+AT16</f>
        <v>66075.62999999999</v>
      </c>
      <c r="H16" s="20">
        <f>SUMIF(I$12:AB$12,"总值",I16:AB16)</f>
        <v>54395.43</v>
      </c>
      <c r="I16" s="2202"/>
      <c r="J16" s="2202"/>
      <c r="K16" s="2202">
        <f>Sheet3!F10</f>
        <v>40354.39</v>
      </c>
      <c r="L16" s="2202"/>
      <c r="M16" s="2202"/>
      <c r="N16" s="2202"/>
      <c r="O16" s="2202"/>
      <c r="P16" s="2202"/>
      <c r="Q16" s="2202">
        <f>Sheet3!F11+Sheet3!F12</f>
        <v>4738.6399999999994</v>
      </c>
      <c r="R16" s="2202"/>
      <c r="S16" s="2202">
        <f>Sheet3!F14</f>
        <v>9302.4</v>
      </c>
      <c r="T16" s="2202"/>
      <c r="U16" s="2202"/>
      <c r="V16" s="2202"/>
      <c r="W16" s="2202"/>
      <c r="X16" s="2202"/>
      <c r="Y16" s="2202"/>
      <c r="Z16" s="2202"/>
      <c r="AA16" s="2202"/>
      <c r="AB16" s="2202"/>
      <c r="AC16" s="16">
        <f>SUMIF(AD$12:AS$12,"总值",AD16:AS16)</f>
        <v>11680.199999999988</v>
      </c>
      <c r="AD16" s="2203"/>
      <c r="AE16" s="2203"/>
      <c r="AF16" s="2203"/>
      <c r="AG16" s="2203"/>
      <c r="AH16" s="2203"/>
      <c r="AI16" s="2203"/>
      <c r="AJ16" s="2203">
        <f>Sheet3!F13</f>
        <v>604.78</v>
      </c>
      <c r="AK16" s="2203"/>
      <c r="AL16" s="2203">
        <f>Sheet3!F15</f>
        <v>715.41</v>
      </c>
      <c r="AM16" s="2203"/>
      <c r="AN16" s="2203">
        <f>'[2]数据-基础表'!$AN$16</f>
        <v>10360.009999999987</v>
      </c>
      <c r="AO16" s="2203"/>
      <c r="AP16" s="2203"/>
      <c r="AQ16" s="2203"/>
      <c r="AR16" s="2203"/>
      <c r="AS16" s="2203"/>
      <c r="AT16" s="2204"/>
      <c r="AU16" s="2205"/>
      <c r="AV16" s="11">
        <f t="shared" si="6"/>
        <v>0</v>
      </c>
      <c r="AW16" s="11">
        <f t="shared" si="6"/>
        <v>0</v>
      </c>
      <c r="AX16" s="11" t="str">
        <f>C16</f>
        <v>二期一标段</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7"/>
      <c r="B17" s="1267"/>
      <c r="C17" s="3018" t="s">
        <v>3240</v>
      </c>
      <c r="D17" s="2201" t="s">
        <v>3031</v>
      </c>
      <c r="E17" s="16">
        <f>IF($C$3="是",ROUND($A$3*G17/$B$3,2),ROUND($A$3*(G17-AT17)/$B$3,2))</f>
        <v>51051.35</v>
      </c>
      <c r="F17" s="32"/>
      <c r="G17" s="33">
        <f>H17+AC17+AT17</f>
        <v>64165.63</v>
      </c>
      <c r="H17" s="20">
        <f>SUMIF(I$12:AB$12,"总值",I17:AB17)</f>
        <v>63658.59</v>
      </c>
      <c r="I17" s="2202"/>
      <c r="J17" s="2202"/>
      <c r="K17" s="2202">
        <f>Sheet3!I10</f>
        <v>49166.119999999995</v>
      </c>
      <c r="L17" s="2202"/>
      <c r="M17" s="2202"/>
      <c r="N17" s="2202"/>
      <c r="O17" s="2202"/>
      <c r="P17" s="2202"/>
      <c r="Q17" s="2202">
        <f>Sheet3!I14</f>
        <v>5366.96</v>
      </c>
      <c r="R17" s="2202"/>
      <c r="S17" s="2202">
        <f>Sheet3!I13</f>
        <v>9125.51</v>
      </c>
      <c r="T17" s="2202"/>
      <c r="U17" s="2202"/>
      <c r="V17" s="2202"/>
      <c r="W17" s="2202"/>
      <c r="X17" s="2202"/>
      <c r="Y17" s="2202"/>
      <c r="Z17" s="2202"/>
      <c r="AA17" s="2202"/>
      <c r="AB17" s="2202"/>
      <c r="AC17" s="16">
        <f>SUMIF(AD$12:AS$12,"总值",AD17:AS17)</f>
        <v>507.04</v>
      </c>
      <c r="AD17" s="2203"/>
      <c r="AE17" s="2203"/>
      <c r="AF17" s="2203"/>
      <c r="AG17" s="2203"/>
      <c r="AH17" s="2203"/>
      <c r="AI17" s="2203"/>
      <c r="AJ17" s="2203">
        <f>Sheet3!I11</f>
        <v>457.04</v>
      </c>
      <c r="AK17" s="2203"/>
      <c r="AL17" s="2203">
        <f>Sheet3!I12</f>
        <v>50</v>
      </c>
      <c r="AM17" s="2203"/>
      <c r="AN17" s="2203"/>
      <c r="AO17" s="2203"/>
      <c r="AP17" s="2203"/>
      <c r="AQ17" s="2203"/>
      <c r="AR17" s="2203"/>
      <c r="AS17" s="2203"/>
      <c r="AT17" s="2204"/>
      <c r="AU17" s="2205"/>
      <c r="AV17" s="11">
        <f t="shared" si="6"/>
        <v>0</v>
      </c>
      <c r="AW17" s="11">
        <f t="shared" si="6"/>
        <v>0</v>
      </c>
      <c r="AX17" s="11" t="str">
        <f>C17</f>
        <v>二期二标段</v>
      </c>
      <c r="AY17" s="1800">
        <f>ROUND($AY$6*AZ17/$AZ$5,2)</f>
        <v>51051.35</v>
      </c>
      <c r="AZ17" s="16">
        <f>BA17+BL17</f>
        <v>64165.63</v>
      </c>
      <c r="BA17" s="16">
        <f>SUM(BB17:BK17)</f>
        <v>63658.59</v>
      </c>
      <c r="BB17" s="16">
        <f>IF($D17="是",I17-J17,0)</f>
        <v>0</v>
      </c>
      <c r="BC17" s="16">
        <f>IF($D17="是",K17-L17,0)</f>
        <v>49166.119999999995</v>
      </c>
      <c r="BD17" s="16">
        <f>IF($D17="是",M17-N17,0)</f>
        <v>0</v>
      </c>
      <c r="BE17" s="16">
        <f>IF($D17="是",O17-P17,0)</f>
        <v>0</v>
      </c>
      <c r="BF17" s="16">
        <f>IF($D17="是",Q17-R17,0)</f>
        <v>5366.96</v>
      </c>
      <c r="BG17" s="16">
        <f>IF($D17="是",S17-T17,0)</f>
        <v>9125.51</v>
      </c>
      <c r="BH17" s="16">
        <f>IF($D17="是",U17-V17,0)</f>
        <v>0</v>
      </c>
      <c r="BI17" s="16">
        <f>IF($D17="是",W17-X17,0)</f>
        <v>0</v>
      </c>
      <c r="BJ17" s="16">
        <f>IF($D17="是",Y17-Z17,0)</f>
        <v>0</v>
      </c>
      <c r="BK17" s="16">
        <f>IF($D17="是",AA17-AB17,0)</f>
        <v>0</v>
      </c>
      <c r="BL17" s="16">
        <f>SUM(BM17:BT17)</f>
        <v>507.04</v>
      </c>
      <c r="BM17" s="16">
        <f>IF($D17="是",AD17-AE17,0)</f>
        <v>0</v>
      </c>
      <c r="BN17" s="16">
        <f>IF($D17="是",AF17-AG17,0)</f>
        <v>0</v>
      </c>
      <c r="BO17" s="16">
        <f>IF($D17="是",AH17-AI17,0)</f>
        <v>0</v>
      </c>
      <c r="BP17" s="16">
        <f>IF($D17="是",AJ17-AK17,0)</f>
        <v>457.04</v>
      </c>
      <c r="BQ17" s="16">
        <f>IF($D17="是",AL17-AM17,0)</f>
        <v>50</v>
      </c>
      <c r="BR17" s="16">
        <f>IF($D17="是",AN17-AO17,0)</f>
        <v>0</v>
      </c>
      <c r="BS17" s="16">
        <f>IF($D17="是",AP17-AQ17,0)</f>
        <v>0</v>
      </c>
      <c r="BT17" s="22">
        <f>IF($D17="是",AR17-AS17,0)</f>
        <v>0</v>
      </c>
    </row>
    <row r="18" spans="1:72">
      <c r="A18" s="9"/>
      <c r="B18" s="34"/>
      <c r="C18" s="3016" t="s">
        <v>3241</v>
      </c>
      <c r="D18" s="2206" t="s">
        <v>3030</v>
      </c>
      <c r="E18" s="35">
        <f t="shared" ref="E18:E112" si="7">IF($C$3="是",ROUND($A$3*G18/$B$3,2),ROUND($A$3*(G18-AT18)/$B$3,2))</f>
        <v>7417.31</v>
      </c>
      <c r="F18" s="36"/>
      <c r="G18" s="37">
        <f t="shared" ref="G18:G109" si="8">H18+AC18+AT18</f>
        <v>9322.7000000000007</v>
      </c>
      <c r="H18" s="38">
        <f t="shared" ref="H18:H109" si="9">SUMIF(I$12:AB$12,"总值",I18:AB18)</f>
        <v>9322.7000000000007</v>
      </c>
      <c r="I18" s="39">
        <f>Sheet3!D4</f>
        <v>9322.7000000000007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9">
        <f t="shared" ref="AV18:AV112" si="11">A18</f>
        <v>0</v>
      </c>
      <c r="AW18" s="1789">
        <f t="shared" ref="AW18:AW112" si="12">B18</f>
        <v>0</v>
      </c>
      <c r="AX18" s="1789"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6" t="s">
        <v>3242</v>
      </c>
      <c r="D19" s="2206"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9">
        <f t="shared" si="11"/>
        <v>0</v>
      </c>
      <c r="AW19" s="1789">
        <f t="shared" si="12"/>
        <v>0</v>
      </c>
      <c r="AX19" s="1789"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6" t="s">
        <v>3469</v>
      </c>
      <c r="D20" s="2206"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9">
        <f t="shared" si="11"/>
        <v>0</v>
      </c>
      <c r="AW20" s="1789">
        <f t="shared" si="12"/>
        <v>0</v>
      </c>
      <c r="AX20" s="1789"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ht="42.75">
      <c r="A21" s="9"/>
      <c r="B21" s="34"/>
      <c r="C21" s="3016" t="s">
        <v>3550</v>
      </c>
      <c r="D21" s="2206" t="s">
        <v>3030</v>
      </c>
      <c r="E21" s="35">
        <f t="shared" si="7"/>
        <v>4781.92</v>
      </c>
      <c r="F21" s="36"/>
      <c r="G21" s="37">
        <f t="shared" si="8"/>
        <v>6010.32</v>
      </c>
      <c r="H21" s="38">
        <f t="shared" si="9"/>
        <v>6010.32</v>
      </c>
      <c r="I21" s="39"/>
      <c r="J21" s="39"/>
      <c r="K21" s="39">
        <f>Sheet3!F19</f>
        <v>6010.32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9">
        <f t="shared" si="11"/>
        <v>0</v>
      </c>
      <c r="AW21" s="1789">
        <f t="shared" si="12"/>
        <v>0</v>
      </c>
      <c r="AX21" s="1789" t="str">
        <f t="shared" si="35"/>
        <v>二期一标段不抵押洋房</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9">
        <f t="shared" si="11"/>
        <v>0</v>
      </c>
      <c r="AW22" s="1789">
        <f t="shared" si="12"/>
        <v>0</v>
      </c>
      <c r="AX22" s="1789">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9">
        <f t="shared" si="11"/>
        <v>0</v>
      </c>
      <c r="AW23" s="1789">
        <f t="shared" si="12"/>
        <v>0</v>
      </c>
      <c r="AX23" s="1789">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9">
        <f t="shared" si="11"/>
        <v>0</v>
      </c>
      <c r="AW24" s="1789">
        <f t="shared" si="12"/>
        <v>0</v>
      </c>
      <c r="AX24" s="1789">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9">
        <f t="shared" si="11"/>
        <v>0</v>
      </c>
      <c r="AW25" s="1789">
        <f t="shared" si="12"/>
        <v>0</v>
      </c>
      <c r="AX25" s="1789">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9">
        <f t="shared" si="11"/>
        <v>0</v>
      </c>
      <c r="AW26" s="1789">
        <f t="shared" si="12"/>
        <v>0</v>
      </c>
      <c r="AX26" s="1789">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9">
        <f t="shared" si="11"/>
        <v>0</v>
      </c>
      <c r="AW27" s="1789">
        <f t="shared" si="12"/>
        <v>0</v>
      </c>
      <c r="AX27" s="1789">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9">
        <f t="shared" si="11"/>
        <v>0</v>
      </c>
      <c r="AW28" s="1789">
        <f t="shared" si="12"/>
        <v>0</v>
      </c>
      <c r="AX28" s="1789">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9">
        <f t="shared" si="11"/>
        <v>0</v>
      </c>
      <c r="AW29" s="1789">
        <f t="shared" si="12"/>
        <v>0</v>
      </c>
      <c r="AX29" s="1789">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9">
        <f t="shared" si="11"/>
        <v>0</v>
      </c>
      <c r="AW30" s="1789">
        <f t="shared" si="12"/>
        <v>0</v>
      </c>
      <c r="AX30" s="1789">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6"/>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9">
        <f t="shared" si="11"/>
        <v>0</v>
      </c>
      <c r="AW31" s="1789">
        <f t="shared" si="12"/>
        <v>0</v>
      </c>
      <c r="AX31" s="1789">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6"/>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9">
        <f t="shared" si="11"/>
        <v>0</v>
      </c>
      <c r="AW32" s="1789">
        <f t="shared" si="12"/>
        <v>0</v>
      </c>
      <c r="AX32" s="1789">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9">
        <f t="shared" si="11"/>
        <v>0</v>
      </c>
      <c r="AW33" s="1789">
        <f t="shared" si="12"/>
        <v>0</v>
      </c>
      <c r="AX33" s="1789">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9">
        <f t="shared" si="11"/>
        <v>0</v>
      </c>
      <c r="AW34" s="1789">
        <f t="shared" si="12"/>
        <v>0</v>
      </c>
      <c r="AX34" s="1789">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9">
        <f t="shared" si="11"/>
        <v>0</v>
      </c>
      <c r="AW35" s="1789">
        <f t="shared" si="12"/>
        <v>0</v>
      </c>
      <c r="AX35" s="1789">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9">
        <f t="shared" si="11"/>
        <v>0</v>
      </c>
      <c r="AW36" s="1789">
        <f t="shared" si="12"/>
        <v>0</v>
      </c>
      <c r="AX36" s="1789">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9">
        <f t="shared" si="11"/>
        <v>0</v>
      </c>
      <c r="AW37" s="1789">
        <f t="shared" si="12"/>
        <v>0</v>
      </c>
      <c r="AX37" s="1789">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9">
        <f t="shared" si="11"/>
        <v>0</v>
      </c>
      <c r="AW38" s="1789">
        <f t="shared" si="12"/>
        <v>0</v>
      </c>
      <c r="AX38" s="1789">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9">
        <f t="shared" si="11"/>
        <v>0</v>
      </c>
      <c r="AW39" s="1789">
        <f t="shared" si="12"/>
        <v>0</v>
      </c>
      <c r="AX39" s="1789">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9">
        <f t="shared" si="11"/>
        <v>0</v>
      </c>
      <c r="AW40" s="1789">
        <f t="shared" si="12"/>
        <v>0</v>
      </c>
      <c r="AX40" s="1789">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9">
        <f t="shared" si="11"/>
        <v>0</v>
      </c>
      <c r="AW41" s="1789">
        <f t="shared" si="12"/>
        <v>0</v>
      </c>
      <c r="AX41" s="1789">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9">
        <f t="shared" si="11"/>
        <v>0</v>
      </c>
      <c r="AW42" s="1789">
        <f t="shared" si="12"/>
        <v>0</v>
      </c>
      <c r="AX42" s="1789">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9">
        <f t="shared" si="11"/>
        <v>0</v>
      </c>
      <c r="AW43" s="1789">
        <f t="shared" si="12"/>
        <v>0</v>
      </c>
      <c r="AX43" s="1789">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9">
        <f t="shared" si="11"/>
        <v>0</v>
      </c>
      <c r="AW44" s="1789">
        <f t="shared" si="12"/>
        <v>0</v>
      </c>
      <c r="AX44" s="1789">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9">
        <f t="shared" si="11"/>
        <v>0</v>
      </c>
      <c r="AW45" s="1789">
        <f t="shared" si="12"/>
        <v>0</v>
      </c>
      <c r="AX45" s="1789">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9">
        <f t="shared" si="11"/>
        <v>0</v>
      </c>
      <c r="AW46" s="1789">
        <f t="shared" si="12"/>
        <v>0</v>
      </c>
      <c r="AX46" s="1789">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9">
        <f t="shared" si="11"/>
        <v>0</v>
      </c>
      <c r="AW47" s="1789">
        <f t="shared" si="12"/>
        <v>0</v>
      </c>
      <c r="AX47" s="1789">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9">
        <f t="shared" si="11"/>
        <v>0</v>
      </c>
      <c r="AW48" s="1789">
        <f t="shared" si="12"/>
        <v>0</v>
      </c>
      <c r="AX48" s="1789">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9">
        <f t="shared" si="11"/>
        <v>0</v>
      </c>
      <c r="AW49" s="1789">
        <f t="shared" si="12"/>
        <v>0</v>
      </c>
      <c r="AX49" s="1789">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9">
        <f t="shared" si="11"/>
        <v>0</v>
      </c>
      <c r="AW50" s="1789">
        <f t="shared" si="12"/>
        <v>0</v>
      </c>
      <c r="AX50" s="1789">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9">
        <f t="shared" si="11"/>
        <v>0</v>
      </c>
      <c r="AW51" s="1789">
        <f t="shared" si="12"/>
        <v>0</v>
      </c>
      <c r="AX51" s="1789">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9">
        <f t="shared" si="11"/>
        <v>0</v>
      </c>
      <c r="AW52" s="1789">
        <f t="shared" si="12"/>
        <v>0</v>
      </c>
      <c r="AX52" s="1789">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9">
        <f t="shared" si="11"/>
        <v>0</v>
      </c>
      <c r="AW53" s="1789">
        <f t="shared" si="12"/>
        <v>0</v>
      </c>
      <c r="AX53" s="1789">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9">
        <f t="shared" si="11"/>
        <v>0</v>
      </c>
      <c r="AW54" s="1789">
        <f t="shared" si="12"/>
        <v>0</v>
      </c>
      <c r="AX54" s="1789">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9">
        <f t="shared" si="11"/>
        <v>0</v>
      </c>
      <c r="AW55" s="1789">
        <f t="shared" si="12"/>
        <v>0</v>
      </c>
      <c r="AX55" s="1789">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9">
        <f t="shared" si="11"/>
        <v>0</v>
      </c>
      <c r="AW56" s="1789">
        <f t="shared" si="12"/>
        <v>0</v>
      </c>
      <c r="AX56" s="1789">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9">
        <f t="shared" si="11"/>
        <v>0</v>
      </c>
      <c r="AW57" s="1789">
        <f t="shared" si="12"/>
        <v>0</v>
      </c>
      <c r="AX57" s="1789">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9">
        <f t="shared" si="11"/>
        <v>0</v>
      </c>
      <c r="AW58" s="1789">
        <f t="shared" si="12"/>
        <v>0</v>
      </c>
      <c r="AX58" s="1789">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9">
        <f t="shared" si="11"/>
        <v>0</v>
      </c>
      <c r="AW59" s="1789">
        <f t="shared" si="12"/>
        <v>0</v>
      </c>
      <c r="AX59" s="1789">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9">
        <f t="shared" si="11"/>
        <v>0</v>
      </c>
      <c r="AW60" s="1789">
        <f t="shared" si="12"/>
        <v>0</v>
      </c>
      <c r="AX60" s="1789">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9">
        <f t="shared" si="11"/>
        <v>0</v>
      </c>
      <c r="AW61" s="1789">
        <f t="shared" si="12"/>
        <v>0</v>
      </c>
      <c r="AX61" s="1789">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9">
        <f t="shared" si="11"/>
        <v>0</v>
      </c>
      <c r="AW62" s="1789">
        <f t="shared" si="12"/>
        <v>0</v>
      </c>
      <c r="AX62" s="1789">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9">
        <f t="shared" si="11"/>
        <v>0</v>
      </c>
      <c r="AW63" s="1789">
        <f t="shared" si="12"/>
        <v>0</v>
      </c>
      <c r="AX63" s="1789">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9">
        <f t="shared" si="11"/>
        <v>0</v>
      </c>
      <c r="AW64" s="1789">
        <f t="shared" si="12"/>
        <v>0</v>
      </c>
      <c r="AX64" s="1789">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9">
        <f t="shared" si="11"/>
        <v>0</v>
      </c>
      <c r="AW65" s="1789">
        <f t="shared" si="12"/>
        <v>0</v>
      </c>
      <c r="AX65" s="1789">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9">
        <f t="shared" si="11"/>
        <v>0</v>
      </c>
      <c r="AW66" s="1789">
        <f t="shared" si="12"/>
        <v>0</v>
      </c>
      <c r="AX66" s="1789">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9">
        <f t="shared" si="11"/>
        <v>0</v>
      </c>
      <c r="AW67" s="1789">
        <f t="shared" si="12"/>
        <v>0</v>
      </c>
      <c r="AX67" s="1789">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9">
        <f t="shared" si="11"/>
        <v>0</v>
      </c>
      <c r="AW68" s="1789">
        <f t="shared" si="12"/>
        <v>0</v>
      </c>
      <c r="AX68" s="1789">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9">
        <f t="shared" si="11"/>
        <v>0</v>
      </c>
      <c r="AW69" s="1789">
        <f t="shared" si="12"/>
        <v>0</v>
      </c>
      <c r="AX69" s="1789">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9">
        <f t="shared" si="11"/>
        <v>0</v>
      </c>
      <c r="AW70" s="1789">
        <f t="shared" si="12"/>
        <v>0</v>
      </c>
      <c r="AX70" s="1789">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9">
        <f t="shared" si="11"/>
        <v>0</v>
      </c>
      <c r="AW71" s="1789">
        <f t="shared" si="12"/>
        <v>0</v>
      </c>
      <c r="AX71" s="1789">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9">
        <f t="shared" si="11"/>
        <v>0</v>
      </c>
      <c r="AW72" s="1789">
        <f t="shared" si="12"/>
        <v>0</v>
      </c>
      <c r="AX72" s="1789">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9">
        <f t="shared" si="11"/>
        <v>0</v>
      </c>
      <c r="AW73" s="1789">
        <f t="shared" si="12"/>
        <v>0</v>
      </c>
      <c r="AX73" s="1789">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9">
        <f t="shared" si="11"/>
        <v>0</v>
      </c>
      <c r="AW74" s="1789">
        <f t="shared" si="12"/>
        <v>0</v>
      </c>
      <c r="AX74" s="1789">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9">
        <f t="shared" si="11"/>
        <v>0</v>
      </c>
      <c r="AW75" s="1789">
        <f t="shared" si="12"/>
        <v>0</v>
      </c>
      <c r="AX75" s="1789">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9">
        <f t="shared" si="11"/>
        <v>0</v>
      </c>
      <c r="AW76" s="1789">
        <f t="shared" si="12"/>
        <v>0</v>
      </c>
      <c r="AX76" s="1789">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9">
        <f t="shared" si="11"/>
        <v>0</v>
      </c>
      <c r="AW77" s="1789">
        <f t="shared" si="12"/>
        <v>0</v>
      </c>
      <c r="AX77" s="1789">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9">
        <f t="shared" si="11"/>
        <v>0</v>
      </c>
      <c r="AW78" s="1789">
        <f t="shared" si="12"/>
        <v>0</v>
      </c>
      <c r="AX78" s="1789">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9">
        <f t="shared" si="11"/>
        <v>0</v>
      </c>
      <c r="AW79" s="1789">
        <f t="shared" si="12"/>
        <v>0</v>
      </c>
      <c r="AX79" s="1789">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9">
        <f t="shared" si="11"/>
        <v>0</v>
      </c>
      <c r="AW80" s="1789">
        <f t="shared" si="12"/>
        <v>0</v>
      </c>
      <c r="AX80" s="1789">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9">
        <f t="shared" si="11"/>
        <v>0</v>
      </c>
      <c r="AW81" s="1789">
        <f t="shared" si="12"/>
        <v>0</v>
      </c>
      <c r="AX81" s="1789">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9">
        <f t="shared" si="11"/>
        <v>0</v>
      </c>
      <c r="AW82" s="1789">
        <f t="shared" si="12"/>
        <v>0</v>
      </c>
      <c r="AX82" s="1789">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9">
        <f t="shared" si="11"/>
        <v>0</v>
      </c>
      <c r="AW83" s="1789">
        <f t="shared" si="12"/>
        <v>0</v>
      </c>
      <c r="AX83" s="1789">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9">
        <f t="shared" si="11"/>
        <v>0</v>
      </c>
      <c r="AW84" s="1789">
        <f t="shared" si="12"/>
        <v>0</v>
      </c>
      <c r="AX84" s="1789">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9">
        <f t="shared" si="11"/>
        <v>0</v>
      </c>
      <c r="AW85" s="1789">
        <f t="shared" si="12"/>
        <v>0</v>
      </c>
      <c r="AX85" s="1789">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9">
        <f t="shared" si="11"/>
        <v>0</v>
      </c>
      <c r="AW86" s="1789">
        <f t="shared" si="12"/>
        <v>0</v>
      </c>
      <c r="AX86" s="1789">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9">
        <f t="shared" si="11"/>
        <v>0</v>
      </c>
      <c r="AW87" s="1789">
        <f t="shared" si="12"/>
        <v>0</v>
      </c>
      <c r="AX87" s="1789">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9">
        <f t="shared" si="11"/>
        <v>0</v>
      </c>
      <c r="AW88" s="1789">
        <f t="shared" si="12"/>
        <v>0</v>
      </c>
      <c r="AX88" s="1789">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9">
        <f t="shared" si="11"/>
        <v>0</v>
      </c>
      <c r="AW89" s="1789">
        <f t="shared" si="12"/>
        <v>0</v>
      </c>
      <c r="AX89" s="1789">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9">
        <f t="shared" si="11"/>
        <v>0</v>
      </c>
      <c r="AW90" s="1789">
        <f t="shared" si="12"/>
        <v>0</v>
      </c>
      <c r="AX90" s="1789">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9">
        <f t="shared" si="11"/>
        <v>0</v>
      </c>
      <c r="AW91" s="1789">
        <f t="shared" si="12"/>
        <v>0</v>
      </c>
      <c r="AX91" s="1789">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9">
        <f t="shared" si="11"/>
        <v>0</v>
      </c>
      <c r="AW92" s="1789">
        <f t="shared" si="12"/>
        <v>0</v>
      </c>
      <c r="AX92" s="1789">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9">
        <f t="shared" si="11"/>
        <v>0</v>
      </c>
      <c r="AW93" s="1789">
        <f t="shared" si="12"/>
        <v>0</v>
      </c>
      <c r="AX93" s="1789">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9">
        <f t="shared" si="11"/>
        <v>0</v>
      </c>
      <c r="AW94" s="1789">
        <f t="shared" si="12"/>
        <v>0</v>
      </c>
      <c r="AX94" s="1789">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9">
        <f t="shared" si="11"/>
        <v>0</v>
      </c>
      <c r="AW95" s="1789">
        <f t="shared" si="12"/>
        <v>0</v>
      </c>
      <c r="AX95" s="1789">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9">
        <f t="shared" si="11"/>
        <v>0</v>
      </c>
      <c r="AW96" s="1789">
        <f t="shared" si="12"/>
        <v>0</v>
      </c>
      <c r="AX96" s="1789">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9">
        <f t="shared" si="11"/>
        <v>0</v>
      </c>
      <c r="AW97" s="1789">
        <f t="shared" si="12"/>
        <v>0</v>
      </c>
      <c r="AX97" s="1789">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9">
        <f t="shared" si="11"/>
        <v>0</v>
      </c>
      <c r="AW98" s="1789">
        <f t="shared" si="12"/>
        <v>0</v>
      </c>
      <c r="AX98" s="1789">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9">
        <f t="shared" si="11"/>
        <v>0</v>
      </c>
      <c r="AW99" s="1789">
        <f t="shared" si="12"/>
        <v>0</v>
      </c>
      <c r="AX99" s="1789">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9">
        <f t="shared" si="11"/>
        <v>0</v>
      </c>
      <c r="AW100" s="1789">
        <f t="shared" si="12"/>
        <v>0</v>
      </c>
      <c r="AX100" s="1789">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9">
        <f t="shared" si="11"/>
        <v>0</v>
      </c>
      <c r="AW101" s="1789">
        <f t="shared" si="12"/>
        <v>0</v>
      </c>
      <c r="AX101" s="1789">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9">
        <f t="shared" si="11"/>
        <v>0</v>
      </c>
      <c r="AW102" s="1789">
        <f t="shared" si="12"/>
        <v>0</v>
      </c>
      <c r="AX102" s="1789">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9">
        <f t="shared" si="11"/>
        <v>0</v>
      </c>
      <c r="AW103" s="1789">
        <f t="shared" si="12"/>
        <v>0</v>
      </c>
      <c r="AX103" s="1789">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9">
        <f t="shared" si="11"/>
        <v>0</v>
      </c>
      <c r="AW104" s="1789">
        <f t="shared" si="12"/>
        <v>0</v>
      </c>
      <c r="AX104" s="1789">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9">
        <f t="shared" si="11"/>
        <v>0</v>
      </c>
      <c r="AW105" s="1789">
        <f t="shared" si="12"/>
        <v>0</v>
      </c>
      <c r="AX105" s="1789">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9">
        <f t="shared" si="11"/>
        <v>0</v>
      </c>
      <c r="AW106" s="1789">
        <f t="shared" si="12"/>
        <v>0</v>
      </c>
      <c r="AX106" s="1789">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9">
        <f t="shared" si="11"/>
        <v>0</v>
      </c>
      <c r="AW107" s="1789">
        <f t="shared" si="12"/>
        <v>0</v>
      </c>
      <c r="AX107" s="1789">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9">
        <f t="shared" si="11"/>
        <v>0</v>
      </c>
      <c r="AW108" s="1789">
        <f t="shared" si="12"/>
        <v>0</v>
      </c>
      <c r="AX108" s="1789">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9">
        <f t="shared" si="11"/>
        <v>0</v>
      </c>
      <c r="AW109" s="1789">
        <f t="shared" si="12"/>
        <v>0</v>
      </c>
      <c r="AX109" s="1789">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9">
        <f t="shared" si="11"/>
        <v>0</v>
      </c>
      <c r="AW110" s="1789">
        <f t="shared" si="12"/>
        <v>0</v>
      </c>
      <c r="AX110" s="1789">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9">
        <f t="shared" si="11"/>
        <v>0</v>
      </c>
      <c r="AW111" s="1789">
        <f t="shared" si="12"/>
        <v>0</v>
      </c>
      <c r="AX111" s="1789">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9">
        <f t="shared" si="11"/>
        <v>0</v>
      </c>
      <c r="AW112" s="1789">
        <f t="shared" si="12"/>
        <v>0</v>
      </c>
      <c r="AX112" s="1789">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7"/>
      <c r="C1" s="1387"/>
      <c r="D1" s="1387"/>
      <c r="E1" s="1387"/>
      <c r="F1" s="1387"/>
      <c r="G1" s="1387"/>
      <c r="H1" s="1387"/>
      <c r="I1" s="1387"/>
      <c r="J1" s="1387"/>
      <c r="K1" s="1387"/>
      <c r="L1" s="1387"/>
      <c r="M1" s="1387"/>
      <c r="N1" s="1387"/>
      <c r="O1" s="1387"/>
      <c r="P1" s="1387"/>
    </row>
    <row r="2" spans="1:16" ht="15">
      <c r="A2" s="3158" t="s">
        <v>1934</v>
      </c>
      <c r="B2" s="3158"/>
      <c r="C2" s="3158"/>
      <c r="D2" s="964" t="s">
        <v>1910</v>
      </c>
      <c r="E2" s="2215" t="s">
        <v>1911</v>
      </c>
      <c r="F2" s="1387"/>
      <c r="G2" s="2216"/>
      <c r="H2" s="2217"/>
      <c r="I2" s="2218" t="s">
        <v>1935</v>
      </c>
      <c r="J2" s="1387"/>
      <c r="K2" s="1387"/>
      <c r="L2" s="1387"/>
      <c r="M2" s="1387"/>
      <c r="N2" s="1422"/>
      <c r="O2" s="1387"/>
      <c r="P2" s="1387"/>
    </row>
    <row r="3" spans="1:16" ht="15.75" thickBot="1">
      <c r="A3" s="3159" t="s">
        <v>1908</v>
      </c>
      <c r="B3" s="3159"/>
      <c r="C3" s="3159"/>
      <c r="D3" s="46">
        <f>'数据-基础表'!AY6</f>
        <v>51051.35</v>
      </c>
      <c r="E3" s="46">
        <f>'数据-基础表'!AZ5</f>
        <v>64165.63</v>
      </c>
      <c r="F3" s="1387"/>
      <c r="G3" s="1394"/>
      <c r="H3" s="1242" t="s">
        <v>1909</v>
      </c>
      <c r="I3" s="55">
        <f>ROUND('数据-基础表'!B3/'数据-基础表'!A3,2)</f>
        <v>1.26</v>
      </c>
      <c r="J3" s="1387"/>
      <c r="K3" s="1387"/>
      <c r="L3" s="1387"/>
      <c r="M3" s="1387"/>
      <c r="N3" s="1422"/>
      <c r="O3" s="1387"/>
      <c r="P3" s="1387"/>
    </row>
    <row r="4" spans="1:16" ht="15">
      <c r="A4" s="3160"/>
      <c r="B4" s="3161"/>
      <c r="C4" s="3162"/>
      <c r="D4" s="2219" t="s">
        <v>1910</v>
      </c>
      <c r="E4" s="2220" t="s">
        <v>1911</v>
      </c>
      <c r="F4" s="1387"/>
      <c r="G4" s="2221" t="s">
        <v>1936</v>
      </c>
      <c r="H4" s="1242" t="s">
        <v>1916</v>
      </c>
      <c r="I4" s="55">
        <f>ROUND(SUMIF('数据-基础表'!I9:AS9,"地上",'数据-基础表'!I5:AS5)/'数据-基础表'!A3,2)</f>
        <v>0.93</v>
      </c>
      <c r="J4" s="1387"/>
      <c r="K4" s="1387"/>
      <c r="L4" s="1387"/>
      <c r="M4" s="1387"/>
      <c r="N4" s="1422"/>
      <c r="O4" s="1387"/>
      <c r="P4" s="1387"/>
    </row>
    <row r="5" spans="1:16">
      <c r="A5" s="47" t="s">
        <v>1912</v>
      </c>
      <c r="B5" s="3163" t="s">
        <v>1913</v>
      </c>
      <c r="C5" s="3163"/>
      <c r="D5" s="48">
        <f>ROUND($D$3*E5/$E$3,2)</f>
        <v>39117.47</v>
      </c>
      <c r="E5" s="49">
        <f>SUMIF('数据-基础表'!$11:$11,"住宅",'数据-基础表'!$5:$5)</f>
        <v>49166.119999999995</v>
      </c>
      <c r="F5" s="1387"/>
      <c r="G5" s="1394"/>
      <c r="H5" s="1242" t="s">
        <v>1909</v>
      </c>
      <c r="I5" s="55">
        <f>ROUND(E31/D31,2)</f>
        <v>1.26</v>
      </c>
      <c r="J5" s="1387"/>
      <c r="K5" s="1387"/>
      <c r="L5" s="1387"/>
      <c r="M5" s="1387"/>
      <c r="N5" s="1387"/>
      <c r="O5" s="1387"/>
      <c r="P5" s="1387"/>
    </row>
    <row r="6" spans="1:16" ht="15" thickBot="1">
      <c r="A6" s="2222"/>
      <c r="B6" s="3163" t="s">
        <v>1914</v>
      </c>
      <c r="C6" s="3163"/>
      <c r="D6" s="48">
        <f>ROUND($D$3*E6/$E$3,2)</f>
        <v>11933.88</v>
      </c>
      <c r="E6" s="49">
        <f>E3-E5</f>
        <v>14999.510000000002</v>
      </c>
      <c r="F6" s="1387"/>
      <c r="G6" s="2223" t="s">
        <v>1915</v>
      </c>
      <c r="H6" s="1394" t="s">
        <v>1916</v>
      </c>
      <c r="I6" s="936">
        <f>ROUND(F31/D31,2)</f>
        <v>0.96</v>
      </c>
      <c r="J6" s="1387"/>
      <c r="K6" s="1387"/>
      <c r="L6" s="1387"/>
      <c r="M6" s="1387"/>
      <c r="N6" s="1387"/>
      <c r="O6" s="1387"/>
      <c r="P6" s="1387"/>
    </row>
    <row r="7" spans="1:16" ht="15">
      <c r="A7" s="3155"/>
      <c r="B7" s="3156"/>
      <c r="C7" s="3157"/>
      <c r="D7" s="2219" t="s">
        <v>1910</v>
      </c>
      <c r="E7" s="2224" t="s">
        <v>1917</v>
      </c>
      <c r="F7" s="1387"/>
      <c r="G7" s="2216" t="s">
        <v>1918</v>
      </c>
      <c r="H7" s="64"/>
      <c r="I7" s="3053">
        <v>1.21</v>
      </c>
      <c r="J7" s="1387"/>
      <c r="K7" s="1387"/>
      <c r="L7" s="1387"/>
      <c r="M7" s="1387"/>
      <c r="N7" s="1387"/>
      <c r="O7" s="1387"/>
      <c r="P7" s="1387"/>
    </row>
    <row r="8" spans="1:16">
      <c r="A8" s="47" t="s">
        <v>1919</v>
      </c>
      <c r="B8" s="50" t="s">
        <v>1920</v>
      </c>
      <c r="C8" s="48" t="s">
        <v>1921</v>
      </c>
      <c r="D8" s="48">
        <f t="shared" ref="D8:D15" si="0">ROUND($D$3*E8/$E$3,2)</f>
        <v>39117.47</v>
      </c>
      <c r="E8" s="51">
        <f>SUMIF('数据-基础表'!BB10:BK10,"地上",'数据-基础表'!BB5:BK5)</f>
        <v>49166.119999999995</v>
      </c>
      <c r="F8" s="1387"/>
      <c r="G8" s="2225"/>
      <c r="H8" s="2225"/>
      <c r="I8" s="1387"/>
      <c r="J8" s="1387"/>
      <c r="K8" s="1387"/>
      <c r="L8" s="1387"/>
      <c r="M8" s="1387"/>
      <c r="N8" s="1387"/>
      <c r="O8" s="1387"/>
      <c r="P8" s="1387"/>
    </row>
    <row r="9" spans="1:16">
      <c r="A9" s="2226"/>
      <c r="B9" s="2227"/>
      <c r="C9" s="48" t="s">
        <v>1922</v>
      </c>
      <c r="D9" s="48">
        <f t="shared" si="0"/>
        <v>0</v>
      </c>
      <c r="E9" s="52">
        <v>0</v>
      </c>
      <c r="F9" s="1387"/>
      <c r="G9" s="2225"/>
      <c r="H9" s="2225"/>
      <c r="I9" s="1387"/>
      <c r="J9" s="1387"/>
      <c r="K9" s="1387"/>
      <c r="L9" s="1387"/>
      <c r="M9" s="1387"/>
      <c r="N9" s="1387"/>
      <c r="O9" s="1387"/>
      <c r="P9" s="1387"/>
    </row>
    <row r="10" spans="1:16">
      <c r="A10" s="2226"/>
      <c r="B10" s="2227"/>
      <c r="C10" s="48" t="s">
        <v>1931</v>
      </c>
      <c r="D10" s="48">
        <f t="shared" si="0"/>
        <v>0</v>
      </c>
      <c r="E10" s="51">
        <f>SUMPRODUCT(('数据-基础表'!BB10:BK10="地下")*('数据-基础表'!BB11:BK11="商业")*('数据-基础表'!BB5:BK5))</f>
        <v>0</v>
      </c>
      <c r="F10" s="1387"/>
      <c r="G10" s="2225"/>
      <c r="H10" s="2225"/>
      <c r="I10" s="1387"/>
      <c r="J10" s="1387"/>
      <c r="K10" s="1387"/>
      <c r="L10" s="1387"/>
      <c r="M10" s="1387"/>
      <c r="N10" s="1387"/>
      <c r="O10" s="1387"/>
      <c r="P10" s="1387"/>
    </row>
    <row r="11" spans="1:16">
      <c r="A11" s="2226"/>
      <c r="B11" s="2227"/>
      <c r="C11" s="48" t="s">
        <v>1923</v>
      </c>
      <c r="D11" s="48">
        <f t="shared" si="0"/>
        <v>363.63</v>
      </c>
      <c r="E11" s="51">
        <f>SUMPRODUCT(('数据-基础表'!BB10:BK10="地下")*('数据-基础表'!BB11:BK11="办公")*('数据-基础表'!BB5:BK5))+'数据-基础表'!BP5</f>
        <v>457.04</v>
      </c>
      <c r="F11" s="1387"/>
      <c r="G11" s="2225"/>
      <c r="H11" s="2225"/>
      <c r="I11" s="1387"/>
      <c r="J11" s="1387"/>
      <c r="K11" s="1387"/>
      <c r="L11" s="1387"/>
      <c r="M11" s="1387"/>
      <c r="N11" s="1387"/>
      <c r="O11" s="1387"/>
      <c r="P11" s="1387"/>
    </row>
    <row r="12" spans="1:16">
      <c r="A12" s="2226"/>
      <c r="B12" s="2227"/>
      <c r="C12" s="48" t="s">
        <v>1924</v>
      </c>
      <c r="D12" s="48">
        <f t="shared" si="0"/>
        <v>4270.05</v>
      </c>
      <c r="E12" s="51">
        <f>SUMPRODUCT(('数据-基础表'!BB10:BK10="地下")*('数据-基础表'!BB11:BK11="仓储")*('数据-基础表'!BB5:BK5))</f>
        <v>5366.96</v>
      </c>
      <c r="F12" s="1387"/>
      <c r="G12" s="2225"/>
      <c r="H12" s="2225"/>
      <c r="I12" s="1387"/>
      <c r="J12" s="1387"/>
      <c r="K12" s="1387"/>
      <c r="L12" s="1387"/>
      <c r="M12" s="1387"/>
      <c r="N12" s="1387"/>
      <c r="O12" s="1387"/>
      <c r="P12" s="1387"/>
    </row>
    <row r="13" spans="1:16">
      <c r="A13" s="2226"/>
      <c r="B13" s="2227"/>
      <c r="C13" s="48" t="s">
        <v>1925</v>
      </c>
      <c r="D13" s="48">
        <f t="shared" si="0"/>
        <v>7260.42</v>
      </c>
      <c r="E13" s="51">
        <f>SUMPRODUCT(('数据-基础表'!BB10:BK10="地下")*('数据-基础表'!BB11:BK11="车库")*('数据-基础表'!BB5:BK5))</f>
        <v>9125.51</v>
      </c>
      <c r="F13" s="1387"/>
      <c r="G13" s="2225"/>
      <c r="H13" s="2225"/>
      <c r="I13" s="1387"/>
      <c r="J13" s="1387"/>
      <c r="K13" s="1387"/>
      <c r="L13" s="1387"/>
      <c r="M13" s="1387"/>
      <c r="N13" s="1387"/>
      <c r="O13" s="1387"/>
      <c r="P13" s="1387"/>
    </row>
    <row r="14" spans="1:16">
      <c r="A14" s="2226"/>
      <c r="B14" s="2227"/>
      <c r="C14" s="48" t="s">
        <v>1937</v>
      </c>
      <c r="D14" s="48">
        <f t="shared" si="0"/>
        <v>0</v>
      </c>
      <c r="E14" s="51">
        <f>SUMPRODUCT(('数据-基础表'!BB10:BK10="地下")*('数据-基础表'!BB11:BK11="车库—商业")*('数据-基础表'!BB5:BK5))</f>
        <v>0</v>
      </c>
      <c r="F14" s="1387"/>
      <c r="G14" s="2225"/>
      <c r="H14" s="2225"/>
      <c r="I14" s="1387"/>
      <c r="J14" s="1387"/>
      <c r="K14" s="1387"/>
      <c r="L14" s="1387"/>
      <c r="M14" s="1387"/>
      <c r="N14" s="1387"/>
      <c r="O14" s="1387"/>
      <c r="P14" s="1387"/>
    </row>
    <row r="15" spans="1:16" ht="15" thickBot="1">
      <c r="A15" s="2226"/>
      <c r="B15" s="2227"/>
      <c r="C15" s="48" t="s">
        <v>1932</v>
      </c>
      <c r="D15" s="48">
        <f t="shared" si="0"/>
        <v>0</v>
      </c>
      <c r="E15" s="51">
        <f>SUMPRODUCT(('数据-基础表'!BB10:BK10="地下")*('数据-基础表'!BB11:BK11="车库—办公")*('数据-基础表'!BB5:BK5))</f>
        <v>0</v>
      </c>
      <c r="F15" s="1387"/>
      <c r="G15" s="2225"/>
      <c r="H15" s="2225"/>
      <c r="I15" s="1387"/>
      <c r="J15" s="1387"/>
      <c r="K15" s="1387"/>
      <c r="L15" s="1387"/>
      <c r="M15" s="1387"/>
      <c r="N15" s="1387"/>
      <c r="O15" s="1387"/>
      <c r="P15" s="1387"/>
    </row>
    <row r="16" spans="1:16" ht="15.75" thickBot="1">
      <c r="A16" s="2222"/>
      <c r="B16" s="2227"/>
      <c r="C16" s="50" t="s">
        <v>1926</v>
      </c>
      <c r="D16" s="50">
        <f>SUM(D8:D15)</f>
        <v>51011.57</v>
      </c>
      <c r="E16" s="53">
        <f>SUM(E8:E15)</f>
        <v>64115.63</v>
      </c>
      <c r="F16" s="1387"/>
      <c r="G16" s="2225"/>
      <c r="H16" s="2228" t="s">
        <v>1938</v>
      </c>
      <c r="I16" s="2229"/>
      <c r="J16" s="1387"/>
      <c r="K16" s="3152" t="s">
        <v>1938</v>
      </c>
      <c r="L16" s="3153"/>
      <c r="M16" s="3153"/>
      <c r="N16" s="3153"/>
      <c r="O16" s="3153"/>
      <c r="P16" s="3154"/>
    </row>
    <row r="17" spans="1:19" ht="15">
      <c r="A17" s="2230" t="s">
        <v>1939</v>
      </c>
      <c r="B17" s="2231" t="s">
        <v>1940</v>
      </c>
      <c r="C17" s="2232" t="s">
        <v>1941</v>
      </c>
      <c r="D17" s="2233" t="s">
        <v>1929</v>
      </c>
      <c r="E17" s="2234" t="s">
        <v>1930</v>
      </c>
      <c r="F17" s="2235"/>
      <c r="G17" s="2236"/>
      <c r="H17" s="2237" t="s">
        <v>1942</v>
      </c>
      <c r="I17" s="2238" t="s">
        <v>1927</v>
      </c>
      <c r="J17" s="1387"/>
      <c r="K17" s="3149" t="s">
        <v>1943</v>
      </c>
      <c r="L17" s="3150"/>
      <c r="M17" s="3151"/>
      <c r="N17" s="3149" t="s">
        <v>1944</v>
      </c>
      <c r="O17" s="3150"/>
      <c r="P17" s="3151"/>
      <c r="R17" s="2216" t="s">
        <v>1945</v>
      </c>
      <c r="S17" s="64"/>
    </row>
    <row r="18" spans="1:19" ht="15">
      <c r="A18" s="2226"/>
      <c r="B18" s="2239"/>
      <c r="C18" s="2240"/>
      <c r="D18" s="2241"/>
      <c r="E18" s="2242" t="s">
        <v>1946</v>
      </c>
      <c r="F18" s="2243" t="s">
        <v>1947</v>
      </c>
      <c r="G18" s="2244" t="s">
        <v>1948</v>
      </c>
      <c r="H18" s="1257" t="s">
        <v>1949</v>
      </c>
      <c r="I18" s="2245" t="s">
        <v>1950</v>
      </c>
      <c r="J18" s="1387"/>
      <c r="K18" s="1257" t="s">
        <v>1951</v>
      </c>
      <c r="L18" s="2246" t="s">
        <v>1952</v>
      </c>
      <c r="M18" s="1043" t="s">
        <v>1953</v>
      </c>
      <c r="N18" s="1257" t="s">
        <v>1951</v>
      </c>
      <c r="O18" s="2246" t="s">
        <v>1952</v>
      </c>
      <c r="P18" s="1043" t="s">
        <v>1953</v>
      </c>
      <c r="R18" s="1242" t="s">
        <v>1954</v>
      </c>
      <c r="S18" s="1242" t="s">
        <v>1955</v>
      </c>
    </row>
    <row r="19" spans="1:19">
      <c r="A19" s="2247"/>
      <c r="B19" s="50" t="s">
        <v>1928</v>
      </c>
      <c r="C19" s="3038" t="s">
        <v>3525</v>
      </c>
      <c r="D19" s="48">
        <f>ROUND($D$3*E19/$E$3,2)</f>
        <v>39117.47</v>
      </c>
      <c r="E19" s="56">
        <f t="shared" ref="E19:E26" si="1">SUM(F19:G19)</f>
        <v>49166.119999999995</v>
      </c>
      <c r="F19" s="57">
        <f>'数据-基础表'!K17</f>
        <v>49166.119999999995</v>
      </c>
      <c r="G19" s="58"/>
      <c r="H19" s="718">
        <f>ROUND($D$3*I19/$E$3,2)</f>
        <v>30.73</v>
      </c>
      <c r="I19" s="51">
        <f t="shared" ref="I19:I26" si="2">IF($I$17="自定义",P19,M19)</f>
        <v>38.619999999999997</v>
      </c>
      <c r="J19" s="1387"/>
      <c r="K19" s="1386">
        <f t="shared" ref="K19:K26" si="3">ROUND(E$28*E19/E$27,2)</f>
        <v>38.619999999999997</v>
      </c>
      <c r="L19" s="1242">
        <f t="shared" ref="L19:L26" si="4">ROUND(IF(COUNTIF(C19,"*住宅*")&gt;0,E$29*E19/E$32,0),2)</f>
        <v>0</v>
      </c>
      <c r="M19" s="1398">
        <f>K19+L19</f>
        <v>38.619999999999997</v>
      </c>
      <c r="N19" s="2248"/>
      <c r="O19" s="2249"/>
      <c r="P19" s="1398">
        <f>N19+O19</f>
        <v>0</v>
      </c>
      <c r="R19" s="1242">
        <f t="shared" ref="R19:S26" si="5">D19+H19</f>
        <v>39148.200000000004</v>
      </c>
      <c r="S19" s="1243">
        <f t="shared" si="5"/>
        <v>49204.74</v>
      </c>
    </row>
    <row r="20" spans="1:19">
      <c r="A20" s="2250"/>
      <c r="B20" s="50" t="s">
        <v>1956</v>
      </c>
      <c r="C20" s="3038" t="s">
        <v>3526</v>
      </c>
      <c r="D20" s="48">
        <f t="shared" ref="D20:D26" si="6">ROUND($D$3*E20/$E$3,2)</f>
        <v>4270.05</v>
      </c>
      <c r="E20" s="56">
        <f t="shared" si="1"/>
        <v>5366.96</v>
      </c>
      <c r="F20" s="57"/>
      <c r="G20" s="58">
        <f>'数据-基础表'!Q17</f>
        <v>5366.96</v>
      </c>
      <c r="H20" s="718">
        <f t="shared" ref="H20:H26" si="7">ROUND($D$3*I20/$E$3,2)</f>
        <v>3.36</v>
      </c>
      <c r="I20" s="51">
        <f t="shared" si="2"/>
        <v>4.22</v>
      </c>
      <c r="J20" s="1387"/>
      <c r="K20" s="1386">
        <f t="shared" si="3"/>
        <v>4.22</v>
      </c>
      <c r="L20" s="1242">
        <f t="shared" si="4"/>
        <v>0</v>
      </c>
      <c r="M20" s="1398">
        <f t="shared" ref="M20:M26" si="8">K20+L20</f>
        <v>4.22</v>
      </c>
      <c r="N20" s="2248"/>
      <c r="O20" s="2249"/>
      <c r="P20" s="1398">
        <f t="shared" ref="P20:P26" si="9">N20+O20</f>
        <v>0</v>
      </c>
      <c r="R20" s="1242">
        <f t="shared" si="5"/>
        <v>4273.41</v>
      </c>
      <c r="S20" s="1243">
        <f t="shared" si="5"/>
        <v>5371.18</v>
      </c>
    </row>
    <row r="21" spans="1:19">
      <c r="A21" s="2250"/>
      <c r="B21" s="50" t="s">
        <v>1956</v>
      </c>
      <c r="C21" s="3038" t="s">
        <v>3527</v>
      </c>
      <c r="D21" s="48">
        <f t="shared" si="6"/>
        <v>7260.42</v>
      </c>
      <c r="E21" s="56">
        <f t="shared" si="1"/>
        <v>9125.51</v>
      </c>
      <c r="F21" s="57"/>
      <c r="G21" s="58">
        <f>'数据-基础表'!S17</f>
        <v>9125.51</v>
      </c>
      <c r="H21" s="718">
        <f t="shared" si="7"/>
        <v>5.7</v>
      </c>
      <c r="I21" s="51">
        <f t="shared" si="2"/>
        <v>7.17</v>
      </c>
      <c r="J21" s="1387"/>
      <c r="K21" s="1386">
        <f t="shared" si="3"/>
        <v>7.17</v>
      </c>
      <c r="L21" s="1242">
        <f t="shared" si="4"/>
        <v>0</v>
      </c>
      <c r="M21" s="1398">
        <f t="shared" si="8"/>
        <v>7.17</v>
      </c>
      <c r="N21" s="2248"/>
      <c r="O21" s="2249"/>
      <c r="P21" s="1398">
        <f t="shared" si="9"/>
        <v>0</v>
      </c>
      <c r="R21" s="1242">
        <f t="shared" si="5"/>
        <v>7266.12</v>
      </c>
      <c r="S21" s="1243">
        <f t="shared" si="5"/>
        <v>9132.68</v>
      </c>
    </row>
    <row r="22" spans="1:19">
      <c r="A22" s="2250"/>
      <c r="B22" s="50" t="s">
        <v>1956</v>
      </c>
      <c r="C22" s="60"/>
      <c r="D22" s="48">
        <f t="shared" si="6"/>
        <v>0</v>
      </c>
      <c r="E22" s="56">
        <f t="shared" si="1"/>
        <v>0</v>
      </c>
      <c r="F22" s="61"/>
      <c r="G22" s="62"/>
      <c r="H22" s="718">
        <f t="shared" si="7"/>
        <v>0</v>
      </c>
      <c r="I22" s="51">
        <f t="shared" si="2"/>
        <v>0</v>
      </c>
      <c r="J22" s="1387"/>
      <c r="K22" s="1386">
        <f t="shared" si="3"/>
        <v>0</v>
      </c>
      <c r="L22" s="1242">
        <f t="shared" si="4"/>
        <v>0</v>
      </c>
      <c r="M22" s="1398">
        <f t="shared" si="8"/>
        <v>0</v>
      </c>
      <c r="N22" s="2248"/>
      <c r="O22" s="2249"/>
      <c r="P22" s="1398">
        <f t="shared" si="9"/>
        <v>0</v>
      </c>
      <c r="R22" s="1242">
        <f t="shared" si="5"/>
        <v>0</v>
      </c>
      <c r="S22" s="1243">
        <f t="shared" si="5"/>
        <v>0</v>
      </c>
    </row>
    <row r="23" spans="1:19">
      <c r="A23" s="2250"/>
      <c r="B23" s="50" t="s">
        <v>1956</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48"/>
      <c r="O23" s="2249"/>
      <c r="P23" s="1398">
        <f t="shared" si="9"/>
        <v>0</v>
      </c>
      <c r="R23" s="1242">
        <f t="shared" si="5"/>
        <v>0</v>
      </c>
      <c r="S23" s="1243">
        <f t="shared" si="5"/>
        <v>0</v>
      </c>
    </row>
    <row r="24" spans="1:19">
      <c r="A24" s="2250"/>
      <c r="B24" s="50" t="s">
        <v>1956</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48"/>
      <c r="O24" s="2249"/>
      <c r="P24" s="1398">
        <f t="shared" si="9"/>
        <v>0</v>
      </c>
      <c r="R24" s="1242">
        <f t="shared" si="5"/>
        <v>0</v>
      </c>
      <c r="S24" s="1243">
        <f t="shared" si="5"/>
        <v>0</v>
      </c>
    </row>
    <row r="25" spans="1:19">
      <c r="A25" s="2250"/>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8"/>
      <c r="O25" s="2249"/>
      <c r="P25" s="1398">
        <f t="shared" si="9"/>
        <v>0</v>
      </c>
      <c r="R25" s="1242">
        <f t="shared" si="5"/>
        <v>0</v>
      </c>
      <c r="S25" s="1243">
        <f t="shared" si="5"/>
        <v>0</v>
      </c>
    </row>
    <row r="26" spans="1:19">
      <c r="A26" s="2250"/>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1"/>
      <c r="O26" s="2252"/>
      <c r="P26" s="67">
        <f t="shared" si="9"/>
        <v>0</v>
      </c>
      <c r="R26" s="1242">
        <f t="shared" si="5"/>
        <v>0</v>
      </c>
      <c r="S26" s="1243">
        <f t="shared" si="5"/>
        <v>0</v>
      </c>
    </row>
    <row r="27" spans="1:19" ht="43.5" thickBot="1">
      <c r="A27" s="2250"/>
      <c r="B27" s="48"/>
      <c r="C27" s="2253" t="s">
        <v>1957</v>
      </c>
      <c r="D27" s="1388">
        <f>SUM(D19:D26)</f>
        <v>50647.94</v>
      </c>
      <c r="E27" s="1389">
        <f>IF(SUM(E19:E26)='数据-基础表'!BA5,SUM(E19:E26),IF(F27="地上面积有误","面积有误","地下面积有误"))</f>
        <v>63658.59</v>
      </c>
      <c r="F27" s="1388">
        <f>IF(SUM(F19:F26)=E8,SUM(F19:F26),"地上面积有误")</f>
        <v>49166.119999999995</v>
      </c>
      <c r="G27" s="1390">
        <f>SUM(G19:G26)</f>
        <v>14492.470000000001</v>
      </c>
      <c r="H27" s="1391">
        <f>SUM(H19:H26)</f>
        <v>39.790000000000006</v>
      </c>
      <c r="I27" s="1392">
        <f>SUM(I19:I26)</f>
        <v>50.01</v>
      </c>
      <c r="J27" s="1387"/>
      <c r="K27" s="1395">
        <f>SUM(K19:K26)</f>
        <v>50.01</v>
      </c>
      <c r="L27" s="1396">
        <f>SUM(L19:L26)</f>
        <v>0</v>
      </c>
      <c r="M27" s="1399">
        <f>SUM(M19:M26)</f>
        <v>50.01</v>
      </c>
      <c r="N27" s="1395">
        <f t="shared" ref="N27:O27" si="10">SUM(N19:N26)</f>
        <v>0</v>
      </c>
      <c r="O27" s="1396">
        <f t="shared" si="10"/>
        <v>0</v>
      </c>
      <c r="P27" s="1397">
        <f>SUM(P19:P26)</f>
        <v>0</v>
      </c>
      <c r="R27" s="1244" t="str">
        <f>IF(SUM(R19:R26)=$D$3,SUM(R19:R26),SUM(R19:R26)&amp;"误差"&amp;ROUND(SUM(R19:R26)-$D$3,2))</f>
        <v>50687.73误差-363.62</v>
      </c>
      <c r="S27" s="1242" t="str">
        <f>IF(SUM(S19:S26)=$E$3,SUM(S19:S26),SUM(S19:S26)&amp;"误差"&amp;ROUND(SUM(S19:S26)-E3,2))</f>
        <v>63708.6误差-457.03</v>
      </c>
    </row>
    <row r="28" spans="1:19">
      <c r="A28" s="2250"/>
      <c r="B28" s="50" t="s">
        <v>1958</v>
      </c>
      <c r="C28" s="1254" t="s">
        <v>1959</v>
      </c>
      <c r="D28" s="48">
        <f>ROUND($D$3*E28/$E$3,2)</f>
        <v>39.78</v>
      </c>
      <c r="E28" s="56">
        <f>SUM(F28:G28)</f>
        <v>50</v>
      </c>
      <c r="F28" s="64">
        <f>'数据-基础表'!BQ5+'数据-基础表'!BS5</f>
        <v>50</v>
      </c>
      <c r="G28" s="65">
        <f>'数据-基础表'!BR5+'数据-基础表'!BT5</f>
        <v>0</v>
      </c>
      <c r="H28" s="1387"/>
      <c r="I28" s="1387"/>
      <c r="J28" s="1387"/>
      <c r="K28" s="1387"/>
      <c r="L28" s="1387"/>
      <c r="M28" s="1387"/>
      <c r="N28" s="1387"/>
      <c r="O28" s="1387"/>
      <c r="P28" s="1387"/>
    </row>
    <row r="29" spans="1:19">
      <c r="A29" s="2250"/>
      <c r="B29" s="50" t="s">
        <v>1958</v>
      </c>
      <c r="C29" s="2254" t="s">
        <v>1960</v>
      </c>
      <c r="D29" s="48">
        <f>ROUND($D$3*E29/$E$3,2)</f>
        <v>363.63</v>
      </c>
      <c r="E29" s="56">
        <f>SUM(F29:G29)</f>
        <v>457.04</v>
      </c>
      <c r="F29" s="66">
        <f>'数据-基础表'!BM5+'数据-基础表'!BO5</f>
        <v>0</v>
      </c>
      <c r="G29" s="67">
        <f>'数据-基础表'!BN5+'数据-基础表'!BP5</f>
        <v>457.04</v>
      </c>
      <c r="H29" s="1387"/>
      <c r="I29" s="1387"/>
      <c r="J29" s="1387"/>
      <c r="K29" s="1387"/>
      <c r="L29" s="1387"/>
      <c r="M29" s="1387"/>
      <c r="N29" s="1387"/>
      <c r="O29" s="1387"/>
      <c r="P29" s="1387"/>
    </row>
    <row r="30" spans="1:19" ht="15">
      <c r="A30" s="2250"/>
      <c r="B30" s="50"/>
      <c r="C30" s="2255" t="s">
        <v>1957</v>
      </c>
      <c r="D30" s="1388">
        <f>SUM(D28:D29)</f>
        <v>403.40999999999997</v>
      </c>
      <c r="E30" s="1388">
        <f>SUM(E28:E29)</f>
        <v>507.04</v>
      </c>
      <c r="F30" s="1388">
        <f>SUM(F28:F29)</f>
        <v>50</v>
      </c>
      <c r="G30" s="1390">
        <f>SUM(G28:G29)</f>
        <v>457.04</v>
      </c>
      <c r="H30" s="1387"/>
      <c r="I30" s="1387"/>
      <c r="J30" s="1387"/>
      <c r="K30" s="1387"/>
      <c r="L30" s="1387"/>
      <c r="M30" s="1387"/>
      <c r="N30" s="1387"/>
      <c r="O30" s="1387"/>
      <c r="P30" s="1387"/>
    </row>
    <row r="31" spans="1:19" ht="15.75" thickBot="1">
      <c r="A31" s="2256"/>
      <c r="B31" s="2257"/>
      <c r="C31" s="1004" t="s">
        <v>1961</v>
      </c>
      <c r="D31" s="724">
        <f>D27+D30</f>
        <v>51051.350000000006</v>
      </c>
      <c r="E31" s="724">
        <f>E27+E30</f>
        <v>64165.63</v>
      </c>
      <c r="F31" s="725">
        <f>F27+F30</f>
        <v>49216.119999999995</v>
      </c>
      <c r="G31" s="726">
        <f>G27+G30</f>
        <v>14949.510000000002</v>
      </c>
      <c r="H31" s="1387"/>
      <c r="I31" s="1387"/>
      <c r="J31" s="1387"/>
      <c r="K31" s="1387"/>
      <c r="L31" s="1387"/>
      <c r="M31" s="1387"/>
      <c r="N31" s="1387"/>
      <c r="O31" s="1387"/>
      <c r="P31" s="1387"/>
    </row>
    <row r="32" spans="1:19">
      <c r="A32" s="2221"/>
      <c r="B32" s="2221" t="s">
        <v>1962</v>
      </c>
      <c r="C32" s="2221"/>
      <c r="D32" s="2221"/>
      <c r="E32" s="1269">
        <f>SUMIF(C19:C26,"*住宅*",E19:E26)</f>
        <v>0</v>
      </c>
      <c r="F32" s="2221"/>
      <c r="G32" s="2221"/>
      <c r="H32" s="1387"/>
      <c r="I32" s="1387"/>
      <c r="J32" s="1387"/>
      <c r="K32" s="1387"/>
      <c r="L32" s="1387"/>
      <c r="M32" s="1387"/>
      <c r="N32" s="1387"/>
      <c r="O32" s="1387"/>
      <c r="P32" s="1387"/>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1" width="12.375" style="2177" customWidth="1"/>
    <col min="12" max="12" width="18.625" style="2177" bestFit="1"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27"/>
      <c r="C1" s="1575"/>
      <c r="D1" s="2260"/>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3" t="s">
        <v>1964</v>
      </c>
      <c r="B2" s="1261">
        <f>项目基本情况!D3</f>
        <v>43207</v>
      </c>
      <c r="C2" s="2264"/>
      <c r="D2" s="2265"/>
      <c r="E2" s="2264"/>
      <c r="F2" s="2264"/>
      <c r="G2" s="2264"/>
      <c r="H2" s="2264"/>
      <c r="I2" s="2264"/>
      <c r="J2" s="2264"/>
      <c r="K2" s="1422"/>
      <c r="L2" s="1422"/>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5" customFormat="1" ht="15" thickBot="1">
      <c r="A3" s="2023"/>
      <c r="B3" s="2267"/>
      <c r="C3" s="2264"/>
      <c r="D3" s="2265"/>
      <c r="E3" s="2264"/>
      <c r="F3" s="2264"/>
      <c r="G3" s="2264"/>
      <c r="H3" s="2264"/>
      <c r="I3" s="2264"/>
      <c r="J3" s="2264"/>
      <c r="K3" s="1422"/>
      <c r="L3" s="1422"/>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5"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6" customFormat="1" ht="42">
      <c r="A5" s="2276" t="s">
        <v>1971</v>
      </c>
      <c r="B5" s="2277" t="s">
        <v>1972</v>
      </c>
      <c r="C5" s="2278" t="s">
        <v>1973</v>
      </c>
      <c r="D5" s="2279" t="s">
        <v>1974</v>
      </c>
      <c r="E5" s="1263" t="s">
        <v>1975</v>
      </c>
      <c r="F5" s="2280" t="s">
        <v>1976</v>
      </c>
      <c r="G5" s="1263" t="s">
        <v>1977</v>
      </c>
      <c r="H5" s="1263" t="s">
        <v>1978</v>
      </c>
      <c r="I5" s="1263" t="s">
        <v>1979</v>
      </c>
      <c r="J5" s="2281" t="s">
        <v>1980</v>
      </c>
      <c r="K5" s="2282" t="s">
        <v>1981</v>
      </c>
      <c r="L5" s="2283" t="s">
        <v>1982</v>
      </c>
      <c r="M5" s="2284" t="s">
        <v>1983</v>
      </c>
      <c r="N5" s="2285" t="s">
        <v>3528</v>
      </c>
      <c r="O5" s="2283" t="s">
        <v>1984</v>
      </c>
      <c r="P5" s="2286" t="s">
        <v>1985</v>
      </c>
      <c r="Q5" s="69" t="s">
        <v>1986</v>
      </c>
      <c r="R5" s="2287" t="s">
        <v>1987</v>
      </c>
      <c r="S5" s="2288" t="s">
        <v>1988</v>
      </c>
      <c r="T5" s="2289" t="s">
        <v>1989</v>
      </c>
      <c r="U5" s="1262" t="s">
        <v>1990</v>
      </c>
      <c r="V5" s="1263" t="s">
        <v>1991</v>
      </c>
      <c r="W5" s="1263" t="s">
        <v>1992</v>
      </c>
      <c r="X5" s="71"/>
      <c r="Y5" s="70" t="s">
        <v>1993</v>
      </c>
      <c r="Z5" s="2290" t="s">
        <v>1990</v>
      </c>
      <c r="AA5" s="1263" t="s">
        <v>1991</v>
      </c>
      <c r="AB5" s="1263" t="s">
        <v>1992</v>
      </c>
      <c r="AC5" s="71"/>
      <c r="AD5" s="71" t="s">
        <v>1993</v>
      </c>
      <c r="AE5" s="1262" t="s">
        <v>1994</v>
      </c>
      <c r="AF5" s="1263" t="s">
        <v>1995</v>
      </c>
      <c r="AG5" s="70" t="s">
        <v>1996</v>
      </c>
      <c r="AH5" s="1262" t="s">
        <v>1997</v>
      </c>
      <c r="AI5" s="2290" t="s">
        <v>1998</v>
      </c>
      <c r="AJ5" s="2290" t="s">
        <v>1999</v>
      </c>
      <c r="AK5" s="1263" t="s">
        <v>2000</v>
      </c>
      <c r="AL5" s="1263" t="s">
        <v>2001</v>
      </c>
      <c r="AM5" s="70" t="s">
        <v>2002</v>
      </c>
      <c r="AN5" s="2291" t="s">
        <v>2003</v>
      </c>
      <c r="AO5" s="2064" t="s">
        <v>2004</v>
      </c>
      <c r="AP5" s="1244"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5" customFormat="1" ht="14.25">
      <c r="A6" s="2293" t="str">
        <f>'数据-汇总表'!C19</f>
        <v>洋房</v>
      </c>
      <c r="B6" s="2294" t="str">
        <f>IF(A6=0,"","经营性")</f>
        <v>经营性</v>
      </c>
      <c r="C6" s="2295" t="s">
        <v>3165</v>
      </c>
      <c r="D6" s="1048">
        <f>SUMIF(项目基本情况!D$12:I$12,C6,项目基本情况!D$14:I$14)</f>
        <v>70</v>
      </c>
      <c r="E6" s="1045">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5">
        <v>4.4999999999999998E-2</v>
      </c>
      <c r="I6" s="3055">
        <v>0.05</v>
      </c>
      <c r="J6" s="74">
        <v>0.08</v>
      </c>
      <c r="K6" s="1246">
        <f>SUMIF('数据-汇总表'!C$19:C$33,A6,'数据-汇总表'!E$19:E$33)</f>
        <v>49166.119999999995</v>
      </c>
      <c r="L6" s="797">
        <v>2600</v>
      </c>
      <c r="M6" s="75">
        <f t="shared" ref="M6:M14" si="0">ROUND(K6*L6/10000,0)</f>
        <v>12783</v>
      </c>
      <c r="N6" s="3009">
        <v>0</v>
      </c>
      <c r="O6" s="75">
        <f>IF($N$5="成新度","——",ROUND(M6*N6,0))</f>
        <v>0</v>
      </c>
      <c r="P6" s="76">
        <f>IF($N$5="成新度","——",M6-O6)</f>
        <v>12783</v>
      </c>
      <c r="Q6" s="798">
        <v>0.25</v>
      </c>
      <c r="R6" s="77">
        <f ca="1">SUMIF('数据-汇总表'!C$19:C$33,A6,'数据-汇总表'!R$19:R$27)</f>
        <v>39148.200000000004</v>
      </c>
      <c r="S6" s="54">
        <f>IF('数据-汇总表'!$I$17="按面积比例",SUMIF('数据-汇总表'!C$19:C$33,A6,'数据-汇总表'!K$19:K$33),SUMIF('数据-汇总表'!C$19:C$33,A6,'数据-汇总表'!N$19:N$33))</f>
        <v>38.619999999999997</v>
      </c>
      <c r="T6" s="1438">
        <f>ROUND($L$14*S6/10000,0)</f>
        <v>8</v>
      </c>
      <c r="U6" s="78"/>
      <c r="V6" s="79"/>
      <c r="W6" s="79"/>
      <c r="X6" s="1256"/>
      <c r="Y6" s="80"/>
      <c r="Z6" s="81"/>
      <c r="AA6" s="74"/>
      <c r="AB6" s="74"/>
      <c r="AC6" s="1256"/>
      <c r="AD6" s="82"/>
      <c r="AE6" s="1257">
        <f ca="1">IF(AN6="",0,SUMIF(INDIRECT("'"&amp;AN6&amp;"'"&amp;"!E:E"),$AE$5,INDIRECT("'"&amp;AN6&amp;"'"&amp;"!F:F")))</f>
        <v>0</v>
      </c>
      <c r="AF6" s="1798"/>
      <c r="AG6" s="145">
        <f>IF(AF6="",0,AE6-AF6)</f>
        <v>0</v>
      </c>
      <c r="AH6" s="83"/>
      <c r="AI6" s="85"/>
      <c r="AJ6" s="86"/>
      <c r="AK6" s="87"/>
      <c r="AL6" s="88"/>
      <c r="AM6" s="89"/>
      <c r="AN6" s="2296"/>
      <c r="AO6" s="55" t="e">
        <f ca="1">SUMIF(INDIRECT("'"&amp;AN6&amp;"'"&amp;"!A:A"),"总价",INDIRECT("'"&amp;AN6&amp;"'"&amp;"!B:B"))</f>
        <v>#REF!</v>
      </c>
      <c r="AP6" s="2297">
        <f>IF(C6="住宅",K6*L6,0)</f>
        <v>127831911.99999999</v>
      </c>
      <c r="AQ6" s="55">
        <f>ROUND($L$14*$N$14*S6/10000,0)</f>
        <v>0</v>
      </c>
      <c r="AR6" s="55">
        <f>ROUND($L$14*(1-$N$14)*S6/10000,0)</f>
        <v>8</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5" customFormat="1" ht="14.25">
      <c r="A7" s="2293" t="str">
        <f>'数据-汇总表'!C20</f>
        <v>仓储</v>
      </c>
      <c r="B7" s="2294" t="str">
        <f t="shared" ref="B7:B13" si="1">IF(A7=0,"","经营性")</f>
        <v>经营性</v>
      </c>
      <c r="C7" s="2295" t="s">
        <v>3173</v>
      </c>
      <c r="D7" s="1048">
        <f>SUMIF(项目基本情况!D$12:I$12,C7,项目基本情况!D$14:I$14)</f>
        <v>50</v>
      </c>
      <c r="E7" s="1045">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5">
        <v>0.04</v>
      </c>
      <c r="I7" s="3055">
        <v>4.4999999999999998E-2</v>
      </c>
      <c r="J7" s="74">
        <v>0.08</v>
      </c>
      <c r="K7" s="1246">
        <f>SUMIF('数据-汇总表'!C$19:C$33,A7,'数据-汇总表'!E$19:E$33)</f>
        <v>5366.96</v>
      </c>
      <c r="L7" s="797">
        <v>2200</v>
      </c>
      <c r="M7" s="75">
        <f t="shared" si="0"/>
        <v>1181</v>
      </c>
      <c r="N7" s="3009">
        <f>N6</f>
        <v>0</v>
      </c>
      <c r="O7" s="75">
        <f t="shared" ref="O7:O14" si="3">IF($N$5="成新度","——",ROUND(M7*N7,0))</f>
        <v>0</v>
      </c>
      <c r="P7" s="76">
        <f t="shared" ref="P7:P14" si="4">IF($N$5="成新度","——",M7-O7)</f>
        <v>1181</v>
      </c>
      <c r="Q7" s="798">
        <v>0.1</v>
      </c>
      <c r="R7" s="77">
        <f ca="1">SUMIF('数据-汇总表'!C$19:C$33,A7,'数据-汇总表'!R$19:R$27)</f>
        <v>4273.41</v>
      </c>
      <c r="S7" s="54">
        <f>IF('数据-汇总表'!$I$17="按面积比例",SUMIF('数据-汇总表'!C$19:C$33,A7,'数据-汇总表'!K$19:K$33),SUMIF('数据-汇总表'!C$19:C$33,A7,'数据-汇总表'!N$19:N$33))</f>
        <v>4.22</v>
      </c>
      <c r="T7" s="1438">
        <f t="shared" ref="T7:T13" si="5">ROUND($L$14*S7/10000,0)</f>
        <v>1</v>
      </c>
      <c r="U7" s="3057">
        <v>1</v>
      </c>
      <c r="V7" s="79">
        <v>1.4999999999999999E-2</v>
      </c>
      <c r="W7" s="79">
        <v>0.1</v>
      </c>
      <c r="X7" s="1256"/>
      <c r="Y7" s="80">
        <v>1</v>
      </c>
      <c r="Z7" s="81"/>
      <c r="AA7" s="74"/>
      <c r="AB7" s="74"/>
      <c r="AC7" s="1256"/>
      <c r="AD7" s="82"/>
      <c r="AE7" s="1257">
        <f t="shared" ref="AE7:AE13" ca="1" si="6">IF(AN7="",0,SUMIF(INDIRECT("'"&amp;AN7&amp;"'"&amp;"!E:E"),$AE$5,INDIRECT("'"&amp;AN7&amp;"'"&amp;"!F:F")))</f>
        <v>38.950000000000003</v>
      </c>
      <c r="AF7" s="1798"/>
      <c r="AG7" s="145">
        <f t="shared" ref="AG7:AG13" si="7">IF(AF7="",0,AE7-AF7)</f>
        <v>0</v>
      </c>
      <c r="AH7" s="83"/>
      <c r="AI7" s="85">
        <v>365</v>
      </c>
      <c r="AJ7" s="86"/>
      <c r="AK7" s="87">
        <v>1.4999999999999999E-2</v>
      </c>
      <c r="AL7" s="88">
        <v>1.5E-3</v>
      </c>
      <c r="AM7" s="89">
        <v>0.01</v>
      </c>
      <c r="AN7" s="2296" t="s">
        <v>3534</v>
      </c>
      <c r="AO7" s="55">
        <f t="shared" ref="AO7:AO13" ca="1" si="8">SUMIF(INDIRECT("'"&amp;AN7&amp;"'"&amp;"!A:A"),"总价",INDIRECT("'"&amp;AN7&amp;"'"&amp;"!B:B"))</f>
        <v>2488</v>
      </c>
      <c r="AP7" s="2297">
        <f t="shared" ref="AP7:AP13" si="9">IF(C7="住宅",K7*L7,0)</f>
        <v>0</v>
      </c>
      <c r="AQ7" s="55">
        <f t="shared" ref="AQ7:AQ13" si="10">ROUND($L$14*$N$14*S7/10000,0)</f>
        <v>0</v>
      </c>
      <c r="AR7" s="55">
        <f t="shared" ref="AR7:AR13" si="11">ROUND($L$14*(1-$N$14)*S7/10000,0)</f>
        <v>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5" customFormat="1" ht="14.25">
      <c r="A8" s="2293" t="str">
        <f>'数据-汇总表'!C21</f>
        <v>车库</v>
      </c>
      <c r="B8" s="2294" t="str">
        <f t="shared" si="1"/>
        <v>经营性</v>
      </c>
      <c r="C8" s="2295" t="s">
        <v>3175</v>
      </c>
      <c r="D8" s="1048">
        <f>SUMIF(项目基本情况!D$12:I$12,C8,项目基本情况!D$14:I$14)</f>
        <v>50</v>
      </c>
      <c r="E8" s="1045">
        <f>IF(B8="","",SUMIF(项目基本情况!D$12:I$12,C8,项目基本情况!D$13:I$13))</f>
        <v>58157</v>
      </c>
      <c r="F8" s="72">
        <f>SUMIF(项目基本情况!D$12:I$12,C8,项目基本情况!D$15:I$15)</f>
        <v>40.950000000000003</v>
      </c>
      <c r="G8" s="73">
        <f t="shared" si="2"/>
        <v>0.93</v>
      </c>
      <c r="H8" s="3055">
        <v>0.04</v>
      </c>
      <c r="I8" s="3055">
        <v>4.4999999999999998E-2</v>
      </c>
      <c r="J8" s="74">
        <v>0.08</v>
      </c>
      <c r="K8" s="1246">
        <f>SUMIF('数据-汇总表'!C$19:C$33,A8,'数据-汇总表'!E$19:E$33)</f>
        <v>9125.51</v>
      </c>
      <c r="L8" s="797">
        <v>2200</v>
      </c>
      <c r="M8" s="75">
        <f>ROUND(K8*L8/10000,0)</f>
        <v>2008</v>
      </c>
      <c r="N8" s="796">
        <f>N7</f>
        <v>0</v>
      </c>
      <c r="O8" s="75">
        <f t="shared" si="3"/>
        <v>0</v>
      </c>
      <c r="P8" s="76">
        <f t="shared" si="4"/>
        <v>2008</v>
      </c>
      <c r="Q8" s="798">
        <v>0.05</v>
      </c>
      <c r="R8" s="77">
        <f ca="1">SUMIF('数据-汇总表'!C$19:C$33,A8,'数据-汇总表'!R$19:R$27)</f>
        <v>7266.12</v>
      </c>
      <c r="S8" s="54">
        <f>IF('数据-汇总表'!$I$17="按面积比例",SUMIF('数据-汇总表'!C$19:C$33,A8,'数据-汇总表'!K$19:K$33),SUMIF('数据-汇总表'!C$19:C$33,A8,'数据-汇总表'!N$19:N$33))</f>
        <v>7.17</v>
      </c>
      <c r="T8" s="1438">
        <f t="shared" si="5"/>
        <v>2</v>
      </c>
      <c r="U8" s="799">
        <v>0.8</v>
      </c>
      <c r="V8" s="800">
        <v>1.4999999999999999E-2</v>
      </c>
      <c r="W8" s="800">
        <v>0.1</v>
      </c>
      <c r="X8" s="1256"/>
      <c r="Y8" s="801">
        <v>1</v>
      </c>
      <c r="Z8" s="81"/>
      <c r="AA8" s="74"/>
      <c r="AB8" s="74"/>
      <c r="AC8" s="1256"/>
      <c r="AD8" s="82"/>
      <c r="AE8" s="1257">
        <f t="shared" ca="1" si="6"/>
        <v>38.950000000000003</v>
      </c>
      <c r="AF8" s="1798"/>
      <c r="AG8" s="145">
        <f t="shared" si="7"/>
        <v>0</v>
      </c>
      <c r="AH8" s="802"/>
      <c r="AI8" s="85">
        <v>365</v>
      </c>
      <c r="AJ8" s="86"/>
      <c r="AK8" s="803">
        <v>1.4999999999999999E-2</v>
      </c>
      <c r="AL8" s="804">
        <v>1.5E-3</v>
      </c>
      <c r="AM8" s="805">
        <v>0.01</v>
      </c>
      <c r="AN8" s="2296" t="s">
        <v>3532</v>
      </c>
      <c r="AO8" s="55">
        <f t="shared" ca="1" si="8"/>
        <v>3211</v>
      </c>
      <c r="AP8" s="2297">
        <f t="shared" si="9"/>
        <v>0</v>
      </c>
      <c r="AQ8" s="55">
        <f t="shared" si="10"/>
        <v>0</v>
      </c>
      <c r="AR8" s="55">
        <f t="shared" si="11"/>
        <v>2</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5" customFormat="1" ht="14.25">
      <c r="A9" s="2293">
        <f>'数据-汇总表'!C22</f>
        <v>0</v>
      </c>
      <c r="B9" s="2294" t="str">
        <f t="shared" si="1"/>
        <v/>
      </c>
      <c r="C9" s="229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7"/>
      <c r="M9" s="75">
        <f t="shared" si="0"/>
        <v>0</v>
      </c>
      <c r="N9" s="79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5"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7"/>
      <c r="M10" s="75">
        <f t="shared" si="0"/>
        <v>0</v>
      </c>
      <c r="N10" s="79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5"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5">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5"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5">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5"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5" customFormat="1" ht="14.25">
      <c r="A14" s="2298" t="s">
        <v>2008</v>
      </c>
      <c r="B14" s="2294" t="s">
        <v>2009</v>
      </c>
      <c r="C14" s="2299" t="s">
        <v>2008</v>
      </c>
      <c r="D14" s="1048"/>
      <c r="E14" s="1045"/>
      <c r="F14" s="72"/>
      <c r="G14" s="73"/>
      <c r="H14" s="1245"/>
      <c r="I14" s="1245"/>
      <c r="J14" s="1245"/>
      <c r="K14" s="1246">
        <f>SUMIF('数据-汇总表'!C$19:C$33,A14,'数据-汇总表'!E$19:E$33)</f>
        <v>50</v>
      </c>
      <c r="L14" s="91">
        <v>2200</v>
      </c>
      <c r="M14" s="75">
        <f t="shared" si="0"/>
        <v>11</v>
      </c>
      <c r="N14" s="92">
        <f>N8</f>
        <v>0</v>
      </c>
      <c r="O14" s="75">
        <f t="shared" si="3"/>
        <v>0</v>
      </c>
      <c r="P14" s="76">
        <f t="shared" si="4"/>
        <v>11</v>
      </c>
      <c r="Q14" s="1249"/>
      <c r="R14" s="77"/>
      <c r="S14" s="54"/>
      <c r="T14" s="1438"/>
      <c r="U14" s="718"/>
      <c r="V14" s="1251"/>
      <c r="W14" s="1251"/>
      <c r="X14" s="1252"/>
      <c r="Y14" s="1253"/>
      <c r="Z14" s="1254"/>
      <c r="AA14" s="1255"/>
      <c r="AB14" s="1255"/>
      <c r="AC14" s="1256"/>
      <c r="AD14" s="1252"/>
      <c r="AE14" s="1257"/>
      <c r="AF14" s="55"/>
      <c r="AG14" s="145"/>
      <c r="AH14" s="1257"/>
      <c r="AI14" s="1809"/>
      <c r="AJ14" s="768"/>
      <c r="AK14" s="1258"/>
      <c r="AL14" s="1259"/>
      <c r="AM14" s="1260"/>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5" customFormat="1" ht="27">
      <c r="A15" s="2298" t="s">
        <v>2010</v>
      </c>
      <c r="B15" s="2294" t="s">
        <v>2009</v>
      </c>
      <c r="C15" s="2299" t="s">
        <v>2011</v>
      </c>
      <c r="D15" s="1048"/>
      <c r="E15" s="1045"/>
      <c r="F15" s="72"/>
      <c r="G15" s="73"/>
      <c r="H15" s="1245"/>
      <c r="I15" s="1245"/>
      <c r="J15" s="1245"/>
      <c r="K15" s="1246">
        <f>SUMIF('数据-汇总表'!C$19:C$33,A15,'数据-汇总表'!E$19:E$33)</f>
        <v>457.04</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5"/>
      <c r="AH15" s="1257"/>
      <c r="AI15" s="1809"/>
      <c r="AJ15" s="768"/>
      <c r="AK15" s="1258"/>
      <c r="AL15" s="1259"/>
      <c r="AM15" s="1260"/>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5" customFormat="1" ht="15.75" thickBot="1">
      <c r="A16" s="2300" t="s">
        <v>2012</v>
      </c>
      <c r="B16" s="97"/>
      <c r="C16" s="1002"/>
      <c r="D16" s="2301"/>
      <c r="E16" s="97"/>
      <c r="F16" s="97"/>
      <c r="G16" s="98">
        <f>ROUND(SUMPRODUCT(G6:G13,K6:K13)/SUMPRODUCT((G6:G13&gt;0)*(K6:K13)),3)</f>
        <v>0.96599999999999997</v>
      </c>
      <c r="H16" s="99">
        <f>ROUND(SUMPRODUCT(H6:H13,K6:K13)/SUMPRODUCT((H6:H13&gt;0)*(K6:K13)),3)</f>
        <v>4.3999999999999997E-2</v>
      </c>
      <c r="I16" s="100"/>
      <c r="J16" s="100"/>
      <c r="K16" s="101">
        <f>SUM(K6:K15)</f>
        <v>64165.63</v>
      </c>
      <c r="L16" s="102">
        <f>ROUND(M16*10000/SUM(K6:K14),0)</f>
        <v>2509</v>
      </c>
      <c r="M16" s="102">
        <f>SUM(M6:M14)</f>
        <v>15983</v>
      </c>
      <c r="N16" s="103">
        <f>ROUND(SUMPRODUCT(M6:M14,N6:N14)/M16,3)</f>
        <v>0</v>
      </c>
      <c r="O16" s="102">
        <f>SUM(O6:O14)</f>
        <v>0</v>
      </c>
      <c r="P16" s="102">
        <f>SUM(P6:P14)</f>
        <v>15983</v>
      </c>
      <c r="Q16" s="104">
        <f>ROUND(SUMPRODUCT(Q6:Q13,K6:K13)/SUMPRODUCT((Q6:Q13&gt;0)*(K6:K13)),2)</f>
        <v>0.21</v>
      </c>
      <c r="R16" s="1250">
        <f ca="1">SUM(R6:R13)</f>
        <v>50687.73</v>
      </c>
      <c r="S16" s="105">
        <f>SUM(S6:S13)</f>
        <v>50.01</v>
      </c>
      <c r="T16" s="106">
        <f>IF(SUMIF(T6:T13,"&lt;9E307")=M14,SUMIF(T6:T13,"&lt;9E307"),"有误，请检查")</f>
        <v>11</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7"/>
      <c r="C17" s="1575"/>
      <c r="D17" s="2260"/>
      <c r="E17" s="2260"/>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7"/>
      <c r="C18" s="2264"/>
      <c r="D18" s="2265"/>
      <c r="E18" s="2264"/>
      <c r="F18" s="2264"/>
      <c r="G18" s="2264"/>
      <c r="H18" s="2264"/>
      <c r="I18" s="2264"/>
      <c r="J18" s="2264"/>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3" t="s">
        <v>2014</v>
      </c>
      <c r="B19" s="112">
        <v>0</v>
      </c>
      <c r="C19" s="2264" t="s">
        <v>2015</v>
      </c>
      <c r="D19" s="2265"/>
      <c r="E19" s="2264"/>
      <c r="F19" s="2264"/>
      <c r="G19" s="2264"/>
      <c r="H19" s="2264"/>
      <c r="I19" s="2264"/>
      <c r="J19" s="2954"/>
      <c r="K19" s="2958"/>
      <c r="L19" s="2957"/>
      <c r="M19" s="2956"/>
      <c r="N19" s="2956"/>
      <c r="O19" s="1575"/>
      <c r="P19" s="2956"/>
      <c r="Q19" s="300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4" t="s">
        <v>2016</v>
      </c>
      <c r="B20" s="3071">
        <v>2</v>
      </c>
      <c r="C20" s="2264" t="s">
        <v>2017</v>
      </c>
      <c r="D20" s="2265"/>
      <c r="E20" s="2264"/>
      <c r="F20" s="2264"/>
      <c r="G20" s="2264"/>
      <c r="H20" s="2264"/>
      <c r="I20" s="2264"/>
      <c r="J20" s="2265"/>
      <c r="K20" s="166"/>
      <c r="L20" s="166"/>
      <c r="M20" s="1575"/>
      <c r="N20" s="1575"/>
      <c r="O20" s="1575"/>
      <c r="P20" s="2956"/>
      <c r="Q20" s="3004"/>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5" t="s">
        <v>2018</v>
      </c>
      <c r="B21" s="3071">
        <v>0</v>
      </c>
      <c r="C21" s="2264"/>
      <c r="D21" s="2265"/>
      <c r="E21" s="2264"/>
      <c r="F21" s="2264"/>
      <c r="G21" s="2264"/>
      <c r="H21" s="2264"/>
      <c r="I21" s="2954"/>
      <c r="J21" s="2265"/>
      <c r="K21" s="166"/>
      <c r="L21" s="2957" t="s">
        <v>3243</v>
      </c>
      <c r="M21" s="1575">
        <f>50+50+200+234.1696+1179.2151</f>
        <v>1713.3846999999998</v>
      </c>
      <c r="N21" s="1575"/>
      <c r="O21" s="1575"/>
      <c r="P21" s="1575"/>
      <c r="Q21" s="300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4" t="s">
        <v>2019</v>
      </c>
      <c r="B22" s="113">
        <f>B19+B20</f>
        <v>2</v>
      </c>
      <c r="C22" s="2264"/>
      <c r="D22" s="2265"/>
      <c r="E22" s="2264"/>
      <c r="F22" s="2264"/>
      <c r="G22" s="2264"/>
      <c r="H22" s="2264"/>
      <c r="I22" s="2264"/>
      <c r="J22" s="2264"/>
      <c r="K22" s="166"/>
      <c r="L22" s="2957" t="s">
        <v>3244</v>
      </c>
      <c r="M22" s="1575">
        <f>Sheet3!B7+Sheet3!D6+Sheet3!F16+Sheet3!I15</f>
        <v>139233.18</v>
      </c>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5" t="s">
        <v>2020</v>
      </c>
      <c r="B23" s="113">
        <f>B19+B21</f>
        <v>0</v>
      </c>
      <c r="C23" s="2264"/>
      <c r="D23" s="2265"/>
      <c r="E23" s="2264"/>
      <c r="F23" s="2264"/>
      <c r="G23" s="2264"/>
      <c r="H23" s="2264"/>
      <c r="I23" s="2264"/>
      <c r="J23" s="2264"/>
      <c r="K23" s="166"/>
      <c r="L23" s="2957" t="s">
        <v>3530</v>
      </c>
      <c r="M23" s="3022">
        <f>'数据-汇总表'!E3/'数据-取费表'!M22</f>
        <v>0.46085013644017897</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6" t="s">
        <v>2021</v>
      </c>
      <c r="B24" s="114">
        <f>B20-B21</f>
        <v>2</v>
      </c>
      <c r="C24" s="2264"/>
      <c r="D24" s="2265"/>
      <c r="E24" s="2264"/>
      <c r="F24" s="2264"/>
      <c r="G24" s="2264"/>
      <c r="H24" s="2264"/>
      <c r="I24" s="2264"/>
      <c r="J24" s="2264"/>
      <c r="K24" s="166"/>
      <c r="L24" s="2957" t="s">
        <v>3247</v>
      </c>
      <c r="M24" s="1575">
        <f>ROUND(M21*M23,0)</f>
        <v>790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7"/>
      <c r="C25" s="2264"/>
      <c r="D25" s="2265"/>
      <c r="E25" s="2264"/>
      <c r="F25" s="2264"/>
      <c r="G25" s="2264"/>
      <c r="H25" s="2264"/>
      <c r="I25" s="2264"/>
      <c r="J25" s="2954"/>
      <c r="K25" s="2955"/>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3" t="s">
        <v>2022</v>
      </c>
      <c r="B26" s="2307" t="s">
        <v>2023</v>
      </c>
      <c r="C26" s="2308" t="s">
        <v>2024</v>
      </c>
      <c r="D26" s="2265"/>
      <c r="E26" s="2264"/>
      <c r="F26" s="2264"/>
      <c r="G26" s="2264"/>
      <c r="H26" s="2264"/>
      <c r="I26" s="2264"/>
      <c r="J26" s="2264"/>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1" customFormat="1" ht="27.75">
      <c r="A27" s="2309" t="s">
        <v>2025</v>
      </c>
      <c r="B27" s="115">
        <f>'[2]数据-取费表'!$B$27</f>
        <v>130</v>
      </c>
      <c r="C27" s="1758" t="s">
        <v>2026</v>
      </c>
      <c r="D27" s="2310"/>
      <c r="E27" s="1422"/>
      <c r="F27" s="1422"/>
      <c r="G27" s="2264"/>
      <c r="H27" s="2264"/>
      <c r="I27" s="2264"/>
      <c r="J27" s="2264"/>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8">
        <f>'[2]数据-取费表'!$B$28</f>
        <v>130</v>
      </c>
      <c r="C28" s="2313"/>
      <c r="D28" s="2310"/>
      <c r="E28" s="1422"/>
      <c r="F28" s="1422"/>
      <c r="G28" s="2264"/>
      <c r="H28" s="2264"/>
      <c r="I28" s="2264"/>
      <c r="J28" s="2264"/>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3056">
        <f>M24</f>
        <v>790</v>
      </c>
      <c r="C29" s="1758" t="s">
        <v>2029</v>
      </c>
      <c r="D29" s="2310"/>
      <c r="E29" s="1422"/>
      <c r="F29" s="1422"/>
      <c r="G29" s="2264"/>
      <c r="H29" s="2264"/>
      <c r="I29" s="2264"/>
      <c r="J29" s="2264"/>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19">
        <v>200</v>
      </c>
      <c r="C30" s="2313"/>
      <c r="D30" s="2310"/>
      <c r="E30" s="1422"/>
      <c r="F30" s="1422"/>
      <c r="G30" s="2264"/>
      <c r="H30" s="2264"/>
      <c r="I30" s="2264"/>
      <c r="J30" s="2264"/>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19">
        <f>B30-B32</f>
        <v>200</v>
      </c>
      <c r="C31" s="1758"/>
      <c r="D31" s="2310"/>
      <c r="E31" s="1422"/>
      <c r="F31" s="1422"/>
      <c r="G31" s="2264"/>
      <c r="H31" s="2264"/>
      <c r="I31" s="2264"/>
      <c r="J31" s="2264"/>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0">
        <v>0</v>
      </c>
      <c r="C32" s="2313"/>
      <c r="D32" s="2265"/>
      <c r="E32" s="2264"/>
      <c r="F32" s="2264"/>
      <c r="G32" s="2264"/>
      <c r="H32" s="2264"/>
      <c r="I32" s="2264"/>
      <c r="J32" s="2264"/>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1">
        <v>0.03</v>
      </c>
      <c r="C33" s="1757" t="s">
        <v>2034</v>
      </c>
      <c r="D33" s="2265"/>
      <c r="E33" s="2264"/>
      <c r="F33" s="2264"/>
      <c r="G33" s="2264"/>
      <c r="H33" s="2264"/>
      <c r="I33" s="2264"/>
      <c r="J33" s="2264"/>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0">
        <v>0.05</v>
      </c>
      <c r="C34" s="1757" t="s">
        <v>2036</v>
      </c>
      <c r="D34" s="2265" t="s">
        <v>2037</v>
      </c>
      <c r="E34" s="727"/>
      <c r="F34" s="2264"/>
      <c r="G34" s="2264"/>
      <c r="H34" s="2264"/>
      <c r="I34" s="2264"/>
      <c r="J34" s="2264"/>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8">
        <v>200</v>
      </c>
      <c r="C35" s="1757" t="s">
        <v>2039</v>
      </c>
      <c r="D35" s="2310"/>
      <c r="E35" s="1422"/>
      <c r="F35" s="1422"/>
      <c r="G35" s="2264"/>
      <c r="H35" s="2264"/>
      <c r="I35" s="2264"/>
      <c r="J35" s="2264"/>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1">
        <v>1.4999999999999999E-2</v>
      </c>
      <c r="C36" s="1757" t="s">
        <v>2041</v>
      </c>
      <c r="D36" s="2265"/>
      <c r="E36" s="2264"/>
      <c r="F36" s="2264"/>
      <c r="G36" s="2264"/>
      <c r="H36" s="2264"/>
      <c r="I36" s="2264"/>
      <c r="J36" s="2264"/>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5" t="s">
        <v>2042</v>
      </c>
      <c r="B37" s="122">
        <v>0.02</v>
      </c>
      <c r="C37" s="1757" t="s">
        <v>2043</v>
      </c>
      <c r="D37" s="2265"/>
      <c r="E37" s="2264"/>
      <c r="F37" s="2264"/>
      <c r="G37" s="2264"/>
      <c r="H37" s="2264"/>
      <c r="I37" s="2264"/>
      <c r="J37" s="2264"/>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2" t="s">
        <v>2044</v>
      </c>
      <c r="B38" s="120">
        <v>0.02</v>
      </c>
      <c r="C38" s="1757" t="s">
        <v>2043</v>
      </c>
      <c r="D38" s="2265"/>
      <c r="E38" s="2264"/>
      <c r="F38" s="2264"/>
      <c r="G38" s="2264"/>
      <c r="H38" s="2264"/>
      <c r="I38" s="2264"/>
      <c r="J38" s="2264"/>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6" t="s">
        <v>2045</v>
      </c>
      <c r="B39" s="360">
        <f ca="1">存贷款利率!I1</f>
        <v>1.4999999999999999E-2</v>
      </c>
      <c r="C39" s="1757"/>
      <c r="D39" s="2265"/>
      <c r="E39" s="2264"/>
      <c r="F39" s="2264"/>
      <c r="G39" s="2264"/>
      <c r="H39" s="2264"/>
      <c r="I39" s="2264"/>
      <c r="J39" s="2264"/>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6" t="s">
        <v>2046</v>
      </c>
      <c r="B40" s="1295">
        <f ca="1">存贷款利率!G1</f>
        <v>4.7500000000000001E-2</v>
      </c>
      <c r="C40" s="1757" t="s">
        <v>2047</v>
      </c>
      <c r="D40" s="1575"/>
      <c r="E40" s="2265"/>
      <c r="F40" s="2264"/>
      <c r="G40" s="2264"/>
      <c r="H40" s="2264"/>
      <c r="I40" s="2264"/>
      <c r="J40" s="2264"/>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9" t="s">
        <v>2048</v>
      </c>
      <c r="B41" s="123">
        <f>B42+B43</f>
        <v>5.6000000000000001E-2</v>
      </c>
      <c r="C41" s="1758"/>
      <c r="D41" s="1575"/>
      <c r="E41" s="2265"/>
      <c r="F41" s="2264"/>
      <c r="G41" s="2264"/>
      <c r="H41" s="2264"/>
      <c r="I41" s="2264"/>
      <c r="J41" s="2264"/>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7" t="s">
        <v>2049</v>
      </c>
      <c r="B42" s="124">
        <v>0.05</v>
      </c>
      <c r="C42" s="2318">
        <f>IF(B2&lt;DATE(2016,5,1),0,B42)</f>
        <v>0.05</v>
      </c>
      <c r="D42" s="2265"/>
      <c r="E42" s="2264"/>
      <c r="F42" s="2264"/>
      <c r="G42" s="2264"/>
      <c r="H42" s="2264"/>
      <c r="I42" s="2264"/>
      <c r="J42" s="2264"/>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7" t="s">
        <v>2050</v>
      </c>
      <c r="B43" s="125">
        <f>B42*(B44+B45+B46)+B47</f>
        <v>6.000000000000001E-3</v>
      </c>
      <c r="C43" s="1758"/>
      <c r="D43" s="2265"/>
      <c r="E43" s="2264"/>
      <c r="F43" s="2264"/>
      <c r="G43" s="2264"/>
      <c r="H43" s="2264"/>
      <c r="I43" s="2264"/>
      <c r="J43" s="2264"/>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9" t="s">
        <v>2051</v>
      </c>
      <c r="B44" s="126">
        <v>7.0000000000000007E-2</v>
      </c>
      <c r="C44" s="1757" t="s">
        <v>2052</v>
      </c>
      <c r="D44" s="2265"/>
      <c r="E44" s="2264"/>
      <c r="F44" s="2264"/>
      <c r="G44" s="2264"/>
      <c r="H44" s="2264"/>
      <c r="I44" s="2264"/>
      <c r="J44" s="2264"/>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9" t="s">
        <v>2053</v>
      </c>
      <c r="B45" s="124">
        <v>0.03</v>
      </c>
      <c r="C45" s="1758" t="s">
        <v>2054</v>
      </c>
      <c r="D45" s="2265"/>
      <c r="E45" s="2264"/>
      <c r="F45" s="2264"/>
      <c r="G45" s="2264"/>
      <c r="H45" s="2264"/>
      <c r="I45" s="2264"/>
      <c r="J45" s="2264"/>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9" t="s">
        <v>2055</v>
      </c>
      <c r="B46" s="124">
        <v>0.02</v>
      </c>
      <c r="C46" s="1758" t="s">
        <v>2056</v>
      </c>
      <c r="D46" s="2265"/>
      <c r="E46" s="2264"/>
      <c r="F46" s="2264"/>
      <c r="G46" s="2264"/>
      <c r="H46" s="2264"/>
      <c r="I46" s="2264"/>
      <c r="J46" s="2264"/>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0" t="s">
        <v>2057</v>
      </c>
      <c r="B47" s="127">
        <v>0</v>
      </c>
      <c r="C47" s="1758" t="s">
        <v>2058</v>
      </c>
      <c r="D47" s="2265"/>
      <c r="E47" s="2264"/>
      <c r="F47" s="2264"/>
      <c r="G47" s="2264"/>
      <c r="H47" s="2264"/>
      <c r="I47" s="2264"/>
      <c r="J47" s="2264"/>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1" t="s">
        <v>2059</v>
      </c>
      <c r="B48" s="128">
        <v>0.03</v>
      </c>
      <c r="C48" s="1765" t="s">
        <v>2060</v>
      </c>
      <c r="D48" s="2265"/>
      <c r="E48" s="2264"/>
      <c r="F48" s="2264"/>
      <c r="G48" s="2264"/>
      <c r="H48" s="2264"/>
      <c r="I48" s="2264"/>
      <c r="J48" s="2264"/>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6" t="s">
        <v>2061</v>
      </c>
      <c r="B49" s="124">
        <v>5.0000000000000001E-4</v>
      </c>
      <c r="C49" s="1765" t="s">
        <v>2062</v>
      </c>
      <c r="D49" s="2265"/>
      <c r="E49" s="2264"/>
      <c r="F49" s="2264"/>
      <c r="G49" s="2264"/>
      <c r="H49" s="2264"/>
      <c r="I49" s="2264"/>
      <c r="J49" s="2264"/>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2" t="s">
        <v>2063</v>
      </c>
      <c r="B50" s="129">
        <v>1.2E-2</v>
      </c>
      <c r="C50" s="1422"/>
      <c r="D50" s="2265"/>
      <c r="E50" s="2264"/>
      <c r="F50" s="2264"/>
      <c r="G50" s="2264"/>
      <c r="H50" s="2264"/>
      <c r="I50" s="2264"/>
      <c r="J50" s="2264"/>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4" t="s">
        <v>2064</v>
      </c>
      <c r="B51" s="130">
        <v>0.12</v>
      </c>
      <c r="C51" s="1422"/>
      <c r="D51" s="2265"/>
      <c r="E51" s="2264"/>
      <c r="F51" s="2264"/>
      <c r="G51" s="2264"/>
      <c r="H51" s="2264"/>
      <c r="I51" s="2264"/>
      <c r="J51" s="2264"/>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2" t="s">
        <v>2065</v>
      </c>
      <c r="B52" s="131">
        <f>SUMIF(A54:A63,B53,B54:B63)</f>
        <v>12</v>
      </c>
      <c r="C52" s="1422"/>
      <c r="D52" s="2265"/>
      <c r="E52" s="2264"/>
      <c r="F52" s="2264"/>
      <c r="G52" s="2264"/>
      <c r="H52" s="2264"/>
      <c r="I52" s="2264"/>
      <c r="J52" s="2264"/>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2" t="s">
        <v>2066</v>
      </c>
      <c r="B53" s="2323" t="s">
        <v>212</v>
      </c>
      <c r="C53" s="1422" t="s">
        <v>2067</v>
      </c>
      <c r="D53" s="2324" t="s">
        <v>2068</v>
      </c>
      <c r="E53" s="2264"/>
      <c r="F53" s="2264"/>
      <c r="G53" s="2264"/>
      <c r="H53" s="2264"/>
      <c r="I53" s="2264"/>
      <c r="J53" s="2264"/>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5" t="s">
        <v>2069</v>
      </c>
      <c r="B54" s="84">
        <v>12</v>
      </c>
      <c r="C54" s="1422">
        <v>30</v>
      </c>
      <c r="D54" s="2265"/>
      <c r="E54" s="2264"/>
      <c r="F54" s="2264"/>
      <c r="G54" s="2264"/>
      <c r="H54" s="2264"/>
      <c r="I54" s="2264"/>
      <c r="J54" s="2264"/>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5" t="s">
        <v>2070</v>
      </c>
      <c r="B55" s="84">
        <v>10</v>
      </c>
      <c r="C55" s="1422">
        <v>24</v>
      </c>
      <c r="D55" s="2265"/>
      <c r="E55" s="2264"/>
      <c r="F55" s="2264"/>
      <c r="G55" s="2264"/>
      <c r="H55" s="2264"/>
      <c r="I55" s="2326"/>
      <c r="J55" s="2264"/>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5" t="s">
        <v>2071</v>
      </c>
      <c r="B56" s="84"/>
      <c r="C56" s="1422">
        <v>18</v>
      </c>
      <c r="D56" s="2265"/>
      <c r="E56" s="2264"/>
      <c r="F56" s="2264"/>
      <c r="G56" s="2264"/>
      <c r="H56" s="2264"/>
      <c r="I56" s="2264"/>
      <c r="J56" s="2264"/>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5" t="s">
        <v>2072</v>
      </c>
      <c r="B57" s="84"/>
      <c r="C57" s="1422">
        <v>12</v>
      </c>
      <c r="D57" s="2265"/>
      <c r="E57" s="2264"/>
      <c r="F57" s="2264"/>
      <c r="G57" s="2264"/>
      <c r="H57" s="2264"/>
      <c r="I57" s="2264"/>
      <c r="J57" s="2264"/>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5" t="s">
        <v>2073</v>
      </c>
      <c r="B58" s="84"/>
      <c r="C58" s="1422">
        <v>3</v>
      </c>
      <c r="D58" s="2265"/>
      <c r="E58" s="2264"/>
      <c r="F58" s="2264"/>
      <c r="G58" s="2264"/>
      <c r="H58" s="2264"/>
      <c r="I58" s="2264"/>
      <c r="J58" s="2264"/>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5" t="s">
        <v>2074</v>
      </c>
      <c r="B59" s="84"/>
      <c r="C59" s="1422">
        <v>1.5</v>
      </c>
      <c r="D59" s="2265"/>
      <c r="E59" s="2264"/>
      <c r="F59" s="2264"/>
      <c r="G59" s="2264"/>
      <c r="H59" s="2264"/>
      <c r="I59" s="2264"/>
      <c r="J59" s="2264"/>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5" t="s">
        <v>2075</v>
      </c>
      <c r="B60" s="84"/>
      <c r="C60" s="2264"/>
      <c r="D60" s="2265"/>
      <c r="E60" s="2264"/>
      <c r="F60" s="2264"/>
      <c r="G60" s="2264"/>
      <c r="H60" s="2264"/>
      <c r="I60" s="2264"/>
      <c r="J60" s="2264"/>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5" t="s">
        <v>2076</v>
      </c>
      <c r="B61" s="84"/>
      <c r="C61" s="2264"/>
      <c r="D61" s="2265"/>
      <c r="E61" s="2264"/>
      <c r="F61" s="2264"/>
      <c r="G61" s="2264"/>
      <c r="H61" s="2264"/>
      <c r="I61" s="2264"/>
      <c r="J61" s="2264"/>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5" t="s">
        <v>2077</v>
      </c>
      <c r="B62" s="84"/>
      <c r="C62" s="2264"/>
      <c r="D62" s="2265"/>
      <c r="E62" s="2264"/>
      <c r="F62" s="2264"/>
      <c r="G62" s="2264"/>
      <c r="H62" s="2264"/>
      <c r="I62" s="2264"/>
      <c r="J62" s="2264"/>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7" t="s">
        <v>2078</v>
      </c>
      <c r="B63" s="132"/>
      <c r="C63" s="2264"/>
      <c r="D63" s="2265"/>
      <c r="E63" s="2264"/>
      <c r="F63" s="2264"/>
      <c r="G63" s="2264"/>
      <c r="H63" s="2264"/>
      <c r="I63" s="2264"/>
      <c r="J63" s="2264"/>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1" customFormat="1">
      <c r="A64" s="2328"/>
      <c r="D64" s="2329"/>
      <c r="K64" s="793"/>
      <c r="L64" s="793"/>
    </row>
    <row r="65" spans="1:12" s="961" customFormat="1">
      <c r="A65" s="2328"/>
      <c r="D65" s="2329"/>
      <c r="K65" s="793"/>
      <c r="L65" s="793"/>
    </row>
    <row r="66" spans="1:12" s="961" customFormat="1">
      <c r="A66" s="2328"/>
      <c r="D66" s="2329"/>
      <c r="K66" s="793"/>
      <c r="L66" s="793"/>
    </row>
    <row r="67" spans="1:12" s="961" customFormat="1">
      <c r="A67" s="2328"/>
      <c r="D67" s="2329"/>
      <c r="K67" s="793"/>
      <c r="L67" s="793"/>
    </row>
    <row r="68" spans="1:12" s="961" customFormat="1">
      <c r="A68" s="2328"/>
      <c r="D68" s="2329"/>
      <c r="K68" s="793"/>
      <c r="L68" s="793"/>
    </row>
    <row r="69" spans="1:12" s="961" customFormat="1">
      <c r="A69" s="2328"/>
      <c r="D69" s="2329"/>
      <c r="K69" s="793"/>
      <c r="L69" s="793"/>
    </row>
    <row r="70" spans="1:12" s="961" customFormat="1">
      <c r="A70" s="2328"/>
      <c r="D70" s="2329"/>
      <c r="K70" s="793"/>
      <c r="L70" s="793"/>
    </row>
    <row r="71" spans="1:12" s="961" customFormat="1">
      <c r="A71" s="2328"/>
      <c r="D71" s="2329"/>
      <c r="K71" s="793"/>
      <c r="L71" s="793"/>
    </row>
    <row r="72" spans="1:12" s="961" customFormat="1">
      <c r="A72" s="2328"/>
      <c r="D72" s="2329"/>
      <c r="K72" s="793"/>
      <c r="L72" s="793"/>
    </row>
    <row r="73" spans="1:12" s="961" customFormat="1">
      <c r="A73" s="2328"/>
      <c r="D73" s="2329"/>
      <c r="K73" s="793"/>
      <c r="L73" s="793"/>
    </row>
    <row r="74" spans="1:12" s="961" customFormat="1">
      <c r="A74" s="2328"/>
      <c r="D74" s="2329"/>
      <c r="K74" s="793"/>
      <c r="L74" s="793"/>
    </row>
    <row r="75" spans="1:12" s="961" customFormat="1">
      <c r="A75" s="2328"/>
      <c r="D75" s="2329"/>
      <c r="K75" s="793"/>
      <c r="L75" s="793"/>
    </row>
    <row r="76" spans="1:12" s="961" customFormat="1">
      <c r="A76" s="2328"/>
      <c r="D76" s="2329"/>
      <c r="K76" s="793"/>
      <c r="L76" s="793"/>
    </row>
    <row r="77" spans="1:12" s="961" customFormat="1">
      <c r="A77" s="2328"/>
      <c r="D77" s="2329"/>
      <c r="K77" s="793"/>
      <c r="L77" s="793"/>
    </row>
    <row r="78" spans="1:12" s="961" customFormat="1">
      <c r="A78" s="2328"/>
      <c r="D78" s="2329"/>
      <c r="K78" s="793"/>
      <c r="L78" s="793"/>
    </row>
    <row r="79" spans="1:12" s="961" customFormat="1">
      <c r="A79" s="2328"/>
      <c r="D79" s="2329"/>
      <c r="K79" s="793"/>
      <c r="L79" s="793"/>
    </row>
    <row r="80" spans="1:12" s="961" customFormat="1">
      <c r="A80" s="2328"/>
      <c r="D80" s="2329"/>
      <c r="K80" s="793"/>
      <c r="L80" s="793"/>
    </row>
    <row r="81" spans="1:12" s="961" customFormat="1">
      <c r="A81" s="2328"/>
      <c r="D81" s="2329"/>
      <c r="K81" s="793"/>
      <c r="L81" s="793"/>
    </row>
    <row r="82" spans="1:12" s="961" customFormat="1">
      <c r="A82" s="2328"/>
      <c r="D82" s="2329"/>
      <c r="K82" s="793"/>
      <c r="L82" s="793"/>
    </row>
    <row r="83" spans="1:12" s="961" customFormat="1">
      <c r="A83" s="2328"/>
      <c r="D83" s="2329"/>
      <c r="K83" s="793"/>
      <c r="L83" s="793"/>
    </row>
    <row r="84" spans="1:12" s="961" customFormat="1">
      <c r="A84" s="2328"/>
      <c r="D84" s="2329"/>
      <c r="K84" s="793"/>
      <c r="L84" s="793"/>
    </row>
    <row r="85" spans="1:12" s="961" customFormat="1">
      <c r="A85" s="2328"/>
      <c r="D85" s="2329"/>
      <c r="K85" s="793"/>
      <c r="L85" s="793"/>
    </row>
    <row r="86" spans="1:12" s="961" customFormat="1">
      <c r="A86" s="2328"/>
      <c r="D86" s="2329"/>
      <c r="K86" s="793"/>
      <c r="L86" s="793"/>
    </row>
    <row r="87" spans="1:12" s="961" customFormat="1">
      <c r="A87" s="2328"/>
      <c r="D87" s="2329"/>
      <c r="K87" s="793"/>
      <c r="L87" s="793"/>
    </row>
    <row r="88" spans="1:12" s="961" customFormat="1">
      <c r="A88" s="2328"/>
      <c r="D88" s="2329"/>
      <c r="K88" s="793"/>
      <c r="L88" s="793"/>
    </row>
    <row r="89" spans="1:12" s="961" customFormat="1">
      <c r="A89" s="2328"/>
      <c r="D89" s="2329"/>
      <c r="K89" s="793"/>
      <c r="L89" s="793"/>
    </row>
    <row r="90" spans="1:12" s="961" customFormat="1">
      <c r="A90" s="2328"/>
      <c r="D90" s="2329"/>
      <c r="K90" s="793"/>
      <c r="L90" s="793"/>
    </row>
    <row r="91" spans="1:12" s="961" customFormat="1">
      <c r="A91" s="2328"/>
      <c r="D91" s="2329"/>
      <c r="K91" s="793"/>
      <c r="L91" s="793"/>
    </row>
    <row r="92" spans="1:12" s="961" customFormat="1">
      <c r="A92" s="2328"/>
      <c r="D92" s="2329"/>
      <c r="K92" s="793"/>
      <c r="L92" s="793"/>
    </row>
    <row r="93" spans="1:12" s="961" customFormat="1">
      <c r="A93" s="2328"/>
      <c r="D93" s="2329"/>
      <c r="K93" s="793"/>
      <c r="L93" s="793"/>
    </row>
    <row r="94" spans="1:12" s="961" customFormat="1">
      <c r="A94" s="2328"/>
      <c r="D94" s="2329"/>
      <c r="K94" s="793"/>
      <c r="L94" s="793"/>
    </row>
    <row r="95" spans="1:12" s="961" customFormat="1">
      <c r="A95" s="2328"/>
      <c r="D95" s="2329"/>
      <c r="K95" s="793"/>
      <c r="L95" s="793"/>
    </row>
    <row r="96" spans="1:12" s="961" customFormat="1">
      <c r="A96" s="2328"/>
      <c r="D96" s="2329"/>
      <c r="K96" s="793"/>
      <c r="L96" s="793"/>
    </row>
    <row r="97" spans="1:12" s="961" customFormat="1">
      <c r="A97" s="2328"/>
      <c r="D97" s="2329"/>
      <c r="K97" s="793"/>
      <c r="L97" s="793"/>
    </row>
    <row r="98" spans="1:12" s="961" customFormat="1">
      <c r="A98" s="2328"/>
      <c r="D98" s="2329"/>
      <c r="K98" s="793"/>
      <c r="L98" s="793"/>
    </row>
    <row r="99" spans="1:12" s="961" customFormat="1">
      <c r="A99" s="2328"/>
      <c r="D99" s="2329"/>
      <c r="K99" s="793"/>
      <c r="L99" s="793"/>
    </row>
    <row r="100" spans="1:12" s="961" customFormat="1">
      <c r="A100" s="2328"/>
      <c r="D100" s="2329"/>
      <c r="K100" s="793"/>
      <c r="L100" s="793"/>
    </row>
    <row r="101" spans="1:12" s="961" customFormat="1">
      <c r="A101" s="2328"/>
      <c r="D101" s="2329"/>
      <c r="K101" s="793"/>
      <c r="L101" s="793"/>
    </row>
    <row r="102" spans="1:12" s="961" customFormat="1">
      <c r="A102" s="2328"/>
      <c r="D102" s="2329"/>
      <c r="K102" s="793"/>
      <c r="L102" s="793"/>
    </row>
    <row r="103" spans="1:12" s="961" customFormat="1">
      <c r="A103" s="2328"/>
      <c r="D103" s="2329"/>
      <c r="K103" s="793"/>
      <c r="L103" s="793"/>
    </row>
    <row r="104" spans="1:12" s="961" customFormat="1">
      <c r="A104" s="2328"/>
      <c r="D104" s="2329"/>
      <c r="K104" s="793"/>
      <c r="L104" s="793"/>
    </row>
    <row r="105" spans="1:12" s="961" customFormat="1">
      <c r="A105" s="2328"/>
      <c r="D105" s="2329"/>
      <c r="K105" s="793"/>
      <c r="L105" s="793"/>
    </row>
    <row r="106" spans="1:12" s="961" customFormat="1">
      <c r="A106" s="2328"/>
      <c r="D106" s="2329"/>
      <c r="K106" s="793"/>
      <c r="L106" s="793"/>
    </row>
    <row r="107" spans="1:12" s="961" customFormat="1">
      <c r="A107" s="2328"/>
      <c r="D107" s="2329"/>
      <c r="K107" s="793"/>
      <c r="L107" s="793"/>
    </row>
    <row r="108" spans="1:12" s="961" customFormat="1">
      <c r="A108" s="2328"/>
      <c r="D108" s="2329"/>
      <c r="K108" s="793"/>
      <c r="L108" s="793"/>
    </row>
    <row r="109" spans="1:12" s="961" customFormat="1">
      <c r="A109" s="2328"/>
      <c r="D109" s="2329"/>
      <c r="K109" s="793"/>
      <c r="L109" s="793"/>
    </row>
    <row r="110" spans="1:12" s="961" customFormat="1">
      <c r="A110" s="2328"/>
      <c r="D110" s="2329"/>
      <c r="K110" s="793"/>
      <c r="L110" s="793"/>
    </row>
    <row r="111" spans="1:12" s="961" customFormat="1">
      <c r="A111" s="2328"/>
      <c r="D111" s="2329"/>
      <c r="K111" s="793"/>
      <c r="L111" s="793"/>
    </row>
    <row r="112" spans="1:12" s="961" customFormat="1">
      <c r="A112" s="2328"/>
      <c r="D112" s="2329"/>
      <c r="K112" s="793"/>
      <c r="L112" s="793"/>
    </row>
    <row r="113" spans="1:12" s="961" customFormat="1">
      <c r="A113" s="2328"/>
      <c r="D113" s="2329"/>
      <c r="K113" s="793"/>
      <c r="L113" s="793"/>
    </row>
    <row r="114" spans="1:12" s="961" customFormat="1">
      <c r="A114" s="2328"/>
      <c r="D114" s="2329"/>
      <c r="K114" s="793"/>
      <c r="L114" s="793"/>
    </row>
    <row r="115" spans="1:12" s="961" customFormat="1">
      <c r="A115" s="2328"/>
      <c r="D115" s="2329"/>
      <c r="K115" s="793"/>
      <c r="L115" s="793"/>
    </row>
    <row r="116" spans="1:12" s="961" customFormat="1">
      <c r="A116" s="2328"/>
      <c r="D116" s="2329"/>
      <c r="K116" s="793"/>
      <c r="L116" s="793"/>
    </row>
    <row r="117" spans="1:12" s="961" customFormat="1">
      <c r="A117" s="2328"/>
      <c r="D117" s="2329"/>
      <c r="K117" s="793"/>
      <c r="L117" s="793"/>
    </row>
    <row r="118" spans="1:12" s="961" customFormat="1">
      <c r="A118" s="2328"/>
      <c r="D118" s="2329"/>
      <c r="K118" s="793"/>
      <c r="L118" s="793"/>
    </row>
    <row r="119" spans="1:12" s="961" customFormat="1">
      <c r="A119" s="2328"/>
      <c r="D119" s="2329"/>
      <c r="K119" s="793"/>
      <c r="L119" s="793"/>
    </row>
    <row r="120" spans="1:12" s="961" customFormat="1">
      <c r="A120" s="2328"/>
      <c r="D120" s="2329"/>
      <c r="K120" s="793"/>
      <c r="L120" s="793"/>
    </row>
    <row r="121" spans="1:12" s="961" customFormat="1">
      <c r="A121" s="2328"/>
      <c r="D121" s="2329"/>
      <c r="K121" s="793"/>
      <c r="L121" s="793"/>
    </row>
    <row r="122" spans="1:12" s="961" customFormat="1">
      <c r="A122" s="2328"/>
      <c r="D122" s="2329"/>
      <c r="K122" s="793"/>
      <c r="L122" s="793"/>
    </row>
    <row r="123" spans="1:12" s="961" customFormat="1">
      <c r="A123" s="2328"/>
      <c r="D123" s="2329"/>
      <c r="K123" s="793"/>
      <c r="L123" s="793"/>
    </row>
    <row r="124" spans="1:12" s="961" customFormat="1">
      <c r="A124" s="2328"/>
      <c r="D124" s="2329"/>
      <c r="K124" s="793"/>
      <c r="L124" s="793"/>
    </row>
    <row r="125" spans="1:12" s="961" customFormat="1">
      <c r="A125" s="2328"/>
      <c r="D125" s="2329"/>
      <c r="K125" s="793"/>
      <c r="L125" s="793"/>
    </row>
    <row r="126" spans="1:12" s="961" customFormat="1">
      <c r="A126" s="2328"/>
      <c r="D126" s="2329"/>
      <c r="K126" s="793"/>
      <c r="L126" s="793"/>
    </row>
    <row r="127" spans="1:12" s="961" customFormat="1">
      <c r="A127" s="2328"/>
      <c r="D127" s="2329"/>
      <c r="K127" s="793"/>
      <c r="L127" s="793"/>
    </row>
    <row r="128" spans="1:12" s="961" customFormat="1">
      <c r="A128" s="2328"/>
      <c r="D128" s="2329"/>
      <c r="K128" s="793"/>
      <c r="L128" s="793"/>
    </row>
    <row r="129" spans="1:12" s="961" customFormat="1">
      <c r="A129" s="2328"/>
      <c r="D129" s="2329"/>
      <c r="K129" s="793"/>
      <c r="L129" s="793"/>
    </row>
    <row r="130" spans="1:12" s="961" customFormat="1">
      <c r="A130" s="2328"/>
      <c r="D130" s="2329"/>
      <c r="K130" s="793"/>
      <c r="L130" s="793"/>
    </row>
    <row r="131" spans="1:12" s="961" customFormat="1">
      <c r="A131" s="2328"/>
      <c r="D131" s="2329"/>
      <c r="K131" s="793"/>
      <c r="L131" s="793"/>
    </row>
    <row r="132" spans="1:12" s="961" customFormat="1">
      <c r="A132" s="2328"/>
      <c r="D132" s="2329"/>
      <c r="K132" s="793"/>
      <c r="L132" s="793"/>
    </row>
    <row r="133" spans="1:12" s="961" customFormat="1">
      <c r="A133" s="2328"/>
      <c r="D133" s="2329"/>
      <c r="K133" s="793"/>
      <c r="L133" s="793"/>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6"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5"/>
    <col min="30" max="16384" width="9" style="2356"/>
  </cols>
  <sheetData>
    <row r="1" spans="1:29" s="2349" customFormat="1" ht="19.5" thickBot="1">
      <c r="A1" s="3164" t="s">
        <v>2079</v>
      </c>
      <c r="B1" s="3165"/>
      <c r="C1" s="3165"/>
      <c r="D1" s="3165"/>
      <c r="E1" s="3165"/>
      <c r="F1" s="3165"/>
      <c r="G1" s="3165"/>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3" t="s">
        <v>2082</v>
      </c>
      <c r="B3" s="1263" t="s">
        <v>2083</v>
      </c>
      <c r="C3" s="2357"/>
      <c r="D3" s="2358"/>
      <c r="E3" s="428" t="s">
        <v>2082</v>
      </c>
      <c r="F3" s="2359" t="s">
        <v>2084</v>
      </c>
      <c r="G3" s="2961"/>
      <c r="H3" s="2355"/>
      <c r="I3" s="2355"/>
      <c r="J3" s="2355"/>
      <c r="K3" s="2355"/>
      <c r="L3" s="2355"/>
      <c r="M3" s="2355"/>
      <c r="N3" s="2355"/>
      <c r="O3" s="2355"/>
      <c r="P3" s="2355"/>
      <c r="Q3" s="2355"/>
      <c r="R3" s="2355"/>
    </row>
    <row r="4" spans="1:29" ht="15">
      <c r="A4" s="428"/>
      <c r="B4" s="1789" t="s">
        <v>2085</v>
      </c>
      <c r="C4" s="3006"/>
      <c r="D4" s="2358"/>
      <c r="E4" s="2360"/>
      <c r="F4" s="42" t="s">
        <v>2086</v>
      </c>
      <c r="G4" s="2936"/>
      <c r="H4" s="2355"/>
      <c r="I4" s="2355"/>
      <c r="J4" s="2355"/>
      <c r="K4" s="2355"/>
      <c r="L4" s="2355"/>
      <c r="M4" s="2355"/>
      <c r="N4" s="2355"/>
      <c r="O4" s="2355"/>
      <c r="P4" s="2355"/>
      <c r="Q4" s="2355"/>
      <c r="R4" s="2355"/>
    </row>
    <row r="5" spans="1:29" ht="15">
      <c r="A5" s="428"/>
      <c r="B5" s="1789" t="s">
        <v>2087</v>
      </c>
      <c r="C5" s="3006"/>
      <c r="D5" s="2358"/>
      <c r="E5" s="2360"/>
      <c r="F5" s="1789" t="s">
        <v>2088</v>
      </c>
      <c r="G5" s="2936"/>
      <c r="H5" s="2355"/>
      <c r="I5" s="2355"/>
      <c r="J5" s="2355"/>
      <c r="K5" s="2355"/>
      <c r="L5" s="2355"/>
      <c r="M5" s="2355"/>
      <c r="N5" s="2355"/>
      <c r="O5" s="2355"/>
      <c r="P5" s="2355"/>
      <c r="Q5" s="2355"/>
      <c r="R5" s="2355"/>
    </row>
    <row r="6" spans="1:29" ht="15">
      <c r="A6" s="428"/>
      <c r="B6" s="1789" t="s">
        <v>2089</v>
      </c>
      <c r="C6" s="2936"/>
      <c r="D6" s="2358"/>
      <c r="E6" s="2360"/>
      <c r="F6" s="1789" t="s">
        <v>2090</v>
      </c>
      <c r="G6" s="2936"/>
      <c r="H6" s="2355"/>
      <c r="I6" s="2355"/>
      <c r="J6" s="2355"/>
      <c r="K6" s="2355"/>
      <c r="L6" s="2355"/>
      <c r="M6" s="2355"/>
      <c r="N6" s="2355"/>
      <c r="O6" s="2355"/>
      <c r="P6" s="2355"/>
      <c r="Q6" s="2355"/>
      <c r="R6" s="2355"/>
    </row>
    <row r="7" spans="1:29" ht="15.75" thickBot="1">
      <c r="A7" s="428"/>
      <c r="B7" s="1789" t="s">
        <v>2088</v>
      </c>
      <c r="C7" s="2936"/>
      <c r="D7" s="2361"/>
      <c r="E7" s="2362"/>
      <c r="F7" s="2363" t="s">
        <v>2091</v>
      </c>
      <c r="G7" s="2939"/>
      <c r="H7" s="2355"/>
      <c r="I7" s="2355"/>
      <c r="J7" s="2355"/>
      <c r="K7" s="2355"/>
      <c r="L7" s="2355"/>
      <c r="M7" s="2355"/>
      <c r="N7" s="2355"/>
      <c r="O7" s="2355"/>
      <c r="P7" s="2355"/>
      <c r="Q7" s="2355"/>
      <c r="R7" s="2355"/>
    </row>
    <row r="8" spans="1:29" ht="15">
      <c r="A8" s="428"/>
      <c r="B8" s="1789" t="s">
        <v>2090</v>
      </c>
      <c r="C8" s="2936"/>
      <c r="D8" s="2361"/>
      <c r="E8" s="2361"/>
      <c r="F8" s="1130"/>
      <c r="G8" s="1130"/>
      <c r="H8" s="2355"/>
      <c r="I8" s="2355"/>
      <c r="J8" s="2355"/>
      <c r="K8" s="2355"/>
      <c r="L8" s="2355"/>
      <c r="M8" s="2355"/>
      <c r="N8" s="2355"/>
      <c r="O8" s="2355"/>
      <c r="P8" s="2355"/>
      <c r="Q8" s="2355"/>
      <c r="R8" s="2355"/>
    </row>
    <row r="9" spans="1:29" ht="15">
      <c r="A9" s="428"/>
      <c r="B9" s="1789" t="s">
        <v>2092</v>
      </c>
      <c r="C9" s="3006"/>
      <c r="D9" s="2358"/>
      <c r="E9" s="2361"/>
      <c r="F9" s="1130"/>
      <c r="G9" s="1130"/>
      <c r="H9" s="2355"/>
      <c r="I9" s="2355"/>
      <c r="J9" s="2355"/>
      <c r="K9" s="2355"/>
      <c r="L9" s="2355"/>
      <c r="M9" s="2355"/>
      <c r="N9" s="2355"/>
      <c r="O9" s="2355"/>
      <c r="P9" s="2355"/>
      <c r="Q9" s="2355"/>
      <c r="R9" s="2355"/>
    </row>
    <row r="10" spans="1:29" s="116" customFormat="1" ht="15.75" thickBot="1">
      <c r="A10" s="2364"/>
      <c r="B10" s="2365" t="s">
        <v>2093</v>
      </c>
      <c r="C10" s="2366"/>
      <c r="D10" s="2358"/>
      <c r="E10" s="2358"/>
      <c r="F10" s="1130"/>
      <c r="G10" s="1130"/>
      <c r="H10" s="2367"/>
      <c r="I10" s="2368"/>
      <c r="J10" s="2369"/>
      <c r="K10" s="2367"/>
      <c r="L10" s="2368"/>
      <c r="M10" s="2369"/>
      <c r="N10" s="2367"/>
      <c r="O10" s="2368"/>
      <c r="P10" s="2369"/>
      <c r="Q10" s="2367"/>
      <c r="R10" s="2368"/>
      <c r="S10" s="2355"/>
      <c r="T10" s="2355"/>
      <c r="U10" s="2355"/>
      <c r="V10" s="2355"/>
      <c r="W10" s="2355"/>
      <c r="X10" s="2355"/>
      <c r="Y10" s="2355"/>
      <c r="Z10" s="2355"/>
      <c r="AA10" s="2355"/>
      <c r="AB10" s="2355"/>
      <c r="AC10" s="2355"/>
    </row>
    <row r="11" spans="1:29" s="116" customFormat="1" ht="15">
      <c r="A11" s="2370"/>
      <c r="B11" s="2361"/>
      <c r="C11" s="2358"/>
      <c r="D11" s="2358"/>
      <c r="E11" s="2358"/>
      <c r="F11" s="2361"/>
      <c r="G11" s="1148"/>
      <c r="H11" s="2367"/>
      <c r="I11" s="2368"/>
      <c r="J11" s="2369"/>
      <c r="K11" s="2367"/>
      <c r="L11" s="2368"/>
      <c r="M11" s="2369"/>
      <c r="N11" s="2367"/>
      <c r="O11" s="2368"/>
      <c r="P11" s="2369"/>
      <c r="Q11" s="2367"/>
      <c r="R11" s="2368"/>
      <c r="S11" s="2355"/>
      <c r="T11" s="2355"/>
      <c r="U11" s="2355"/>
      <c r="V11" s="2355"/>
      <c r="W11" s="2355"/>
      <c r="X11" s="2355"/>
      <c r="Y11" s="2355"/>
      <c r="Z11" s="2355"/>
      <c r="AA11" s="2355"/>
      <c r="AB11" s="2355"/>
      <c r="AC11" s="2355"/>
    </row>
    <row r="12" spans="1:29" s="2349" customFormat="1" ht="18">
      <c r="A12" s="2370"/>
      <c r="B12" s="2361"/>
      <c r="C12" s="2358"/>
      <c r="D12" s="2371"/>
      <c r="E12" s="2358"/>
      <c r="F12" s="2361"/>
      <c r="G12" s="1148"/>
      <c r="H12" s="2372"/>
      <c r="I12" s="2373"/>
      <c r="J12" s="2372"/>
      <c r="K12" s="2372"/>
      <c r="L12" s="2374"/>
      <c r="M12" s="2372"/>
      <c r="N12" s="2375"/>
      <c r="O12" s="2376"/>
      <c r="P12" s="2375"/>
      <c r="Q12" s="2375"/>
      <c r="R12" s="2347"/>
      <c r="S12" s="2348"/>
      <c r="T12" s="2348"/>
      <c r="U12" s="2348"/>
      <c r="V12" s="2348"/>
      <c r="W12" s="2348"/>
      <c r="X12" s="2348"/>
      <c r="Y12" s="2348"/>
      <c r="Z12" s="2348"/>
      <c r="AA12" s="2348"/>
      <c r="AB12" s="2348"/>
      <c r="AC12" s="2348"/>
    </row>
    <row r="13" spans="1:29" ht="19.5" thickBot="1">
      <c r="A13" s="2377" t="s">
        <v>2094</v>
      </c>
      <c r="B13" s="2371"/>
      <c r="C13" s="2371"/>
      <c r="D13" s="2378"/>
      <c r="E13" s="2371"/>
      <c r="F13" s="2371"/>
      <c r="G13" s="2371"/>
    </row>
    <row r="14" spans="1:29" ht="15.75" thickBot="1">
      <c r="A14" s="2382"/>
      <c r="B14" s="2383"/>
      <c r="C14" s="2384" t="s">
        <v>2095</v>
      </c>
      <c r="D14" s="2358"/>
      <c r="E14" s="2385"/>
      <c r="F14" s="2385"/>
      <c r="G14" s="2352" t="s">
        <v>2096</v>
      </c>
    </row>
    <row r="15" spans="1:29" ht="27">
      <c r="A15" s="68" t="s">
        <v>2097</v>
      </c>
      <c r="B15" s="1262" t="s">
        <v>2083</v>
      </c>
      <c r="C15" s="2386">
        <f>C3</f>
        <v>0</v>
      </c>
      <c r="D15" s="2358"/>
      <c r="E15" s="2387" t="s">
        <v>2098</v>
      </c>
      <c r="F15" s="1262" t="s">
        <v>2099</v>
      </c>
      <c r="G15" s="133">
        <f>G3</f>
        <v>0</v>
      </c>
    </row>
    <row r="16" spans="1:29" ht="15">
      <c r="A16" s="642"/>
      <c r="B16" s="2388" t="s">
        <v>2085</v>
      </c>
      <c r="C16" s="2389">
        <f>C4</f>
        <v>0</v>
      </c>
      <c r="D16" s="2358"/>
      <c r="E16" s="2390"/>
      <c r="F16" s="2391" t="s">
        <v>2086</v>
      </c>
      <c r="G16" s="134">
        <f>G4</f>
        <v>0</v>
      </c>
    </row>
    <row r="17" spans="1:18" ht="15">
      <c r="A17" s="642"/>
      <c r="B17" s="2388" t="s">
        <v>2087</v>
      </c>
      <c r="C17" s="2389">
        <f>C5</f>
        <v>0</v>
      </c>
      <c r="D17" s="2361"/>
      <c r="E17" s="2390"/>
      <c r="F17" s="2391" t="s">
        <v>2100</v>
      </c>
      <c r="G17" s="2960"/>
    </row>
    <row r="18" spans="1:18" ht="15">
      <c r="A18" s="642"/>
      <c r="B18" s="2391" t="s">
        <v>2089</v>
      </c>
      <c r="C18" s="134">
        <f>C6</f>
        <v>0</v>
      </c>
      <c r="D18" s="2361"/>
      <c r="E18" s="2390"/>
      <c r="F18" s="2391" t="s">
        <v>2091</v>
      </c>
      <c r="G18" s="134">
        <f>G7</f>
        <v>0</v>
      </c>
    </row>
    <row r="19" spans="1:18" ht="15">
      <c r="A19" s="642"/>
      <c r="B19" s="2391" t="s">
        <v>2101</v>
      </c>
      <c r="C19" s="2960"/>
      <c r="D19" s="2358"/>
      <c r="E19" s="2390"/>
      <c r="F19" s="1789" t="s">
        <v>2088</v>
      </c>
      <c r="G19" s="134">
        <f>G5</f>
        <v>0</v>
      </c>
    </row>
    <row r="20" spans="1:18" ht="15">
      <c r="A20" s="642"/>
      <c r="B20" s="2391" t="s">
        <v>2102</v>
      </c>
      <c r="C20" s="2389">
        <f>C9</f>
        <v>0</v>
      </c>
      <c r="D20" s="2361"/>
      <c r="E20" s="2390"/>
      <c r="F20" s="1789" t="s">
        <v>2103</v>
      </c>
      <c r="G20" s="134">
        <f>G6</f>
        <v>0</v>
      </c>
    </row>
    <row r="21" spans="1:18" ht="15">
      <c r="A21" s="642"/>
      <c r="B21" s="1789" t="s">
        <v>2088</v>
      </c>
      <c r="C21" s="134">
        <f>C7</f>
        <v>0</v>
      </c>
      <c r="D21" s="2358"/>
      <c r="E21" s="2390"/>
      <c r="F21" s="2391" t="s">
        <v>2104</v>
      </c>
      <c r="G21" s="2392" t="s">
        <v>3118</v>
      </c>
    </row>
    <row r="22" spans="1:18" ht="13.5" customHeight="1">
      <c r="A22" s="642"/>
      <c r="B22" s="1789" t="s">
        <v>2090</v>
      </c>
      <c r="C22" s="134">
        <f>C8</f>
        <v>0</v>
      </c>
      <c r="D22" s="2358"/>
      <c r="E22" s="2390"/>
      <c r="F22" s="2391" t="s">
        <v>2093</v>
      </c>
      <c r="G22" s="1563"/>
    </row>
    <row r="23" spans="1:18" s="2355" customFormat="1" ht="15.75" thickBot="1">
      <c r="A23" s="642"/>
      <c r="B23" s="2391" t="s">
        <v>2104</v>
      </c>
      <c r="C23" s="2392" t="s">
        <v>3248</v>
      </c>
      <c r="D23" s="2379"/>
      <c r="E23" s="2393"/>
      <c r="F23" s="2394" t="s">
        <v>2105</v>
      </c>
      <c r="G23" s="2395"/>
      <c r="H23" s="2379"/>
      <c r="I23" s="2380"/>
      <c r="J23" s="2379"/>
      <c r="K23" s="2379"/>
      <c r="L23" s="2380"/>
      <c r="M23" s="2379"/>
      <c r="N23" s="2379"/>
      <c r="O23" s="2380"/>
      <c r="P23" s="2379"/>
      <c r="Q23" s="2379"/>
      <c r="R23" s="2381"/>
    </row>
    <row r="24" spans="1:18" s="2355"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5" customFormat="1">
      <c r="B25" s="2379"/>
      <c r="C25" s="2379"/>
      <c r="D25" s="2379"/>
      <c r="H25" s="2379"/>
      <c r="I25" s="2380"/>
      <c r="J25" s="2379"/>
      <c r="K25" s="2379"/>
      <c r="L25" s="2380"/>
      <c r="M25" s="2379"/>
      <c r="N25" s="2379"/>
      <c r="O25" s="2380"/>
      <c r="P25" s="2379"/>
      <c r="Q25" s="2379"/>
      <c r="R25" s="2381"/>
    </row>
    <row r="26" spans="1:18" s="2355" customFormat="1">
      <c r="B26" s="2379"/>
      <c r="C26" s="2379"/>
      <c r="D26" s="2379"/>
      <c r="H26" s="2379"/>
      <c r="I26" s="2380"/>
      <c r="J26" s="2379"/>
      <c r="K26" s="2379"/>
      <c r="L26" s="2380"/>
      <c r="M26" s="2379"/>
      <c r="N26" s="2379"/>
      <c r="O26" s="2380"/>
      <c r="P26" s="2379"/>
      <c r="Q26" s="2379"/>
      <c r="R26" s="2381"/>
    </row>
    <row r="27" spans="1:18" s="2355" customFormat="1">
      <c r="B27" s="2379"/>
      <c r="C27" s="2379"/>
      <c r="D27" s="2379"/>
      <c r="H27" s="2379"/>
      <c r="I27" s="2380"/>
      <c r="J27" s="2379"/>
      <c r="K27" s="2379"/>
      <c r="L27" s="2380"/>
      <c r="M27" s="2379"/>
      <c r="N27" s="2379"/>
      <c r="O27" s="2380"/>
      <c r="P27" s="2379"/>
      <c r="Q27" s="2379"/>
      <c r="R27" s="2381"/>
    </row>
    <row r="28" spans="1:18" s="2355" customFormat="1">
      <c r="B28" s="2379"/>
      <c r="C28" s="2379"/>
      <c r="D28" s="2379"/>
      <c r="H28" s="2379"/>
      <c r="I28" s="2380"/>
      <c r="J28" s="2379"/>
      <c r="K28" s="2379"/>
      <c r="L28" s="2380"/>
      <c r="M28" s="2379"/>
      <c r="N28" s="2379"/>
      <c r="O28" s="2380"/>
      <c r="P28" s="2379"/>
      <c r="Q28" s="2379"/>
      <c r="R28" s="2381"/>
    </row>
    <row r="29" spans="1:18" s="2355" customFormat="1">
      <c r="B29" s="2379"/>
      <c r="C29" s="2379"/>
      <c r="D29" s="2379"/>
      <c r="H29" s="2379"/>
      <c r="I29" s="2380"/>
      <c r="J29" s="2379"/>
      <c r="K29" s="2379"/>
      <c r="L29" s="2380"/>
      <c r="M29" s="2379"/>
      <c r="N29" s="2379"/>
      <c r="O29" s="2380"/>
      <c r="P29" s="2379"/>
      <c r="Q29" s="2379"/>
      <c r="R29" s="2381"/>
    </row>
    <row r="30" spans="1:18" s="2355" customFormat="1">
      <c r="B30" s="2379"/>
      <c r="C30" s="2379"/>
      <c r="D30" s="2379"/>
      <c r="H30" s="2379"/>
      <c r="I30" s="2380"/>
      <c r="J30" s="2379"/>
      <c r="K30" s="2379"/>
      <c r="L30" s="2380"/>
      <c r="M30" s="2379"/>
      <c r="N30" s="2379"/>
      <c r="O30" s="2380"/>
      <c r="P30" s="2379"/>
      <c r="Q30" s="2379"/>
      <c r="R30" s="2381"/>
    </row>
    <row r="31" spans="1:18" s="2355" customFormat="1">
      <c r="B31" s="2379"/>
      <c r="C31" s="2379"/>
      <c r="D31" s="2379"/>
      <c r="H31" s="2379"/>
      <c r="I31" s="2380"/>
      <c r="J31" s="2379"/>
      <c r="K31" s="2379"/>
      <c r="L31" s="2380"/>
      <c r="M31" s="2379"/>
      <c r="N31" s="2379"/>
      <c r="O31" s="2380"/>
      <c r="P31" s="2379"/>
      <c r="Q31" s="2379"/>
      <c r="R31" s="2381"/>
    </row>
    <row r="32" spans="1:18" s="2355" customFormat="1">
      <c r="B32" s="2379"/>
      <c r="C32" s="2379"/>
      <c r="D32" s="2379"/>
      <c r="H32" s="2379"/>
      <c r="I32" s="2380"/>
      <c r="J32" s="2379"/>
      <c r="K32" s="2379"/>
      <c r="L32" s="2380"/>
      <c r="M32" s="2379"/>
      <c r="N32" s="2379"/>
      <c r="O32" s="2380"/>
      <c r="P32" s="2379"/>
      <c r="Q32" s="2379"/>
      <c r="R32" s="2381"/>
    </row>
    <row r="33" spans="2:18" s="2355" customFormat="1">
      <c r="B33" s="2379"/>
      <c r="C33" s="2379"/>
      <c r="D33" s="2379"/>
      <c r="H33" s="2379"/>
      <c r="I33" s="2380"/>
      <c r="J33" s="2379"/>
      <c r="K33" s="2379"/>
      <c r="L33" s="2380"/>
      <c r="M33" s="2379"/>
      <c r="N33" s="2379"/>
      <c r="O33" s="2380"/>
      <c r="P33" s="2379"/>
      <c r="Q33" s="2379"/>
      <c r="R33" s="2381"/>
    </row>
    <row r="34" spans="2:18" s="2355" customFormat="1">
      <c r="B34" s="2379"/>
      <c r="C34" s="2379"/>
      <c r="D34" s="2379"/>
      <c r="H34" s="2379"/>
      <c r="I34" s="2380"/>
      <c r="J34" s="2379"/>
      <c r="K34" s="2379"/>
      <c r="L34" s="2380"/>
      <c r="M34" s="2379"/>
      <c r="N34" s="2379"/>
      <c r="O34" s="2380"/>
      <c r="P34" s="2379"/>
      <c r="Q34" s="2379"/>
      <c r="R34" s="2381"/>
    </row>
    <row r="35" spans="2:18" s="2355" customFormat="1">
      <c r="B35" s="2379"/>
      <c r="C35" s="2379"/>
      <c r="D35" s="2379"/>
      <c r="H35" s="2379"/>
      <c r="I35" s="2380"/>
      <c r="J35" s="2379"/>
      <c r="K35" s="2379"/>
      <c r="L35" s="2380"/>
      <c r="M35" s="2379"/>
      <c r="N35" s="2379"/>
      <c r="O35" s="2380"/>
      <c r="P35" s="2379"/>
      <c r="Q35" s="2379"/>
      <c r="R35" s="2381"/>
    </row>
    <row r="36" spans="2:18" s="2355" customFormat="1">
      <c r="B36" s="2379"/>
      <c r="C36" s="2379"/>
      <c r="D36" s="2379"/>
      <c r="H36" s="2379"/>
      <c r="I36" s="2380"/>
      <c r="J36" s="2379"/>
      <c r="K36" s="2379"/>
      <c r="L36" s="2380"/>
      <c r="M36" s="2379"/>
      <c r="N36" s="2379"/>
      <c r="O36" s="2380"/>
      <c r="P36" s="2379"/>
      <c r="Q36" s="2379"/>
      <c r="R36" s="2381"/>
    </row>
    <row r="37" spans="2:18" s="2355" customFormat="1">
      <c r="B37" s="2379"/>
      <c r="C37" s="2379"/>
      <c r="D37" s="2379"/>
      <c r="H37" s="2379"/>
      <c r="I37" s="2380"/>
      <c r="J37" s="2379"/>
      <c r="K37" s="2379"/>
      <c r="L37" s="2380"/>
      <c r="M37" s="2379"/>
      <c r="N37" s="2379"/>
      <c r="O37" s="2380"/>
      <c r="P37" s="2379"/>
      <c r="Q37" s="2379"/>
      <c r="R37" s="2381"/>
    </row>
    <row r="38" spans="2:18" s="2355" customFormat="1">
      <c r="B38" s="2379"/>
      <c r="C38" s="2379"/>
      <c r="D38" s="2379"/>
      <c r="E38" s="2379"/>
      <c r="F38" s="2379"/>
      <c r="G38" s="2380"/>
      <c r="H38" s="2379"/>
      <c r="I38" s="2380"/>
      <c r="J38" s="2379"/>
      <c r="K38" s="2379"/>
      <c r="L38" s="2380"/>
      <c r="M38" s="2379"/>
      <c r="N38" s="2379"/>
      <c r="O38" s="2380"/>
      <c r="P38" s="2379"/>
      <c r="Q38" s="2379"/>
      <c r="R38" s="2381"/>
    </row>
    <row r="39" spans="2:18" s="2355" customFormat="1">
      <c r="B39" s="2379"/>
      <c r="C39" s="2379"/>
      <c r="D39" s="2379"/>
      <c r="E39" s="2379"/>
      <c r="F39" s="2379"/>
      <c r="G39" s="2380"/>
      <c r="H39" s="2379"/>
      <c r="I39" s="2380"/>
      <c r="J39" s="2379"/>
      <c r="K39" s="2379"/>
      <c r="L39" s="2380"/>
      <c r="M39" s="2379"/>
      <c r="N39" s="2379"/>
      <c r="O39" s="2380"/>
      <c r="P39" s="2379"/>
      <c r="Q39" s="2379"/>
      <c r="R39" s="2381"/>
    </row>
    <row r="40" spans="2:18" s="2355" customFormat="1">
      <c r="B40" s="2379"/>
      <c r="C40" s="2379"/>
      <c r="D40" s="2379"/>
      <c r="E40" s="2379"/>
      <c r="F40" s="2379"/>
      <c r="G40" s="2380"/>
      <c r="H40" s="2379"/>
      <c r="I40" s="2380"/>
      <c r="J40" s="2379"/>
      <c r="K40" s="2379"/>
      <c r="L40" s="2380"/>
      <c r="M40" s="2379"/>
      <c r="N40" s="2379"/>
      <c r="O40" s="2380"/>
      <c r="P40" s="2379"/>
      <c r="Q40" s="2379"/>
      <c r="R40" s="2381"/>
    </row>
    <row r="41" spans="2:18" s="2355" customFormat="1">
      <c r="B41" s="2379"/>
      <c r="C41" s="2379"/>
      <c r="D41" s="2379"/>
      <c r="E41" s="2379"/>
      <c r="F41" s="2379"/>
      <c r="G41" s="2380"/>
      <c r="H41" s="2379"/>
      <c r="I41" s="2380"/>
      <c r="J41" s="2379"/>
      <c r="K41" s="2379"/>
      <c r="L41" s="2380"/>
      <c r="M41" s="2379"/>
      <c r="N41" s="2379"/>
      <c r="O41" s="2380"/>
      <c r="P41" s="2379"/>
      <c r="Q41" s="2379"/>
      <c r="R41" s="2381"/>
    </row>
    <row r="42" spans="2:18" s="2355" customFormat="1">
      <c r="B42" s="2379"/>
      <c r="C42" s="2379"/>
      <c r="D42" s="2379"/>
      <c r="E42" s="2379"/>
      <c r="F42" s="2379"/>
      <c r="G42" s="2380"/>
      <c r="H42" s="2379"/>
      <c r="I42" s="2380"/>
      <c r="J42" s="2379"/>
      <c r="K42" s="2379"/>
      <c r="L42" s="2380"/>
      <c r="M42" s="2379"/>
      <c r="N42" s="2379"/>
      <c r="O42" s="2380"/>
      <c r="P42" s="2379"/>
      <c r="Q42" s="2379"/>
      <c r="R42" s="2381"/>
    </row>
    <row r="43" spans="2:18" s="2355" customFormat="1">
      <c r="B43" s="2379"/>
      <c r="C43" s="2379"/>
      <c r="D43" s="2379"/>
      <c r="E43" s="2379"/>
      <c r="F43" s="2379"/>
      <c r="G43" s="2380"/>
      <c r="H43" s="2379"/>
      <c r="I43" s="2380"/>
      <c r="J43" s="2379"/>
      <c r="K43" s="2379"/>
      <c r="L43" s="2380"/>
      <c r="M43" s="2379"/>
      <c r="N43" s="2379"/>
      <c r="O43" s="2380"/>
      <c r="P43" s="2379"/>
      <c r="Q43" s="2379"/>
      <c r="R43" s="2381"/>
    </row>
    <row r="44" spans="2:18" s="2355" customFormat="1">
      <c r="B44" s="2379"/>
      <c r="C44" s="2379"/>
      <c r="D44" s="2379"/>
      <c r="E44" s="2379"/>
      <c r="F44" s="2379"/>
      <c r="G44" s="2380"/>
      <c r="H44" s="2379"/>
      <c r="I44" s="2380"/>
      <c r="J44" s="2379"/>
      <c r="K44" s="2379"/>
      <c r="L44" s="2380"/>
      <c r="M44" s="2379"/>
      <c r="N44" s="2379"/>
      <c r="O44" s="2380"/>
      <c r="P44" s="2379"/>
      <c r="Q44" s="2379"/>
      <c r="R44" s="2381"/>
    </row>
    <row r="45" spans="2:18" s="2355" customFormat="1">
      <c r="B45" s="2379"/>
      <c r="C45" s="2379"/>
      <c r="D45" s="2379"/>
      <c r="E45" s="2379"/>
      <c r="F45" s="2379"/>
      <c r="G45" s="2380"/>
      <c r="H45" s="2379"/>
      <c r="I45" s="2380"/>
      <c r="J45" s="2379"/>
      <c r="K45" s="2379"/>
      <c r="L45" s="2380"/>
      <c r="M45" s="2379"/>
      <c r="N45" s="2379"/>
      <c r="O45" s="2380"/>
      <c r="P45" s="2379"/>
      <c r="Q45" s="2379"/>
      <c r="R45" s="2381"/>
    </row>
    <row r="46" spans="2:18" s="2355" customFormat="1">
      <c r="B46" s="2379"/>
      <c r="C46" s="2379"/>
      <c r="D46" s="2379"/>
      <c r="E46" s="2379"/>
      <c r="F46" s="2379"/>
      <c r="G46" s="2380"/>
      <c r="H46" s="2379"/>
      <c r="I46" s="2380"/>
      <c r="J46" s="2379"/>
      <c r="K46" s="2379"/>
      <c r="L46" s="2380"/>
      <c r="M46" s="2379"/>
      <c r="N46" s="2379"/>
      <c r="O46" s="2380"/>
      <c r="P46" s="2379"/>
      <c r="Q46" s="2379"/>
      <c r="R46" s="2381"/>
    </row>
    <row r="47" spans="2:18" s="2355" customFormat="1">
      <c r="B47" s="2379"/>
      <c r="C47" s="2379"/>
      <c r="D47" s="2379"/>
      <c r="E47" s="2379"/>
      <c r="F47" s="2379"/>
      <c r="G47" s="2380"/>
      <c r="H47" s="2379"/>
      <c r="I47" s="2380"/>
      <c r="J47" s="2379"/>
      <c r="K47" s="2379"/>
      <c r="L47" s="2380"/>
      <c r="M47" s="2379"/>
      <c r="N47" s="2379"/>
      <c r="O47" s="2380"/>
      <c r="P47" s="2379"/>
      <c r="Q47" s="2379"/>
      <c r="R47" s="2381"/>
    </row>
    <row r="48" spans="2:18" s="2355" customFormat="1">
      <c r="B48" s="2379"/>
      <c r="C48" s="2379"/>
      <c r="D48" s="2379"/>
      <c r="E48" s="2379"/>
      <c r="F48" s="2379"/>
      <c r="G48" s="2380"/>
      <c r="H48" s="2379"/>
      <c r="I48" s="2380"/>
      <c r="J48" s="2379"/>
      <c r="K48" s="2379"/>
      <c r="L48" s="2380"/>
      <c r="M48" s="2379"/>
      <c r="N48" s="2379"/>
      <c r="O48" s="2380"/>
      <c r="P48" s="2379"/>
      <c r="Q48" s="2379"/>
      <c r="R48" s="2381"/>
    </row>
    <row r="49" spans="2:18" s="2355" customFormat="1">
      <c r="B49" s="2379"/>
      <c r="C49" s="2379"/>
      <c r="D49" s="2379"/>
      <c r="E49" s="2379"/>
      <c r="F49" s="2379"/>
      <c r="G49" s="2380"/>
      <c r="H49" s="2379"/>
      <c r="I49" s="2380"/>
      <c r="J49" s="2379"/>
      <c r="K49" s="2379"/>
      <c r="L49" s="2380"/>
      <c r="M49" s="2379"/>
      <c r="N49" s="2379"/>
      <c r="O49" s="2380"/>
      <c r="P49" s="2379"/>
      <c r="Q49" s="2379"/>
      <c r="R49" s="2381"/>
    </row>
    <row r="50" spans="2:18" s="2355" customFormat="1">
      <c r="B50" s="2379"/>
      <c r="C50" s="2379"/>
      <c r="D50" s="2379"/>
      <c r="E50" s="2379"/>
      <c r="F50" s="2379"/>
      <c r="G50" s="2380"/>
      <c r="H50" s="2379"/>
      <c r="I50" s="2380"/>
      <c r="J50" s="2379"/>
      <c r="K50" s="2379"/>
      <c r="L50" s="2380"/>
      <c r="M50" s="2379"/>
      <c r="N50" s="2379"/>
      <c r="O50" s="2380"/>
      <c r="P50" s="2379"/>
      <c r="Q50" s="2379"/>
      <c r="R50" s="2381"/>
    </row>
    <row r="51" spans="2:18" s="2355" customFormat="1">
      <c r="B51" s="2379"/>
      <c r="C51" s="2379"/>
      <c r="D51" s="2379"/>
      <c r="E51" s="2379"/>
      <c r="F51" s="2379"/>
      <c r="G51" s="2380"/>
      <c r="H51" s="2379"/>
      <c r="I51" s="2380"/>
      <c r="J51" s="2379"/>
      <c r="K51" s="2379"/>
      <c r="L51" s="2380"/>
      <c r="M51" s="2379"/>
      <c r="N51" s="2379"/>
      <c r="O51" s="2380"/>
      <c r="P51" s="2379"/>
      <c r="Q51" s="2379"/>
      <c r="R51" s="2381"/>
    </row>
    <row r="52" spans="2:18" s="2355" customFormat="1">
      <c r="B52" s="2379"/>
      <c r="C52" s="2379"/>
      <c r="D52" s="2379"/>
      <c r="E52" s="2379"/>
      <c r="F52" s="2379"/>
      <c r="G52" s="2380"/>
      <c r="H52" s="2379"/>
      <c r="I52" s="2380"/>
      <c r="J52" s="2379"/>
      <c r="K52" s="2379"/>
      <c r="L52" s="2380"/>
      <c r="M52" s="2379"/>
      <c r="N52" s="2379"/>
      <c r="O52" s="2380"/>
      <c r="P52" s="2379"/>
      <c r="Q52" s="2379"/>
      <c r="R52" s="2381"/>
    </row>
    <row r="53" spans="2:18" s="2355" customFormat="1">
      <c r="B53" s="2379"/>
      <c r="C53" s="2379"/>
      <c r="D53" s="2379"/>
      <c r="E53" s="2379"/>
      <c r="F53" s="2379"/>
      <c r="G53" s="2380"/>
      <c r="H53" s="2379"/>
      <c r="I53" s="2380"/>
      <c r="J53" s="2379"/>
      <c r="K53" s="2379"/>
      <c r="L53" s="2380"/>
      <c r="M53" s="2379"/>
      <c r="N53" s="2379"/>
      <c r="O53" s="2380"/>
      <c r="P53" s="2379"/>
      <c r="Q53" s="2379"/>
      <c r="R53" s="2381"/>
    </row>
    <row r="54" spans="2:18" s="2355" customFormat="1">
      <c r="B54" s="2379"/>
      <c r="C54" s="2379"/>
      <c r="D54" s="2379"/>
      <c r="E54" s="2379"/>
      <c r="F54" s="2379"/>
      <c r="G54" s="2380"/>
      <c r="H54" s="2379"/>
      <c r="I54" s="2380"/>
      <c r="J54" s="2379"/>
      <c r="K54" s="2379"/>
      <c r="L54" s="2380"/>
      <c r="M54" s="2379"/>
      <c r="N54" s="2379"/>
      <c r="O54" s="2380"/>
      <c r="P54" s="2379"/>
      <c r="Q54" s="2379"/>
      <c r="R54" s="2381"/>
    </row>
    <row r="55" spans="2:18" s="2355" customFormat="1">
      <c r="B55" s="2379"/>
      <c r="C55" s="2379"/>
      <c r="D55" s="2379"/>
      <c r="E55" s="2379"/>
      <c r="F55" s="2379"/>
      <c r="G55" s="2380"/>
      <c r="H55" s="2379"/>
      <c r="I55" s="2380"/>
      <c r="J55" s="2379"/>
      <c r="K55" s="2379"/>
      <c r="L55" s="2380"/>
      <c r="M55" s="2379"/>
      <c r="N55" s="2379"/>
      <c r="O55" s="2380"/>
      <c r="P55" s="2379"/>
      <c r="Q55" s="2379"/>
      <c r="R55" s="2381"/>
    </row>
    <row r="56" spans="2:18" s="2355" customFormat="1">
      <c r="B56" s="2379"/>
      <c r="C56" s="2379"/>
      <c r="D56" s="2379"/>
      <c r="E56" s="2379"/>
      <c r="F56" s="2379"/>
      <c r="G56" s="2380"/>
      <c r="H56" s="2379"/>
      <c r="I56" s="2380"/>
      <c r="J56" s="2379"/>
      <c r="K56" s="2379"/>
      <c r="L56" s="2380"/>
      <c r="M56" s="2379"/>
      <c r="N56" s="2379"/>
      <c r="O56" s="2380"/>
      <c r="P56" s="2379"/>
      <c r="Q56" s="2379"/>
      <c r="R56" s="2381"/>
    </row>
    <row r="57" spans="2:18" s="2355" customFormat="1">
      <c r="B57" s="2379"/>
      <c r="C57" s="2379"/>
      <c r="D57" s="2379"/>
      <c r="E57" s="2379"/>
      <c r="F57" s="2379"/>
      <c r="G57" s="2380"/>
      <c r="H57" s="2379"/>
      <c r="I57" s="2380"/>
      <c r="J57" s="2379"/>
      <c r="K57" s="2379"/>
      <c r="L57" s="2380"/>
      <c r="M57" s="2379"/>
      <c r="N57" s="2379"/>
      <c r="O57" s="2380"/>
      <c r="P57" s="2379"/>
      <c r="Q57" s="2379"/>
      <c r="R57" s="2381"/>
    </row>
    <row r="58" spans="2:18" s="2355" customFormat="1">
      <c r="B58" s="2379"/>
      <c r="C58" s="2379"/>
      <c r="D58" s="2379"/>
      <c r="E58" s="2379"/>
      <c r="F58" s="2379"/>
      <c r="G58" s="2380"/>
      <c r="H58" s="2379"/>
      <c r="I58" s="2380"/>
      <c r="J58" s="2379"/>
      <c r="K58" s="2379"/>
      <c r="L58" s="2380"/>
      <c r="M58" s="2379"/>
      <c r="N58" s="2379"/>
      <c r="O58" s="2380"/>
      <c r="P58" s="2379"/>
      <c r="Q58" s="2379"/>
      <c r="R58" s="2381"/>
    </row>
    <row r="59" spans="2:18" s="2355" customFormat="1">
      <c r="B59" s="2379"/>
      <c r="C59" s="2379"/>
      <c r="D59" s="2379"/>
      <c r="E59" s="2379"/>
      <c r="F59" s="2379"/>
      <c r="G59" s="2380"/>
      <c r="H59" s="2379"/>
      <c r="I59" s="2380"/>
      <c r="J59" s="2379"/>
      <c r="K59" s="2379"/>
      <c r="L59" s="2380"/>
      <c r="M59" s="2379"/>
      <c r="N59" s="2379"/>
      <c r="O59" s="2380"/>
      <c r="P59" s="2379"/>
      <c r="Q59" s="2379"/>
      <c r="R59" s="2381"/>
    </row>
    <row r="60" spans="2:18" s="2355" customFormat="1">
      <c r="B60" s="2379"/>
      <c r="C60" s="2379"/>
      <c r="D60" s="2379"/>
      <c r="E60" s="2379"/>
      <c r="F60" s="2379"/>
      <c r="G60" s="2380"/>
      <c r="H60" s="2379"/>
      <c r="I60" s="2380"/>
      <c r="J60" s="2379"/>
      <c r="K60" s="2379"/>
      <c r="L60" s="2380"/>
      <c r="M60" s="2379"/>
      <c r="N60" s="2379"/>
      <c r="O60" s="2380"/>
      <c r="P60" s="2379"/>
      <c r="Q60" s="2379"/>
      <c r="R60" s="2381"/>
    </row>
    <row r="61" spans="2:18" s="2355" customFormat="1">
      <c r="B61" s="2379"/>
      <c r="C61" s="2379"/>
      <c r="D61" s="2379"/>
      <c r="E61" s="2379"/>
      <c r="F61" s="2379"/>
      <c r="G61" s="2380"/>
      <c r="H61" s="2379"/>
      <c r="I61" s="2380"/>
      <c r="J61" s="2379"/>
      <c r="K61" s="2379"/>
      <c r="L61" s="2380"/>
      <c r="M61" s="2379"/>
      <c r="N61" s="2379"/>
      <c r="O61" s="2380"/>
      <c r="P61" s="2379"/>
      <c r="Q61" s="2379"/>
      <c r="R61" s="2381"/>
    </row>
    <row r="62" spans="2:18" s="2355" customFormat="1">
      <c r="B62" s="2379"/>
      <c r="C62" s="2379"/>
      <c r="D62" s="2379"/>
      <c r="E62" s="2379"/>
      <c r="F62" s="2379"/>
      <c r="G62" s="2380"/>
      <c r="H62" s="2379"/>
      <c r="I62" s="2380"/>
      <c r="J62" s="2379"/>
      <c r="K62" s="2379"/>
      <c r="L62" s="2380"/>
      <c r="M62" s="2379"/>
      <c r="N62" s="2379"/>
      <c r="O62" s="2380"/>
      <c r="P62" s="2379"/>
      <c r="Q62" s="2379"/>
      <c r="R62" s="2381"/>
    </row>
    <row r="63" spans="2:18" s="2355" customFormat="1">
      <c r="B63" s="2379"/>
      <c r="C63" s="2379"/>
      <c r="D63" s="2379"/>
      <c r="E63" s="2379"/>
      <c r="F63" s="2379"/>
      <c r="G63" s="2380"/>
      <c r="H63" s="2379"/>
      <c r="I63" s="2380"/>
      <c r="J63" s="2379"/>
      <c r="K63" s="2379"/>
      <c r="L63" s="2380"/>
      <c r="M63" s="2379"/>
      <c r="N63" s="2379"/>
      <c r="O63" s="2380"/>
      <c r="P63" s="2379"/>
      <c r="Q63" s="2379"/>
      <c r="R63" s="2381"/>
    </row>
    <row r="64" spans="2:18" s="2355" customFormat="1">
      <c r="B64" s="2379"/>
      <c r="C64" s="2379"/>
      <c r="D64" s="2379"/>
      <c r="E64" s="2379"/>
      <c r="F64" s="2379"/>
      <c r="G64" s="2380"/>
      <c r="H64" s="2379"/>
      <c r="I64" s="2380"/>
      <c r="J64" s="2379"/>
      <c r="K64" s="2379"/>
      <c r="L64" s="2380"/>
      <c r="M64" s="2379"/>
      <c r="N64" s="2379"/>
      <c r="O64" s="2380"/>
      <c r="P64" s="2379"/>
      <c r="Q64" s="2379"/>
      <c r="R64" s="2381"/>
    </row>
    <row r="65" spans="2:18" s="2355" customFormat="1">
      <c r="B65" s="2379"/>
      <c r="C65" s="2379"/>
      <c r="D65" s="2379"/>
      <c r="E65" s="2379"/>
      <c r="F65" s="2379"/>
      <c r="G65" s="2380"/>
      <c r="H65" s="2379"/>
      <c r="I65" s="2380"/>
      <c r="J65" s="2379"/>
      <c r="K65" s="2379"/>
      <c r="L65" s="2380"/>
      <c r="M65" s="2379"/>
      <c r="N65" s="2379"/>
      <c r="O65" s="2380"/>
      <c r="P65" s="2379"/>
      <c r="Q65" s="2379"/>
      <c r="R65" s="2381"/>
    </row>
    <row r="66" spans="2:18" s="2355" customFormat="1">
      <c r="B66" s="2379"/>
      <c r="C66" s="2379"/>
      <c r="D66" s="2379"/>
      <c r="E66" s="2379"/>
      <c r="F66" s="2379"/>
      <c r="G66" s="2380"/>
      <c r="H66" s="2379"/>
      <c r="I66" s="2380"/>
      <c r="J66" s="2379"/>
      <c r="K66" s="2379"/>
      <c r="L66" s="2380"/>
      <c r="M66" s="2379"/>
      <c r="N66" s="2379"/>
      <c r="O66" s="2380"/>
      <c r="P66" s="2379"/>
      <c r="Q66" s="2379"/>
      <c r="R66" s="2381"/>
    </row>
    <row r="67" spans="2:18" s="2355" customFormat="1">
      <c r="B67" s="2379"/>
      <c r="C67" s="2379"/>
      <c r="D67" s="2379"/>
      <c r="E67" s="2379"/>
      <c r="F67" s="2379"/>
      <c r="G67" s="2380"/>
      <c r="H67" s="2379"/>
      <c r="I67" s="2380"/>
      <c r="J67" s="2379"/>
      <c r="K67" s="2379"/>
      <c r="L67" s="2380"/>
      <c r="M67" s="2379"/>
      <c r="N67" s="2379"/>
      <c r="O67" s="2380"/>
      <c r="P67" s="2379"/>
      <c r="Q67" s="2379"/>
      <c r="R67" s="2381"/>
    </row>
    <row r="68" spans="2:18" s="2355" customFormat="1">
      <c r="B68" s="2379"/>
      <c r="C68" s="2379"/>
      <c r="D68" s="2379"/>
      <c r="E68" s="2379"/>
      <c r="F68" s="2379"/>
      <c r="G68" s="2380"/>
      <c r="H68" s="2379"/>
      <c r="I68" s="2380"/>
      <c r="J68" s="2379"/>
      <c r="K68" s="2379"/>
      <c r="L68" s="2380"/>
      <c r="M68" s="2379"/>
      <c r="N68" s="2379"/>
      <c r="O68" s="2380"/>
      <c r="P68" s="2379"/>
      <c r="Q68" s="2379"/>
      <c r="R68" s="2381"/>
    </row>
    <row r="69" spans="2:18" s="2355" customFormat="1">
      <c r="B69" s="2379"/>
      <c r="C69" s="2379"/>
      <c r="D69" s="2379"/>
      <c r="E69" s="2379"/>
      <c r="F69" s="2379"/>
      <c r="G69" s="2380"/>
      <c r="H69" s="2379"/>
      <c r="I69" s="2380"/>
      <c r="J69" s="2379"/>
      <c r="K69" s="2379"/>
      <c r="L69" s="2380"/>
      <c r="M69" s="2379"/>
      <c r="N69" s="2379"/>
      <c r="O69" s="2380"/>
      <c r="P69" s="2379"/>
      <c r="Q69" s="2379"/>
      <c r="R69" s="2381"/>
    </row>
    <row r="70" spans="2:18" s="2355" customFormat="1">
      <c r="B70" s="2379"/>
      <c r="C70" s="2379"/>
      <c r="D70" s="2379"/>
      <c r="E70" s="2379"/>
      <c r="F70" s="2379"/>
      <c r="G70" s="2380"/>
      <c r="H70" s="2379"/>
      <c r="I70" s="2380"/>
      <c r="J70" s="2379"/>
      <c r="K70" s="2379"/>
      <c r="L70" s="2380"/>
      <c r="M70" s="2379"/>
      <c r="N70" s="2379"/>
      <c r="O70" s="2380"/>
      <c r="P70" s="2379"/>
      <c r="Q70" s="2379"/>
      <c r="R70" s="2381"/>
    </row>
    <row r="71" spans="2:18" s="2355" customFormat="1">
      <c r="B71" s="2379"/>
      <c r="C71" s="2379"/>
      <c r="D71" s="2379"/>
      <c r="E71" s="2379"/>
      <c r="F71" s="2379"/>
      <c r="G71" s="2380"/>
      <c r="H71" s="2379"/>
      <c r="I71" s="2380"/>
      <c r="J71" s="2379"/>
      <c r="K71" s="2379"/>
      <c r="L71" s="2380"/>
      <c r="M71" s="2379"/>
      <c r="N71" s="2379"/>
      <c r="O71" s="2380"/>
      <c r="P71" s="2379"/>
      <c r="Q71" s="2379"/>
      <c r="R71" s="2381"/>
    </row>
    <row r="72" spans="2:18" s="2355" customFormat="1">
      <c r="B72" s="2379"/>
      <c r="C72" s="2379"/>
      <c r="D72" s="2379"/>
      <c r="E72" s="2379"/>
      <c r="F72" s="2379"/>
      <c r="G72" s="2380"/>
      <c r="H72" s="2379"/>
      <c r="I72" s="2380"/>
      <c r="J72" s="2379"/>
      <c r="K72" s="2379"/>
      <c r="L72" s="2380"/>
      <c r="M72" s="2379"/>
      <c r="N72" s="2379"/>
      <c r="O72" s="2380"/>
      <c r="P72" s="2379"/>
      <c r="Q72" s="2379"/>
      <c r="R72" s="2381"/>
    </row>
    <row r="73" spans="2:18" s="2355" customFormat="1">
      <c r="B73" s="2379"/>
      <c r="C73" s="2379"/>
      <c r="D73" s="2379"/>
      <c r="E73" s="2379"/>
      <c r="F73" s="2379"/>
      <c r="G73" s="2380"/>
      <c r="H73" s="2379"/>
      <c r="I73" s="2380"/>
      <c r="J73" s="2379"/>
      <c r="K73" s="2379"/>
      <c r="L73" s="2380"/>
      <c r="M73" s="2379"/>
      <c r="N73" s="2379"/>
      <c r="O73" s="2380"/>
      <c r="P73" s="2379"/>
      <c r="Q73" s="2379"/>
      <c r="R73" s="2381"/>
    </row>
    <row r="74" spans="2:18" s="2355" customFormat="1">
      <c r="B74" s="2379"/>
      <c r="C74" s="2379"/>
      <c r="D74" s="2379"/>
      <c r="E74" s="2379"/>
      <c r="F74" s="2379"/>
      <c r="G74" s="2380"/>
      <c r="H74" s="2379"/>
      <c r="I74" s="2380"/>
      <c r="J74" s="2379"/>
      <c r="K74" s="2379"/>
      <c r="L74" s="2380"/>
      <c r="M74" s="2379"/>
      <c r="N74" s="2379"/>
      <c r="O74" s="2380"/>
      <c r="P74" s="2379"/>
      <c r="Q74" s="2379"/>
      <c r="R74" s="2381"/>
    </row>
    <row r="75" spans="2:18" s="2355" customFormat="1">
      <c r="B75" s="2379"/>
      <c r="C75" s="2379"/>
      <c r="D75" s="2379"/>
      <c r="E75" s="2379"/>
      <c r="F75" s="2379"/>
      <c r="G75" s="2380"/>
      <c r="H75" s="2379"/>
      <c r="I75" s="2380"/>
      <c r="J75" s="2379"/>
      <c r="K75" s="2379"/>
      <c r="L75" s="2380"/>
      <c r="M75" s="2379"/>
      <c r="N75" s="2379"/>
      <c r="O75" s="2380"/>
      <c r="P75" s="2379"/>
      <c r="Q75" s="2379"/>
      <c r="R75" s="2381"/>
    </row>
    <row r="76" spans="2:18" s="2355" customFormat="1">
      <c r="B76" s="2379"/>
      <c r="C76" s="2379"/>
      <c r="D76" s="2379"/>
      <c r="E76" s="2379"/>
      <c r="F76" s="2379"/>
      <c r="G76" s="2380"/>
      <c r="H76" s="2379"/>
      <c r="I76" s="2380"/>
      <c r="J76" s="2379"/>
      <c r="K76" s="2379"/>
      <c r="L76" s="2380"/>
      <c r="M76" s="2379"/>
      <c r="N76" s="2379"/>
      <c r="O76" s="2380"/>
      <c r="P76" s="2379"/>
      <c r="Q76" s="2379"/>
      <c r="R76" s="2381"/>
    </row>
    <row r="77" spans="2:18" s="2355" customFormat="1">
      <c r="B77" s="2379"/>
      <c r="C77" s="2379"/>
      <c r="D77" s="2379"/>
      <c r="E77" s="2379"/>
      <c r="F77" s="2379"/>
      <c r="G77" s="2380"/>
      <c r="H77" s="2379"/>
      <c r="I77" s="2380"/>
      <c r="J77" s="2379"/>
      <c r="K77" s="2379"/>
      <c r="L77" s="2380"/>
      <c r="M77" s="2379"/>
      <c r="N77" s="2379"/>
      <c r="O77" s="2380"/>
      <c r="P77" s="2379"/>
      <c r="Q77" s="2379"/>
      <c r="R77" s="2381"/>
    </row>
    <row r="78" spans="2:18" s="2355" customFormat="1">
      <c r="B78" s="2379"/>
      <c r="C78" s="2379"/>
      <c r="D78" s="2379"/>
      <c r="E78" s="2379"/>
      <c r="F78" s="2379"/>
      <c r="G78" s="2380"/>
      <c r="H78" s="2379"/>
      <c r="I78" s="2380"/>
      <c r="J78" s="2379"/>
      <c r="K78" s="2379"/>
      <c r="L78" s="2380"/>
      <c r="M78" s="2379"/>
      <c r="N78" s="2379"/>
      <c r="O78" s="2380"/>
      <c r="P78" s="2379"/>
      <c r="Q78" s="2379"/>
      <c r="R78" s="2381"/>
    </row>
    <row r="79" spans="2:18" s="2355" customFormat="1">
      <c r="B79" s="2379"/>
      <c r="C79" s="2379"/>
      <c r="D79" s="2379"/>
      <c r="E79" s="2379"/>
      <c r="F79" s="2379"/>
      <c r="G79" s="2380"/>
      <c r="H79" s="2379"/>
      <c r="I79" s="2380"/>
      <c r="J79" s="2379"/>
      <c r="K79" s="2379"/>
      <c r="L79" s="2380"/>
      <c r="M79" s="2379"/>
      <c r="N79" s="2379"/>
      <c r="O79" s="2380"/>
      <c r="P79" s="2379"/>
      <c r="Q79" s="2379"/>
      <c r="R79" s="2381"/>
    </row>
    <row r="80" spans="2:18" s="2355" customFormat="1">
      <c r="B80" s="2379"/>
      <c r="C80" s="2379"/>
      <c r="D80" s="2379"/>
      <c r="E80" s="2379"/>
      <c r="F80" s="2379"/>
      <c r="G80" s="2380"/>
      <c r="H80" s="2379"/>
      <c r="I80" s="2380"/>
      <c r="J80" s="2379"/>
      <c r="K80" s="2379"/>
      <c r="L80" s="2380"/>
      <c r="M80" s="2379"/>
      <c r="N80" s="2379"/>
      <c r="O80" s="2380"/>
      <c r="P80" s="2379"/>
      <c r="Q80" s="2379"/>
      <c r="R80" s="2381"/>
    </row>
    <row r="81" spans="2:18" s="2355" customFormat="1">
      <c r="B81" s="2379"/>
      <c r="C81" s="2379"/>
      <c r="D81" s="2379"/>
      <c r="E81" s="2379"/>
      <c r="F81" s="2379"/>
      <c r="G81" s="2380"/>
      <c r="H81" s="2379"/>
      <c r="I81" s="2380"/>
      <c r="J81" s="2379"/>
      <c r="K81" s="2379"/>
      <c r="L81" s="2380"/>
      <c r="M81" s="2379"/>
      <c r="N81" s="2379"/>
      <c r="O81" s="2380"/>
      <c r="P81" s="2379"/>
      <c r="Q81" s="2379"/>
      <c r="R81" s="2381"/>
    </row>
    <row r="82" spans="2:18" s="2355" customFormat="1">
      <c r="B82" s="2379"/>
      <c r="C82" s="2379"/>
      <c r="D82" s="2379"/>
      <c r="E82" s="2379"/>
      <c r="F82" s="2379"/>
      <c r="G82" s="2380"/>
      <c r="H82" s="2379"/>
      <c r="I82" s="2380"/>
      <c r="J82" s="2379"/>
      <c r="K82" s="2379"/>
      <c r="L82" s="2380"/>
      <c r="M82" s="2379"/>
      <c r="N82" s="2379"/>
      <c r="O82" s="2380"/>
      <c r="P82" s="2379"/>
      <c r="Q82" s="2379"/>
      <c r="R82" s="2381"/>
    </row>
    <row r="83" spans="2:18" s="2355" customFormat="1">
      <c r="B83" s="2379"/>
      <c r="C83" s="2379"/>
      <c r="D83" s="2379"/>
      <c r="E83" s="2379"/>
      <c r="F83" s="2379"/>
      <c r="G83" s="2380"/>
      <c r="H83" s="2379"/>
      <c r="I83" s="2380"/>
      <c r="J83" s="2379"/>
      <c r="K83" s="2379"/>
      <c r="L83" s="2380"/>
      <c r="M83" s="2379"/>
      <c r="N83" s="2379"/>
      <c r="O83" s="2380"/>
      <c r="P83" s="2379"/>
      <c r="Q83" s="2379"/>
      <c r="R83" s="2381"/>
    </row>
    <row r="84" spans="2:18" s="2355" customFormat="1">
      <c r="B84" s="2379"/>
      <c r="C84" s="2379"/>
      <c r="D84" s="2379"/>
      <c r="E84" s="2379"/>
      <c r="F84" s="2379"/>
      <c r="G84" s="2380"/>
      <c r="H84" s="2379"/>
      <c r="I84" s="2380"/>
      <c r="J84" s="2379"/>
      <c r="K84" s="2379"/>
      <c r="L84" s="2380"/>
      <c r="M84" s="2379"/>
      <c r="N84" s="2379"/>
      <c r="O84" s="2380"/>
      <c r="P84" s="2379"/>
      <c r="Q84" s="2379"/>
      <c r="R84" s="2381"/>
    </row>
    <row r="85" spans="2:18" s="2355" customFormat="1">
      <c r="B85" s="2379"/>
      <c r="C85" s="2379"/>
      <c r="D85" s="2379"/>
      <c r="E85" s="2379"/>
      <c r="F85" s="2379"/>
      <c r="G85" s="2380"/>
      <c r="H85" s="2379"/>
      <c r="I85" s="2380"/>
      <c r="J85" s="2379"/>
      <c r="K85" s="2379"/>
      <c r="L85" s="2380"/>
      <c r="M85" s="2379"/>
      <c r="N85" s="2379"/>
      <c r="O85" s="2380"/>
      <c r="P85" s="2379"/>
      <c r="Q85" s="2379"/>
      <c r="R85" s="2381"/>
    </row>
    <row r="86" spans="2:18" s="2355" customFormat="1">
      <c r="B86" s="2379"/>
      <c r="C86" s="2379"/>
      <c r="D86" s="2379"/>
      <c r="E86" s="2379"/>
      <c r="F86" s="2379"/>
      <c r="G86" s="2380"/>
      <c r="H86" s="2379"/>
      <c r="I86" s="2380"/>
      <c r="J86" s="2379"/>
      <c r="K86" s="2379"/>
      <c r="L86" s="2380"/>
      <c r="M86" s="2379"/>
      <c r="N86" s="2379"/>
      <c r="O86" s="2380"/>
      <c r="P86" s="2379"/>
      <c r="Q86" s="2379"/>
      <c r="R86" s="2381"/>
    </row>
    <row r="87" spans="2:18" s="2355" customFormat="1">
      <c r="B87" s="2379"/>
      <c r="C87" s="2379"/>
      <c r="D87" s="2379"/>
      <c r="E87" s="2379"/>
      <c r="F87" s="2379"/>
      <c r="G87" s="2380"/>
      <c r="H87" s="2379"/>
      <c r="I87" s="2380"/>
      <c r="J87" s="2379"/>
      <c r="K87" s="2379"/>
      <c r="L87" s="2380"/>
      <c r="M87" s="2379"/>
      <c r="N87" s="2379"/>
      <c r="O87" s="2380"/>
      <c r="P87" s="2379"/>
      <c r="Q87" s="2379"/>
      <c r="R87" s="2381"/>
    </row>
    <row r="88" spans="2:18" s="2355" customFormat="1">
      <c r="B88" s="2379"/>
      <c r="C88" s="2379"/>
      <c r="D88" s="2379"/>
      <c r="E88" s="2379"/>
      <c r="F88" s="2379"/>
      <c r="G88" s="2380"/>
      <c r="H88" s="2379"/>
      <c r="I88" s="2380"/>
      <c r="J88" s="2379"/>
      <c r="K88" s="2379"/>
      <c r="L88" s="2380"/>
      <c r="M88" s="2379"/>
      <c r="N88" s="2379"/>
      <c r="O88" s="2380"/>
      <c r="P88" s="2379"/>
      <c r="Q88" s="2379"/>
      <c r="R88" s="2381"/>
    </row>
    <row r="89" spans="2:18" s="2355" customFormat="1">
      <c r="B89" s="2379"/>
      <c r="C89" s="2379"/>
      <c r="D89" s="2379"/>
      <c r="E89" s="2379"/>
      <c r="F89" s="2379"/>
      <c r="G89" s="2380"/>
      <c r="H89" s="2379"/>
      <c r="I89" s="2380"/>
      <c r="J89" s="2379"/>
      <c r="K89" s="2379"/>
      <c r="L89" s="2380"/>
      <c r="M89" s="2379"/>
      <c r="N89" s="2379"/>
      <c r="O89" s="2380"/>
      <c r="P89" s="2379"/>
      <c r="Q89" s="2379"/>
      <c r="R89" s="2381"/>
    </row>
    <row r="90" spans="2:18" s="2355" customFormat="1">
      <c r="B90" s="2379"/>
      <c r="C90" s="2379"/>
      <c r="D90" s="2379"/>
      <c r="E90" s="2379"/>
      <c r="F90" s="2379"/>
      <c r="G90" s="2380"/>
      <c r="H90" s="2379"/>
      <c r="I90" s="2380"/>
      <c r="J90" s="2379"/>
      <c r="K90" s="2379"/>
      <c r="L90" s="2380"/>
      <c r="M90" s="2379"/>
      <c r="N90" s="2379"/>
      <c r="O90" s="2380"/>
      <c r="P90" s="2379"/>
      <c r="Q90" s="2379"/>
      <c r="R90" s="2381"/>
    </row>
    <row r="91" spans="2:18" s="2355" customFormat="1">
      <c r="B91" s="2379"/>
      <c r="C91" s="2379"/>
      <c r="D91" s="2379"/>
      <c r="E91" s="2379"/>
      <c r="F91" s="2379"/>
      <c r="G91" s="2380"/>
      <c r="H91" s="2379"/>
      <c r="I91" s="2380"/>
      <c r="J91" s="2379"/>
      <c r="K91" s="2379"/>
      <c r="L91" s="2380"/>
      <c r="M91" s="2379"/>
      <c r="N91" s="2379"/>
      <c r="O91" s="2380"/>
      <c r="P91" s="2379"/>
      <c r="Q91" s="2379"/>
      <c r="R91" s="2381"/>
    </row>
    <row r="92" spans="2:18" s="2355" customFormat="1">
      <c r="B92" s="2379"/>
      <c r="C92" s="2379"/>
      <c r="D92" s="2379"/>
      <c r="E92" s="2379"/>
      <c r="F92" s="2379"/>
      <c r="G92" s="2380"/>
      <c r="H92" s="2379"/>
      <c r="I92" s="2380"/>
      <c r="J92" s="2379"/>
      <c r="K92" s="2379"/>
      <c r="L92" s="2380"/>
      <c r="M92" s="2379"/>
      <c r="N92" s="2379"/>
      <c r="O92" s="2380"/>
      <c r="P92" s="2379"/>
      <c r="Q92" s="2379"/>
      <c r="R92" s="2381"/>
    </row>
    <row r="93" spans="2:18" s="2355" customFormat="1">
      <c r="B93" s="2379"/>
      <c r="C93" s="2379"/>
      <c r="D93" s="2379"/>
      <c r="E93" s="2379"/>
      <c r="F93" s="2379"/>
      <c r="G93" s="2380"/>
      <c r="H93" s="2379"/>
      <c r="I93" s="2380"/>
      <c r="J93" s="2379"/>
      <c r="K93" s="2379"/>
      <c r="L93" s="2380"/>
      <c r="M93" s="2379"/>
      <c r="N93" s="2379"/>
      <c r="O93" s="2380"/>
      <c r="P93" s="2379"/>
      <c r="Q93" s="2379"/>
      <c r="R93" s="2381"/>
    </row>
    <row r="94" spans="2:18" s="2355" customFormat="1">
      <c r="B94" s="2379"/>
      <c r="C94" s="2379"/>
      <c r="D94" s="2379"/>
      <c r="E94" s="2379"/>
      <c r="F94" s="2379"/>
      <c r="G94" s="2380"/>
      <c r="H94" s="2379"/>
      <c r="I94" s="2380"/>
      <c r="J94" s="2379"/>
      <c r="K94" s="2379"/>
      <c r="L94" s="2380"/>
      <c r="M94" s="2379"/>
      <c r="N94" s="2379"/>
      <c r="O94" s="2380"/>
      <c r="P94" s="2379"/>
      <c r="Q94" s="2379"/>
      <c r="R94" s="2381"/>
    </row>
    <row r="95" spans="2:18" s="2355" customFormat="1">
      <c r="B95" s="2379"/>
      <c r="C95" s="2379"/>
      <c r="D95" s="2379"/>
      <c r="E95" s="2379"/>
      <c r="F95" s="2379"/>
      <c r="G95" s="2380"/>
      <c r="H95" s="2379"/>
      <c r="I95" s="2380"/>
      <c r="J95" s="2379"/>
      <c r="K95" s="2379"/>
      <c r="L95" s="2380"/>
      <c r="M95" s="2379"/>
      <c r="N95" s="2379"/>
      <c r="O95" s="2380"/>
      <c r="P95" s="2379"/>
      <c r="Q95" s="2379"/>
      <c r="R95" s="2381"/>
    </row>
    <row r="96" spans="2:18" s="2355" customFormat="1">
      <c r="B96" s="2379"/>
      <c r="C96" s="2379"/>
      <c r="D96" s="2379"/>
      <c r="E96" s="2379"/>
      <c r="F96" s="2379"/>
      <c r="G96" s="2380"/>
      <c r="H96" s="2379"/>
      <c r="I96" s="2380"/>
      <c r="J96" s="2379"/>
      <c r="K96" s="2379"/>
      <c r="L96" s="2380"/>
      <c r="M96" s="2379"/>
      <c r="N96" s="2379"/>
      <c r="O96" s="2380"/>
      <c r="P96" s="2379"/>
      <c r="Q96" s="2379"/>
      <c r="R96" s="2381"/>
    </row>
    <row r="97" spans="2:18" s="2355" customFormat="1">
      <c r="B97" s="2379"/>
      <c r="C97" s="2379"/>
      <c r="D97" s="2379"/>
      <c r="E97" s="2379"/>
      <c r="F97" s="2379"/>
      <c r="G97" s="2380"/>
      <c r="H97" s="2379"/>
      <c r="I97" s="2380"/>
      <c r="J97" s="2379"/>
      <c r="K97" s="2379"/>
      <c r="L97" s="2380"/>
      <c r="M97" s="2379"/>
      <c r="N97" s="2379"/>
      <c r="O97" s="2380"/>
      <c r="P97" s="2379"/>
      <c r="Q97" s="2379"/>
      <c r="R97" s="2381"/>
    </row>
    <row r="98" spans="2:18" s="2355" customFormat="1">
      <c r="B98" s="2379"/>
      <c r="C98" s="2379"/>
      <c r="D98" s="2379"/>
      <c r="E98" s="2379"/>
      <c r="F98" s="2379"/>
      <c r="G98" s="2380"/>
      <c r="H98" s="2379"/>
      <c r="I98" s="2380"/>
      <c r="J98" s="2379"/>
      <c r="K98" s="2379"/>
      <c r="L98" s="2380"/>
      <c r="M98" s="2379"/>
      <c r="N98" s="2379"/>
      <c r="O98" s="2380"/>
      <c r="P98" s="2379"/>
      <c r="Q98" s="2379"/>
      <c r="R98" s="2381"/>
    </row>
    <row r="99" spans="2:18" s="2355" customFormat="1">
      <c r="B99" s="2379"/>
      <c r="C99" s="2379"/>
      <c r="D99" s="2379"/>
      <c r="E99" s="2379"/>
      <c r="F99" s="2379"/>
      <c r="G99" s="2380"/>
      <c r="H99" s="2379"/>
      <c r="I99" s="2380"/>
      <c r="J99" s="2379"/>
      <c r="K99" s="2379"/>
      <c r="L99" s="2380"/>
      <c r="M99" s="2379"/>
      <c r="N99" s="2379"/>
      <c r="O99" s="2380"/>
      <c r="P99" s="2379"/>
      <c r="Q99" s="2379"/>
      <c r="R99" s="2381"/>
    </row>
    <row r="100" spans="2:18" s="2355" customFormat="1">
      <c r="B100" s="2379"/>
      <c r="C100" s="2379"/>
      <c r="D100" s="2379"/>
      <c r="E100" s="2379"/>
      <c r="F100" s="2379"/>
      <c r="G100" s="2380"/>
      <c r="H100" s="2379"/>
      <c r="I100" s="2380"/>
      <c r="J100" s="2379"/>
      <c r="K100" s="2379"/>
      <c r="L100" s="2380"/>
      <c r="M100" s="2379"/>
      <c r="N100" s="2379"/>
      <c r="O100" s="2380"/>
      <c r="P100" s="2379"/>
      <c r="Q100" s="2379"/>
      <c r="R100" s="2381"/>
    </row>
    <row r="101" spans="2:18" s="2355" customFormat="1">
      <c r="B101" s="2379"/>
      <c r="C101" s="2379"/>
      <c r="D101" s="2379"/>
      <c r="E101" s="2379"/>
      <c r="F101" s="2379"/>
      <c r="G101" s="2380"/>
      <c r="H101" s="2379"/>
      <c r="I101" s="2380"/>
      <c r="J101" s="2379"/>
      <c r="K101" s="2379"/>
      <c r="L101" s="2380"/>
      <c r="M101" s="2379"/>
      <c r="N101" s="2379"/>
      <c r="O101" s="2380"/>
      <c r="P101" s="2379"/>
      <c r="Q101" s="2379"/>
      <c r="R101" s="2381"/>
    </row>
    <row r="102" spans="2:18" s="2355" customFormat="1">
      <c r="B102" s="2379"/>
      <c r="C102" s="2379"/>
      <c r="D102" s="2379"/>
      <c r="E102" s="2379"/>
      <c r="F102" s="2379"/>
      <c r="G102" s="2380"/>
      <c r="H102" s="2379"/>
      <c r="I102" s="2380"/>
      <c r="J102" s="2379"/>
      <c r="K102" s="2379"/>
      <c r="L102" s="2380"/>
      <c r="M102" s="2379"/>
      <c r="N102" s="2379"/>
      <c r="O102" s="2380"/>
      <c r="P102" s="2379"/>
      <c r="Q102" s="2379"/>
      <c r="R102" s="2381"/>
    </row>
    <row r="103" spans="2:18" s="2355" customFormat="1">
      <c r="B103" s="2379"/>
      <c r="C103" s="2379"/>
      <c r="D103" s="2379"/>
      <c r="E103" s="2379"/>
      <c r="F103" s="2379"/>
      <c r="G103" s="2380"/>
      <c r="H103" s="2379"/>
      <c r="I103" s="2380"/>
      <c r="J103" s="2379"/>
      <c r="K103" s="2379"/>
      <c r="L103" s="2380"/>
      <c r="M103" s="2379"/>
      <c r="N103" s="2379"/>
      <c r="O103" s="2380"/>
      <c r="P103" s="2379"/>
      <c r="Q103" s="2379"/>
      <c r="R103" s="2381"/>
    </row>
    <row r="104" spans="2:18" s="2355" customFormat="1">
      <c r="B104" s="2379"/>
      <c r="C104" s="2379"/>
      <c r="D104" s="2379"/>
      <c r="E104" s="2379"/>
      <c r="F104" s="2379"/>
      <c r="G104" s="2380"/>
      <c r="H104" s="2379"/>
      <c r="I104" s="2380"/>
      <c r="J104" s="2379"/>
      <c r="K104" s="2379"/>
      <c r="L104" s="2380"/>
      <c r="M104" s="2379"/>
      <c r="N104" s="2379"/>
      <c r="O104" s="2380"/>
      <c r="P104" s="2379"/>
      <c r="Q104" s="2379"/>
      <c r="R104" s="2381"/>
    </row>
    <row r="105" spans="2:18" s="2355" customFormat="1">
      <c r="B105" s="2379"/>
      <c r="C105" s="2379"/>
      <c r="D105" s="2379"/>
      <c r="E105" s="2379"/>
      <c r="F105" s="2379"/>
      <c r="G105" s="2380"/>
      <c r="H105" s="2379"/>
      <c r="I105" s="2380"/>
      <c r="J105" s="2379"/>
      <c r="K105" s="2379"/>
      <c r="L105" s="2380"/>
      <c r="M105" s="2379"/>
      <c r="N105" s="2379"/>
      <c r="O105" s="2380"/>
      <c r="P105" s="2379"/>
      <c r="Q105" s="2379"/>
      <c r="R105" s="2381"/>
    </row>
    <row r="106" spans="2:18" s="2355" customFormat="1">
      <c r="B106" s="2379"/>
      <c r="C106" s="2379"/>
      <c r="D106" s="2379"/>
      <c r="E106" s="2379"/>
      <c r="F106" s="2379"/>
      <c r="G106" s="2380"/>
      <c r="H106" s="2379"/>
      <c r="I106" s="2380"/>
      <c r="J106" s="2379"/>
      <c r="K106" s="2379"/>
      <c r="L106" s="2380"/>
      <c r="M106" s="2379"/>
      <c r="N106" s="2379"/>
      <c r="O106" s="2380"/>
      <c r="P106" s="2379"/>
      <c r="Q106" s="2379"/>
      <c r="R106" s="2381"/>
    </row>
    <row r="107" spans="2:18" s="2355" customFormat="1">
      <c r="B107" s="2379"/>
      <c r="C107" s="2379"/>
      <c r="D107" s="2379"/>
      <c r="E107" s="2379"/>
      <c r="F107" s="2379"/>
      <c r="G107" s="2380"/>
      <c r="H107" s="2379"/>
      <c r="I107" s="2380"/>
      <c r="J107" s="2379"/>
      <c r="K107" s="2379"/>
      <c r="L107" s="2380"/>
      <c r="M107" s="2379"/>
      <c r="N107" s="2379"/>
      <c r="O107" s="2380"/>
      <c r="P107" s="2379"/>
      <c r="Q107" s="2379"/>
      <c r="R107" s="2381"/>
    </row>
    <row r="108" spans="2:18" s="2355" customFormat="1">
      <c r="B108" s="2379"/>
      <c r="C108" s="2379"/>
      <c r="D108" s="2379"/>
      <c r="E108" s="2379"/>
      <c r="F108" s="2379"/>
      <c r="G108" s="2380"/>
      <c r="H108" s="2379"/>
      <c r="I108" s="2380"/>
      <c r="J108" s="2379"/>
      <c r="K108" s="2379"/>
      <c r="L108" s="2380"/>
      <c r="M108" s="2379"/>
      <c r="N108" s="2379"/>
      <c r="O108" s="2380"/>
      <c r="P108" s="2379"/>
      <c r="Q108" s="2379"/>
      <c r="R108" s="2381"/>
    </row>
    <row r="109" spans="2:18" s="2355" customFormat="1">
      <c r="B109" s="2379"/>
      <c r="C109" s="2379"/>
      <c r="D109" s="2379"/>
      <c r="E109" s="2379"/>
      <c r="F109" s="2379"/>
      <c r="G109" s="2380"/>
      <c r="H109" s="2379"/>
      <c r="I109" s="2380"/>
      <c r="J109" s="2379"/>
      <c r="K109" s="2379"/>
      <c r="L109" s="2380"/>
      <c r="M109" s="2379"/>
      <c r="N109" s="2379"/>
      <c r="O109" s="2380"/>
      <c r="P109" s="2379"/>
      <c r="Q109" s="2379"/>
      <c r="R109" s="2381"/>
    </row>
    <row r="110" spans="2:18" s="2355" customFormat="1">
      <c r="B110" s="2379"/>
      <c r="C110" s="2379"/>
      <c r="D110" s="2379"/>
      <c r="E110" s="2379"/>
      <c r="F110" s="2379"/>
      <c r="G110" s="2380"/>
      <c r="H110" s="2379"/>
      <c r="I110" s="2380"/>
      <c r="J110" s="2379"/>
      <c r="K110" s="2379"/>
      <c r="L110" s="2380"/>
      <c r="M110" s="2379"/>
      <c r="N110" s="2379"/>
      <c r="O110" s="2380"/>
      <c r="P110" s="2379"/>
      <c r="Q110" s="2379"/>
      <c r="R110" s="2381"/>
    </row>
    <row r="111" spans="2:18" s="2355" customFormat="1">
      <c r="B111" s="2379"/>
      <c r="C111" s="2379"/>
      <c r="D111" s="2379"/>
      <c r="E111" s="2379"/>
      <c r="F111" s="2379"/>
      <c r="G111" s="2380"/>
      <c r="H111" s="2379"/>
      <c r="I111" s="2380"/>
      <c r="J111" s="2379"/>
      <c r="K111" s="2379"/>
      <c r="L111" s="2380"/>
      <c r="M111" s="2379"/>
      <c r="N111" s="2379"/>
      <c r="O111" s="2380"/>
      <c r="P111" s="2379"/>
      <c r="Q111" s="2379"/>
      <c r="R111" s="2381"/>
    </row>
    <row r="112" spans="2:18" s="2355" customFormat="1">
      <c r="B112" s="2379"/>
      <c r="C112" s="2379"/>
      <c r="D112" s="2379"/>
      <c r="E112" s="2379"/>
      <c r="F112" s="2379"/>
      <c r="G112" s="2380"/>
      <c r="H112" s="2379"/>
      <c r="I112" s="2380"/>
      <c r="J112" s="2379"/>
      <c r="K112" s="2379"/>
      <c r="L112" s="2380"/>
      <c r="M112" s="2379"/>
      <c r="N112" s="2379"/>
      <c r="O112" s="2380"/>
      <c r="P112" s="2379"/>
      <c r="Q112" s="2379"/>
      <c r="R112" s="2381"/>
    </row>
    <row r="113" spans="2:18" s="2355" customFormat="1">
      <c r="B113" s="2379"/>
      <c r="C113" s="2379"/>
      <c r="D113" s="2379"/>
      <c r="E113" s="2379"/>
      <c r="F113" s="2379"/>
      <c r="G113" s="2380"/>
      <c r="H113" s="2379"/>
      <c r="I113" s="2380"/>
      <c r="J113" s="2379"/>
      <c r="K113" s="2379"/>
      <c r="L113" s="2380"/>
      <c r="M113" s="2379"/>
      <c r="N113" s="2379"/>
      <c r="O113" s="2380"/>
      <c r="P113" s="2379"/>
      <c r="Q113" s="2379"/>
      <c r="R113" s="2381"/>
    </row>
    <row r="114" spans="2:18" s="2355" customFormat="1">
      <c r="B114" s="2379"/>
      <c r="C114" s="2379"/>
      <c r="D114" s="2379"/>
      <c r="E114" s="2379"/>
      <c r="F114" s="2379"/>
      <c r="G114" s="2380"/>
      <c r="H114" s="2379"/>
      <c r="I114" s="2380"/>
      <c r="J114" s="2379"/>
      <c r="K114" s="2379"/>
      <c r="L114" s="2380"/>
      <c r="M114" s="2379"/>
      <c r="N114" s="2379"/>
      <c r="O114" s="2380"/>
      <c r="P114" s="2379"/>
      <c r="Q114" s="2379"/>
      <c r="R114" s="2381"/>
    </row>
    <row r="115" spans="2:18" s="2355" customFormat="1">
      <c r="B115" s="2379"/>
      <c r="C115" s="2379"/>
      <c r="D115" s="2379"/>
      <c r="E115" s="2379"/>
      <c r="F115" s="2379"/>
      <c r="G115" s="2380"/>
      <c r="H115" s="2379"/>
      <c r="I115" s="2380"/>
      <c r="J115" s="2379"/>
      <c r="K115" s="2379"/>
      <c r="L115" s="2380"/>
      <c r="M115" s="2379"/>
      <c r="N115" s="2379"/>
      <c r="O115" s="2380"/>
      <c r="P115" s="2379"/>
      <c r="Q115" s="2379"/>
      <c r="R115" s="2381"/>
    </row>
    <row r="116" spans="2:18" s="2355" customFormat="1">
      <c r="B116" s="2379"/>
      <c r="C116" s="2379"/>
      <c r="D116" s="2379"/>
      <c r="E116" s="2379"/>
      <c r="F116" s="2379"/>
      <c r="G116" s="2380"/>
      <c r="H116" s="2379"/>
      <c r="I116" s="2380"/>
      <c r="J116" s="2379"/>
      <c r="K116" s="2379"/>
      <c r="L116" s="2380"/>
      <c r="M116" s="2379"/>
      <c r="N116" s="2379"/>
      <c r="O116" s="2380"/>
      <c r="P116" s="2379"/>
      <c r="Q116" s="2379"/>
      <c r="R116" s="2381"/>
    </row>
    <row r="117" spans="2:18" s="2355" customFormat="1">
      <c r="B117" s="2379"/>
      <c r="C117" s="2379"/>
      <c r="D117" s="2379"/>
      <c r="E117" s="2379"/>
      <c r="F117" s="2379"/>
      <c r="G117" s="2380"/>
      <c r="H117" s="2379"/>
      <c r="I117" s="2380"/>
      <c r="J117" s="2379"/>
      <c r="K117" s="2379"/>
      <c r="L117" s="2380"/>
      <c r="M117" s="2379"/>
      <c r="N117" s="2379"/>
      <c r="O117" s="2380"/>
      <c r="P117" s="2379"/>
      <c r="Q117" s="2379"/>
      <c r="R117" s="2381"/>
    </row>
    <row r="118" spans="2:18" s="2355" customFormat="1">
      <c r="B118" s="2379"/>
      <c r="C118" s="2379"/>
      <c r="D118" s="2379"/>
      <c r="E118" s="2379"/>
      <c r="F118" s="2379"/>
      <c r="G118" s="2380"/>
      <c r="H118" s="2379"/>
      <c r="I118" s="2380"/>
      <c r="J118" s="2379"/>
      <c r="K118" s="2379"/>
      <c r="L118" s="2380"/>
      <c r="M118" s="2379"/>
      <c r="N118" s="2379"/>
      <c r="O118" s="2380"/>
      <c r="P118" s="2379"/>
      <c r="Q118" s="2379"/>
      <c r="R118" s="2381"/>
    </row>
    <row r="119" spans="2:18" s="2355" customFormat="1">
      <c r="B119" s="2379"/>
      <c r="C119" s="2379"/>
      <c r="D119" s="2379"/>
      <c r="E119" s="2379"/>
      <c r="F119" s="2379"/>
      <c r="G119" s="2380"/>
      <c r="H119" s="2379"/>
      <c r="I119" s="2380"/>
      <c r="J119" s="2379"/>
      <c r="K119" s="2379"/>
      <c r="L119" s="2380"/>
      <c r="M119" s="2379"/>
      <c r="N119" s="2379"/>
      <c r="O119" s="2380"/>
      <c r="P119" s="2379"/>
      <c r="Q119" s="2379"/>
      <c r="R119" s="2381"/>
    </row>
    <row r="120" spans="2:18" s="2355" customFormat="1">
      <c r="B120" s="2379"/>
      <c r="C120" s="2379"/>
      <c r="D120" s="2379"/>
      <c r="E120" s="2379"/>
      <c r="F120" s="2379"/>
      <c r="G120" s="2380"/>
      <c r="H120" s="2379"/>
      <c r="I120" s="2380"/>
      <c r="J120" s="2379"/>
      <c r="K120" s="2379"/>
      <c r="L120" s="2380"/>
      <c r="M120" s="2379"/>
      <c r="N120" s="2379"/>
      <c r="O120" s="2380"/>
      <c r="P120" s="2379"/>
      <c r="Q120" s="2379"/>
      <c r="R120" s="2381"/>
    </row>
    <row r="121" spans="2:18" s="2355" customFormat="1">
      <c r="B121" s="2379"/>
      <c r="C121" s="2379"/>
      <c r="D121" s="2379"/>
      <c r="E121" s="2379"/>
      <c r="F121" s="2379"/>
      <c r="G121" s="2380"/>
      <c r="H121" s="2379"/>
      <c r="I121" s="2380"/>
      <c r="J121" s="2379"/>
      <c r="K121" s="2379"/>
      <c r="L121" s="2380"/>
      <c r="M121" s="2379"/>
      <c r="N121" s="2379"/>
      <c r="O121" s="2380"/>
      <c r="P121" s="2379"/>
      <c r="Q121" s="2379"/>
      <c r="R121" s="2381"/>
    </row>
    <row r="122" spans="2:18" s="2355" customFormat="1">
      <c r="B122" s="2379"/>
      <c r="C122" s="2379"/>
      <c r="D122" s="2379"/>
      <c r="E122" s="2379"/>
      <c r="F122" s="2379"/>
      <c r="G122" s="2380"/>
      <c r="H122" s="2379"/>
      <c r="I122" s="2380"/>
      <c r="J122" s="2379"/>
      <c r="K122" s="2379"/>
      <c r="L122" s="2380"/>
      <c r="M122" s="2379"/>
      <c r="N122" s="2379"/>
      <c r="O122" s="2380"/>
      <c r="P122" s="2379"/>
      <c r="Q122" s="2379"/>
      <c r="R122" s="2381"/>
    </row>
    <row r="123" spans="2:18" s="2355" customFormat="1">
      <c r="B123" s="2379"/>
      <c r="C123" s="2379"/>
      <c r="D123" s="2379"/>
      <c r="E123" s="2379"/>
      <c r="F123" s="2379"/>
      <c r="G123" s="2380"/>
      <c r="H123" s="2379"/>
      <c r="I123" s="2380"/>
      <c r="J123" s="2379"/>
      <c r="K123" s="2379"/>
      <c r="L123" s="2380"/>
      <c r="M123" s="2379"/>
      <c r="N123" s="2379"/>
      <c r="O123" s="2380"/>
      <c r="P123" s="2379"/>
      <c r="Q123" s="2379"/>
      <c r="R123" s="2381"/>
    </row>
    <row r="124" spans="2:18" s="2355" customFormat="1">
      <c r="B124" s="2379"/>
      <c r="C124" s="2379"/>
      <c r="D124" s="2379"/>
      <c r="E124" s="2379"/>
      <c r="F124" s="2379"/>
      <c r="G124" s="2380"/>
      <c r="H124" s="2379"/>
      <c r="I124" s="2380"/>
      <c r="J124" s="2379"/>
      <c r="K124" s="2379"/>
      <c r="L124" s="2380"/>
      <c r="M124" s="2379"/>
      <c r="N124" s="2379"/>
      <c r="O124" s="2380"/>
      <c r="P124" s="2379"/>
      <c r="Q124" s="2379"/>
      <c r="R124" s="2381"/>
    </row>
    <row r="125" spans="2:18" s="2355" customFormat="1">
      <c r="B125" s="2379"/>
      <c r="C125" s="2379"/>
      <c r="D125" s="2379"/>
      <c r="E125" s="2379"/>
      <c r="F125" s="2379"/>
      <c r="G125" s="2380"/>
      <c r="H125" s="2379"/>
      <c r="I125" s="2380"/>
      <c r="J125" s="2379"/>
      <c r="K125" s="2379"/>
      <c r="L125" s="2380"/>
      <c r="M125" s="2379"/>
      <c r="N125" s="2379"/>
      <c r="O125" s="2380"/>
      <c r="P125" s="2379"/>
      <c r="Q125" s="2379"/>
      <c r="R125" s="2381"/>
    </row>
    <row r="126" spans="2:18" s="2355" customFormat="1">
      <c r="B126" s="2379"/>
      <c r="C126" s="2379"/>
      <c r="D126" s="2379"/>
      <c r="E126" s="2379"/>
      <c r="F126" s="2379"/>
      <c r="G126" s="2380"/>
      <c r="H126" s="2379"/>
      <c r="I126" s="2380"/>
      <c r="J126" s="2379"/>
      <c r="K126" s="2379"/>
      <c r="L126" s="2380"/>
      <c r="M126" s="2379"/>
      <c r="N126" s="2379"/>
      <c r="O126" s="2380"/>
      <c r="P126" s="2379"/>
      <c r="Q126" s="2379"/>
      <c r="R126" s="2381"/>
    </row>
    <row r="127" spans="2:18" s="2355" customFormat="1">
      <c r="B127" s="2379"/>
      <c r="C127" s="2379"/>
      <c r="D127" s="2379"/>
      <c r="E127" s="2379"/>
      <c r="F127" s="2379"/>
      <c r="G127" s="2380"/>
      <c r="H127" s="2379"/>
      <c r="I127" s="2380"/>
      <c r="J127" s="2379"/>
      <c r="K127" s="2379"/>
      <c r="L127" s="2380"/>
      <c r="M127" s="2379"/>
      <c r="N127" s="2379"/>
      <c r="O127" s="2380"/>
      <c r="P127" s="2379"/>
      <c r="Q127" s="2379"/>
      <c r="R127" s="2381"/>
    </row>
    <row r="128" spans="2:18" s="2355" customFormat="1">
      <c r="B128" s="2379"/>
      <c r="C128" s="2379"/>
      <c r="D128" s="2379"/>
      <c r="E128" s="2379"/>
      <c r="F128" s="2379"/>
      <c r="G128" s="2380"/>
      <c r="H128" s="2379"/>
      <c r="I128" s="2380"/>
      <c r="J128" s="2379"/>
      <c r="K128" s="2379"/>
      <c r="L128" s="2380"/>
      <c r="M128" s="2379"/>
      <c r="N128" s="2379"/>
      <c r="O128" s="2380"/>
      <c r="P128" s="2379"/>
      <c r="Q128" s="2379"/>
      <c r="R128" s="2381"/>
    </row>
    <row r="129" spans="2:18" s="2355" customFormat="1">
      <c r="B129" s="2379"/>
      <c r="C129" s="2379"/>
      <c r="D129" s="2379"/>
      <c r="E129" s="2379"/>
      <c r="F129" s="2379"/>
      <c r="G129" s="2380"/>
      <c r="H129" s="2379"/>
      <c r="I129" s="2380"/>
      <c r="J129" s="2379"/>
      <c r="K129" s="2379"/>
      <c r="L129" s="2380"/>
      <c r="M129" s="2379"/>
      <c r="N129" s="2379"/>
      <c r="O129" s="2380"/>
      <c r="P129" s="2379"/>
      <c r="Q129" s="2379"/>
      <c r="R129" s="2381"/>
    </row>
    <row r="130" spans="2:18" s="2355" customFormat="1">
      <c r="B130" s="2379"/>
      <c r="C130" s="2379"/>
      <c r="D130" s="2379"/>
      <c r="E130" s="2379"/>
      <c r="F130" s="2379"/>
      <c r="G130" s="2380"/>
      <c r="H130" s="2379"/>
      <c r="I130" s="2380"/>
      <c r="J130" s="2379"/>
      <c r="K130" s="2379"/>
      <c r="L130" s="2380"/>
      <c r="M130" s="2379"/>
      <c r="N130" s="2379"/>
      <c r="O130" s="2380"/>
      <c r="P130" s="2379"/>
      <c r="Q130" s="2379"/>
      <c r="R130" s="2381"/>
    </row>
    <row r="131" spans="2:18" s="2355" customFormat="1">
      <c r="B131" s="2379"/>
      <c r="C131" s="2379"/>
      <c r="D131" s="2379"/>
      <c r="E131" s="2379"/>
      <c r="F131" s="2379"/>
      <c r="G131" s="2380"/>
      <c r="H131" s="2379"/>
      <c r="I131" s="2380"/>
      <c r="J131" s="2379"/>
      <c r="K131" s="2379"/>
      <c r="L131" s="2380"/>
      <c r="M131" s="2379"/>
      <c r="N131" s="2379"/>
      <c r="O131" s="2380"/>
      <c r="P131" s="2379"/>
      <c r="Q131" s="2379"/>
      <c r="R131" s="2381"/>
    </row>
    <row r="132" spans="2:18" s="2355" customFormat="1">
      <c r="B132" s="2379"/>
      <c r="C132" s="2379"/>
      <c r="D132" s="2379"/>
      <c r="E132" s="2379"/>
      <c r="F132" s="2379"/>
      <c r="G132" s="2380"/>
      <c r="H132" s="2379"/>
      <c r="I132" s="2380"/>
      <c r="J132" s="2379"/>
      <c r="K132" s="2379"/>
      <c r="L132" s="2380"/>
      <c r="M132" s="2379"/>
      <c r="N132" s="2379"/>
      <c r="O132" s="2380"/>
      <c r="P132" s="2379"/>
      <c r="Q132" s="2379"/>
      <c r="R132" s="2381"/>
    </row>
    <row r="133" spans="2:18" s="2355" customFormat="1">
      <c r="B133" s="2379"/>
      <c r="C133" s="2379"/>
      <c r="D133" s="2379"/>
      <c r="E133" s="2379"/>
      <c r="F133" s="2379"/>
      <c r="G133" s="2380"/>
      <c r="H133" s="2379"/>
      <c r="I133" s="2380"/>
      <c r="J133" s="2379"/>
      <c r="K133" s="2379"/>
      <c r="L133" s="2380"/>
      <c r="M133" s="2379"/>
      <c r="N133" s="2379"/>
      <c r="O133" s="2380"/>
      <c r="P133" s="2379"/>
      <c r="Q133" s="2379"/>
      <c r="R133" s="2381"/>
    </row>
    <row r="134" spans="2:18" s="2355" customFormat="1">
      <c r="B134" s="2379"/>
      <c r="C134" s="2379"/>
      <c r="D134" s="2379"/>
      <c r="E134" s="2379"/>
      <c r="F134" s="2379"/>
      <c r="G134" s="2380"/>
      <c r="H134" s="2379"/>
      <c r="I134" s="2380"/>
      <c r="J134" s="2379"/>
      <c r="K134" s="2379"/>
      <c r="L134" s="2380"/>
      <c r="M134" s="2379"/>
      <c r="N134" s="2379"/>
      <c r="O134" s="2380"/>
      <c r="P134" s="2379"/>
      <c r="Q134" s="2379"/>
      <c r="R134" s="2381"/>
    </row>
    <row r="135" spans="2:18" s="2355" customFormat="1">
      <c r="B135" s="2379"/>
      <c r="C135" s="2379"/>
      <c r="D135" s="2379"/>
      <c r="E135" s="2379"/>
      <c r="F135" s="2379"/>
      <c r="G135" s="2380"/>
      <c r="H135" s="2379"/>
      <c r="I135" s="2380"/>
      <c r="J135" s="2379"/>
      <c r="K135" s="2379"/>
      <c r="L135" s="2380"/>
      <c r="M135" s="2379"/>
      <c r="N135" s="2379"/>
      <c r="O135" s="2380"/>
      <c r="P135" s="2379"/>
      <c r="Q135" s="2379"/>
      <c r="R135" s="2381"/>
    </row>
    <row r="136" spans="2:18" s="2355" customFormat="1">
      <c r="B136" s="2379"/>
      <c r="C136" s="2379"/>
      <c r="D136" s="2379"/>
      <c r="E136" s="2379"/>
      <c r="F136" s="2379"/>
      <c r="G136" s="2380"/>
      <c r="H136" s="2379"/>
      <c r="I136" s="2380"/>
      <c r="J136" s="2379"/>
      <c r="K136" s="2379"/>
      <c r="L136" s="2380"/>
      <c r="M136" s="2379"/>
      <c r="N136" s="2379"/>
      <c r="O136" s="2380"/>
      <c r="P136" s="2379"/>
      <c r="Q136" s="2379"/>
      <c r="R136" s="2381"/>
    </row>
    <row r="137" spans="2:18" s="2355" customFormat="1">
      <c r="B137" s="2379"/>
      <c r="C137" s="2379"/>
      <c r="D137" s="2379"/>
      <c r="E137" s="2379"/>
      <c r="F137" s="2379"/>
      <c r="G137" s="2380"/>
      <c r="H137" s="2379"/>
      <c r="I137" s="2380"/>
      <c r="J137" s="2379"/>
      <c r="K137" s="2379"/>
      <c r="L137" s="2380"/>
      <c r="M137" s="2379"/>
      <c r="N137" s="2379"/>
      <c r="O137" s="2380"/>
      <c r="P137" s="2379"/>
      <c r="Q137" s="2379"/>
      <c r="R137" s="2381"/>
    </row>
    <row r="138" spans="2:18" s="2355" customFormat="1">
      <c r="B138" s="2379"/>
      <c r="C138" s="2379"/>
      <c r="D138" s="2379"/>
      <c r="E138" s="2379"/>
      <c r="F138" s="2379"/>
      <c r="G138" s="2380"/>
      <c r="H138" s="2379"/>
      <c r="I138" s="2380"/>
      <c r="J138" s="2379"/>
      <c r="K138" s="2379"/>
      <c r="L138" s="2380"/>
      <c r="M138" s="2379"/>
      <c r="N138" s="2379"/>
      <c r="O138" s="2380"/>
      <c r="P138" s="2379"/>
      <c r="Q138" s="2379"/>
      <c r="R138" s="2381"/>
    </row>
    <row r="139" spans="2:18" s="2355" customFormat="1">
      <c r="B139" s="2379"/>
      <c r="C139" s="2379"/>
      <c r="D139" s="2379"/>
      <c r="E139" s="2379"/>
      <c r="F139" s="2379"/>
      <c r="G139" s="2380"/>
      <c r="H139" s="2379"/>
      <c r="I139" s="2380"/>
      <c r="J139" s="2379"/>
      <c r="K139" s="2379"/>
      <c r="L139" s="2380"/>
      <c r="M139" s="2379"/>
      <c r="N139" s="2379"/>
      <c r="O139" s="2380"/>
      <c r="P139" s="2379"/>
      <c r="Q139" s="2379"/>
      <c r="R139" s="2381"/>
    </row>
    <row r="140" spans="2:18" s="2355" customFormat="1">
      <c r="B140" s="2379"/>
      <c r="C140" s="2379"/>
      <c r="D140" s="2379"/>
      <c r="E140" s="2379"/>
      <c r="F140" s="2379"/>
      <c r="G140" s="2380"/>
      <c r="H140" s="2379"/>
      <c r="I140" s="2380"/>
      <c r="J140" s="2379"/>
      <c r="K140" s="2379"/>
      <c r="L140" s="2380"/>
      <c r="M140" s="2379"/>
      <c r="N140" s="2379"/>
      <c r="O140" s="2380"/>
      <c r="P140" s="2379"/>
      <c r="Q140" s="2379"/>
      <c r="R140" s="2381"/>
    </row>
    <row r="141" spans="2:18" s="2355" customFormat="1">
      <c r="B141" s="2379"/>
      <c r="C141" s="2379"/>
      <c r="D141" s="2379"/>
      <c r="E141" s="2379"/>
      <c r="F141" s="2379"/>
      <c r="G141" s="2380"/>
      <c r="H141" s="2379"/>
      <c r="I141" s="2380"/>
      <c r="J141" s="2379"/>
      <c r="K141" s="2379"/>
      <c r="L141" s="2380"/>
      <c r="M141" s="2379"/>
      <c r="N141" s="2379"/>
      <c r="O141" s="2380"/>
      <c r="P141" s="2379"/>
      <c r="Q141" s="2379"/>
      <c r="R141" s="2381"/>
    </row>
    <row r="142" spans="2:18" s="2355" customFormat="1">
      <c r="B142" s="2379"/>
      <c r="C142" s="2379"/>
      <c r="D142" s="2379"/>
      <c r="E142" s="2379"/>
      <c r="F142" s="2379"/>
      <c r="G142" s="2380"/>
      <c r="H142" s="2379"/>
      <c r="I142" s="2380"/>
      <c r="J142" s="2379"/>
      <c r="K142" s="2379"/>
      <c r="L142" s="2380"/>
      <c r="M142" s="2379"/>
      <c r="N142" s="2379"/>
      <c r="O142" s="2380"/>
      <c r="P142" s="2379"/>
      <c r="Q142" s="2379"/>
      <c r="R142" s="2381"/>
    </row>
    <row r="143" spans="2:18" s="2355" customFormat="1">
      <c r="B143" s="2379"/>
      <c r="C143" s="2379"/>
      <c r="D143" s="2379"/>
      <c r="E143" s="2379"/>
      <c r="F143" s="2379"/>
      <c r="G143" s="2380"/>
      <c r="H143" s="2379"/>
      <c r="I143" s="2380"/>
      <c r="J143" s="2379"/>
      <c r="K143" s="2379"/>
      <c r="L143" s="2380"/>
      <c r="M143" s="2379"/>
      <c r="N143" s="2379"/>
      <c r="O143" s="2380"/>
      <c r="P143" s="2379"/>
      <c r="Q143" s="2379"/>
      <c r="R143" s="2381"/>
    </row>
    <row r="144" spans="2:18" s="2355" customFormat="1">
      <c r="B144" s="2379"/>
      <c r="C144" s="2379"/>
      <c r="D144" s="2379"/>
      <c r="E144" s="2379"/>
      <c r="F144" s="2379"/>
      <c r="G144" s="2380"/>
      <c r="H144" s="2379"/>
      <c r="I144" s="2380"/>
      <c r="J144" s="2379"/>
      <c r="K144" s="2379"/>
      <c r="L144" s="2380"/>
      <c r="M144" s="2379"/>
      <c r="N144" s="2379"/>
      <c r="O144" s="2380"/>
      <c r="P144" s="2379"/>
      <c r="Q144" s="2379"/>
      <c r="R144" s="2381"/>
    </row>
    <row r="145" spans="2:18" s="2355" customFormat="1">
      <c r="B145" s="2379"/>
      <c r="C145" s="2379"/>
      <c r="D145" s="2379"/>
      <c r="E145" s="2379"/>
      <c r="F145" s="2379"/>
      <c r="G145" s="2380"/>
      <c r="H145" s="2379"/>
      <c r="I145" s="2380"/>
      <c r="J145" s="2379"/>
      <c r="K145" s="2379"/>
      <c r="L145" s="2380"/>
      <c r="M145" s="2379"/>
      <c r="N145" s="2379"/>
      <c r="O145" s="2380"/>
      <c r="P145" s="2379"/>
      <c r="Q145" s="2379"/>
      <c r="R145" s="2381"/>
    </row>
    <row r="146" spans="2:18" s="2355" customFormat="1">
      <c r="B146" s="2379"/>
      <c r="C146" s="2379"/>
      <c r="D146" s="2379"/>
      <c r="E146" s="2379"/>
      <c r="F146" s="2379"/>
      <c r="G146" s="2380"/>
      <c r="H146" s="2379"/>
      <c r="I146" s="2380"/>
      <c r="J146" s="2379"/>
      <c r="K146" s="2379"/>
      <c r="L146" s="2380"/>
      <c r="M146" s="2379"/>
      <c r="N146" s="2379"/>
      <c r="O146" s="2380"/>
      <c r="P146" s="2379"/>
      <c r="Q146" s="2379"/>
      <c r="R146" s="2381"/>
    </row>
    <row r="147" spans="2:18" s="2355" customFormat="1">
      <c r="B147" s="2379"/>
      <c r="C147" s="2379"/>
      <c r="D147" s="2379"/>
      <c r="E147" s="2379"/>
      <c r="F147" s="2379"/>
      <c r="G147" s="2380"/>
      <c r="H147" s="2379"/>
      <c r="I147" s="2380"/>
      <c r="J147" s="2379"/>
      <c r="K147" s="2379"/>
      <c r="L147" s="2380"/>
      <c r="M147" s="2379"/>
      <c r="N147" s="2379"/>
      <c r="O147" s="2380"/>
      <c r="P147" s="2379"/>
      <c r="Q147" s="2379"/>
      <c r="R147" s="2381"/>
    </row>
    <row r="148" spans="2:18" s="2355" customFormat="1">
      <c r="B148" s="2379"/>
      <c r="C148" s="2379"/>
      <c r="D148" s="2379"/>
      <c r="E148" s="2379"/>
      <c r="F148" s="2379"/>
      <c r="G148" s="2380"/>
      <c r="H148" s="2379"/>
      <c r="I148" s="2380"/>
      <c r="J148" s="2379"/>
      <c r="K148" s="2379"/>
      <c r="L148" s="2380"/>
      <c r="M148" s="2379"/>
      <c r="N148" s="2379"/>
      <c r="O148" s="2380"/>
      <c r="P148" s="2379"/>
      <c r="Q148" s="2379"/>
      <c r="R148" s="2381"/>
    </row>
    <row r="149" spans="2:18" s="2355" customFormat="1">
      <c r="B149" s="2379"/>
      <c r="C149" s="2379"/>
      <c r="D149" s="2379"/>
      <c r="E149" s="2379"/>
      <c r="F149" s="2379"/>
      <c r="G149" s="2380"/>
      <c r="H149" s="2379"/>
      <c r="I149" s="2380"/>
      <c r="J149" s="2379"/>
      <c r="K149" s="2379"/>
      <c r="L149" s="2380"/>
      <c r="M149" s="2379"/>
      <c r="N149" s="2379"/>
      <c r="O149" s="2380"/>
      <c r="P149" s="2379"/>
      <c r="Q149" s="2379"/>
      <c r="R149" s="2381"/>
    </row>
    <row r="150" spans="2:18" s="2355" customFormat="1">
      <c r="B150" s="2379"/>
      <c r="C150" s="2379"/>
      <c r="D150" s="2379"/>
      <c r="E150" s="2379"/>
      <c r="F150" s="2379"/>
      <c r="G150" s="2380"/>
      <c r="H150" s="2379"/>
      <c r="I150" s="2380"/>
      <c r="J150" s="2379"/>
      <c r="K150" s="2379"/>
      <c r="L150" s="2380"/>
      <c r="M150" s="2379"/>
      <c r="N150" s="2379"/>
      <c r="O150" s="2380"/>
      <c r="P150" s="2379"/>
      <c r="Q150" s="2379"/>
      <c r="R150" s="2381"/>
    </row>
    <row r="151" spans="2:18" s="2355" customFormat="1">
      <c r="B151" s="2379"/>
      <c r="C151" s="2379"/>
      <c r="D151" s="2379"/>
      <c r="E151" s="2379"/>
      <c r="F151" s="2379"/>
      <c r="G151" s="2380"/>
      <c r="H151" s="2379"/>
      <c r="I151" s="2380"/>
      <c r="J151" s="2379"/>
      <c r="K151" s="2379"/>
      <c r="L151" s="2380"/>
      <c r="M151" s="2379"/>
      <c r="N151" s="2379"/>
      <c r="O151" s="2380"/>
      <c r="P151" s="2379"/>
      <c r="Q151" s="2379"/>
      <c r="R151" s="2381"/>
    </row>
    <row r="152" spans="2:18" s="2355" customFormat="1">
      <c r="B152" s="2379"/>
      <c r="C152" s="2379"/>
      <c r="D152" s="2379"/>
      <c r="E152" s="2379"/>
      <c r="F152" s="2379"/>
      <c r="G152" s="2380"/>
      <c r="H152" s="2379"/>
      <c r="I152" s="2380"/>
      <c r="J152" s="2379"/>
      <c r="K152" s="2379"/>
      <c r="L152" s="2380"/>
      <c r="M152" s="2379"/>
      <c r="N152" s="2379"/>
      <c r="O152" s="2380"/>
      <c r="P152" s="2379"/>
      <c r="Q152" s="2379"/>
      <c r="R152" s="2381"/>
    </row>
    <row r="153" spans="2:18" s="2355" customFormat="1">
      <c r="B153" s="2379"/>
      <c r="C153" s="2379"/>
      <c r="D153" s="2379"/>
      <c r="E153" s="2379"/>
      <c r="F153" s="2379"/>
      <c r="G153" s="2380"/>
      <c r="H153" s="2379"/>
      <c r="I153" s="2380"/>
      <c r="J153" s="2379"/>
      <c r="K153" s="2379"/>
      <c r="L153" s="2380"/>
      <c r="M153" s="2379"/>
      <c r="N153" s="2379"/>
      <c r="O153" s="2380"/>
      <c r="P153" s="2379"/>
      <c r="Q153" s="2379"/>
      <c r="R153" s="2381"/>
    </row>
    <row r="154" spans="2:18" s="2355" customFormat="1">
      <c r="B154" s="2379"/>
      <c r="C154" s="2379"/>
      <c r="D154" s="2379"/>
      <c r="E154" s="2379"/>
      <c r="F154" s="2379"/>
      <c r="G154" s="2380"/>
      <c r="H154" s="2379"/>
      <c r="I154" s="2380"/>
      <c r="J154" s="2379"/>
      <c r="K154" s="2379"/>
      <c r="L154" s="2380"/>
      <c r="M154" s="2379"/>
      <c r="N154" s="2379"/>
      <c r="O154" s="2380"/>
      <c r="P154" s="2379"/>
      <c r="Q154" s="2379"/>
      <c r="R154" s="2381"/>
    </row>
    <row r="155" spans="2:18" s="2355" customFormat="1">
      <c r="B155" s="2379"/>
      <c r="C155" s="2379"/>
      <c r="D155" s="2379"/>
      <c r="E155" s="2379"/>
      <c r="F155" s="2379"/>
      <c r="G155" s="2380"/>
      <c r="H155" s="2379"/>
      <c r="I155" s="2380"/>
      <c r="J155" s="2379"/>
      <c r="K155" s="2379"/>
      <c r="L155" s="2380"/>
      <c r="M155" s="2379"/>
      <c r="N155" s="2379"/>
      <c r="O155" s="2380"/>
      <c r="P155" s="2379"/>
      <c r="Q155" s="2379"/>
      <c r="R155" s="2381"/>
    </row>
    <row r="156" spans="2:18" s="2355" customFormat="1">
      <c r="B156" s="2379"/>
      <c r="C156" s="2379"/>
      <c r="D156" s="2379"/>
      <c r="E156" s="2379"/>
      <c r="F156" s="2379"/>
      <c r="G156" s="2380"/>
      <c r="H156" s="2379"/>
      <c r="I156" s="2380"/>
      <c r="J156" s="2379"/>
      <c r="K156" s="2379"/>
      <c r="L156" s="2380"/>
      <c r="M156" s="2379"/>
      <c r="N156" s="2379"/>
      <c r="O156" s="2380"/>
      <c r="P156" s="2379"/>
      <c r="Q156" s="2379"/>
      <c r="R156" s="2381"/>
    </row>
    <row r="157" spans="2:18" s="2355" customFormat="1">
      <c r="B157" s="2379"/>
      <c r="C157" s="2379"/>
      <c r="D157" s="2379"/>
      <c r="E157" s="2379"/>
      <c r="F157" s="2379"/>
      <c r="G157" s="2380"/>
      <c r="H157" s="2379"/>
      <c r="I157" s="2380"/>
      <c r="J157" s="2379"/>
      <c r="K157" s="2379"/>
      <c r="L157" s="2380"/>
      <c r="M157" s="2379"/>
      <c r="N157" s="2379"/>
      <c r="O157" s="2380"/>
      <c r="P157" s="2379"/>
      <c r="Q157" s="2379"/>
      <c r="R157" s="2381"/>
    </row>
    <row r="158" spans="2:18" s="2355" customFormat="1">
      <c r="B158" s="2379"/>
      <c r="C158" s="2379"/>
      <c r="D158" s="2379"/>
      <c r="E158" s="2379"/>
      <c r="F158" s="2379"/>
      <c r="G158" s="2380"/>
      <c r="H158" s="2379"/>
      <c r="I158" s="2380"/>
      <c r="J158" s="2379"/>
      <c r="K158" s="2379"/>
      <c r="L158" s="2380"/>
      <c r="M158" s="2379"/>
      <c r="N158" s="2379"/>
      <c r="O158" s="2380"/>
      <c r="P158" s="2379"/>
      <c r="Q158" s="2379"/>
      <c r="R158" s="2381"/>
    </row>
    <row r="159" spans="2:18" s="2355" customFormat="1">
      <c r="B159" s="2379"/>
      <c r="C159" s="2379"/>
      <c r="D159" s="2379"/>
      <c r="E159" s="2379"/>
      <c r="F159" s="2379"/>
      <c r="G159" s="2380"/>
      <c r="H159" s="2379"/>
      <c r="I159" s="2380"/>
      <c r="J159" s="2379"/>
      <c r="K159" s="2379"/>
      <c r="L159" s="2380"/>
      <c r="M159" s="2379"/>
      <c r="N159" s="2379"/>
      <c r="O159" s="2380"/>
      <c r="P159" s="2379"/>
      <c r="Q159" s="2379"/>
      <c r="R159" s="2381"/>
    </row>
    <row r="160" spans="2:18" s="2355" customFormat="1">
      <c r="B160" s="2379"/>
      <c r="C160" s="2379"/>
      <c r="D160" s="2379"/>
      <c r="E160" s="2379"/>
      <c r="F160" s="2379"/>
      <c r="G160" s="2380"/>
      <c r="H160" s="2379"/>
      <c r="I160" s="2380"/>
      <c r="J160" s="2379"/>
      <c r="K160" s="2379"/>
      <c r="L160" s="2380"/>
      <c r="M160" s="2379"/>
      <c r="N160" s="2379"/>
      <c r="O160" s="2380"/>
      <c r="P160" s="2379"/>
      <c r="Q160" s="2379"/>
      <c r="R160" s="2381"/>
    </row>
    <row r="161" spans="2:18" s="2355" customFormat="1">
      <c r="B161" s="2379"/>
      <c r="C161" s="2379"/>
      <c r="D161" s="2379"/>
      <c r="E161" s="2379"/>
      <c r="F161" s="2379"/>
      <c r="G161" s="2380"/>
      <c r="H161" s="2379"/>
      <c r="I161" s="2380"/>
      <c r="J161" s="2379"/>
      <c r="K161" s="2379"/>
      <c r="L161" s="2380"/>
      <c r="M161" s="2379"/>
      <c r="N161" s="2379"/>
      <c r="O161" s="2380"/>
      <c r="P161" s="2379"/>
      <c r="Q161" s="2379"/>
      <c r="R161" s="2381"/>
    </row>
    <row r="162" spans="2:18" s="2355" customFormat="1">
      <c r="B162" s="2379"/>
      <c r="C162" s="2379"/>
      <c r="D162" s="2379"/>
      <c r="E162" s="2379"/>
      <c r="F162" s="2379"/>
      <c r="G162" s="2380"/>
      <c r="H162" s="2379"/>
      <c r="I162" s="2380"/>
      <c r="J162" s="2379"/>
      <c r="K162" s="2379"/>
      <c r="L162" s="2380"/>
      <c r="M162" s="2379"/>
      <c r="N162" s="2379"/>
      <c r="O162" s="2380"/>
      <c r="P162" s="2379"/>
      <c r="Q162" s="2379"/>
      <c r="R162" s="2381"/>
    </row>
    <row r="163" spans="2:18" s="2355" customFormat="1">
      <c r="B163" s="2379"/>
      <c r="C163" s="2379"/>
      <c r="D163" s="2379"/>
      <c r="E163" s="2379"/>
      <c r="F163" s="2379"/>
      <c r="G163" s="2380"/>
      <c r="H163" s="2379"/>
      <c r="I163" s="2380"/>
      <c r="J163" s="2379"/>
      <c r="K163" s="2379"/>
      <c r="L163" s="2380"/>
      <c r="M163" s="2379"/>
      <c r="N163" s="2379"/>
      <c r="O163" s="2380"/>
      <c r="P163" s="2379"/>
      <c r="Q163" s="2379"/>
      <c r="R163" s="2381"/>
    </row>
    <row r="164" spans="2:18" s="2355" customFormat="1">
      <c r="B164" s="2379"/>
      <c r="C164" s="2379"/>
      <c r="D164" s="2379"/>
      <c r="E164" s="2379"/>
      <c r="F164" s="2379"/>
      <c r="G164" s="2380"/>
      <c r="H164" s="2379"/>
      <c r="I164" s="2380"/>
      <c r="J164" s="2379"/>
      <c r="K164" s="2379"/>
      <c r="L164" s="2380"/>
      <c r="M164" s="2379"/>
      <c r="N164" s="2379"/>
      <c r="O164" s="2380"/>
      <c r="P164" s="2379"/>
      <c r="Q164" s="2379"/>
      <c r="R164" s="2381"/>
    </row>
    <row r="165" spans="2:18" s="2355" customFormat="1">
      <c r="B165" s="2379"/>
      <c r="C165" s="2379"/>
      <c r="D165" s="2379"/>
      <c r="E165" s="2379"/>
      <c r="F165" s="2379"/>
      <c r="G165" s="2380"/>
      <c r="H165" s="2379"/>
      <c r="I165" s="2380"/>
      <c r="J165" s="2379"/>
      <c r="K165" s="2379"/>
      <c r="L165" s="2380"/>
      <c r="M165" s="2379"/>
      <c r="N165" s="2379"/>
      <c r="O165" s="2380"/>
      <c r="P165" s="2379"/>
      <c r="Q165" s="2379"/>
      <c r="R165" s="2381"/>
    </row>
    <row r="166" spans="2:18" s="2355" customFormat="1">
      <c r="B166" s="2379"/>
      <c r="C166" s="2379"/>
      <c r="D166" s="2379"/>
      <c r="E166" s="2379"/>
      <c r="F166" s="2379"/>
      <c r="G166" s="2380"/>
      <c r="H166" s="2379"/>
      <c r="I166" s="2380"/>
      <c r="J166" s="2379"/>
      <c r="K166" s="2379"/>
      <c r="L166" s="2380"/>
      <c r="M166" s="2379"/>
      <c r="N166" s="2379"/>
      <c r="O166" s="2380"/>
      <c r="P166" s="2379"/>
      <c r="Q166" s="2379"/>
      <c r="R166" s="2381"/>
    </row>
    <row r="167" spans="2:18" s="2355" customFormat="1">
      <c r="B167" s="2379"/>
      <c r="C167" s="2379"/>
      <c r="D167" s="2379"/>
      <c r="E167" s="2379"/>
      <c r="F167" s="2379"/>
      <c r="G167" s="2380"/>
      <c r="H167" s="2379"/>
      <c r="I167" s="2380"/>
      <c r="J167" s="2379"/>
      <c r="K167" s="2379"/>
      <c r="L167" s="2380"/>
      <c r="M167" s="2379"/>
      <c r="N167" s="2379"/>
      <c r="O167" s="2380"/>
      <c r="P167" s="2379"/>
      <c r="Q167" s="2379"/>
      <c r="R167" s="2381"/>
    </row>
    <row r="168" spans="2:18" s="2355" customFormat="1">
      <c r="B168" s="2379"/>
      <c r="C168" s="2379"/>
      <c r="D168" s="2379"/>
      <c r="E168" s="2379"/>
      <c r="F168" s="2379"/>
      <c r="G168" s="2380"/>
      <c r="H168" s="2379"/>
      <c r="I168" s="2380"/>
      <c r="J168" s="2379"/>
      <c r="K168" s="2379"/>
      <c r="L168" s="2380"/>
      <c r="M168" s="2379"/>
      <c r="N168" s="2379"/>
      <c r="O168" s="2380"/>
      <c r="P168" s="2379"/>
      <c r="Q168" s="2379"/>
      <c r="R168" s="2381"/>
    </row>
    <row r="169" spans="2:18" s="2355" customFormat="1">
      <c r="B169" s="2379"/>
      <c r="C169" s="2379"/>
      <c r="D169" s="2379"/>
      <c r="E169" s="2379"/>
      <c r="F169" s="2379"/>
      <c r="G169" s="2380"/>
      <c r="H169" s="2379"/>
      <c r="I169" s="2380"/>
      <c r="J169" s="2379"/>
      <c r="K169" s="2379"/>
      <c r="L169" s="2380"/>
      <c r="M169" s="2379"/>
      <c r="N169" s="2379"/>
      <c r="O169" s="2380"/>
      <c r="P169" s="2379"/>
      <c r="Q169" s="2379"/>
      <c r="R169" s="2381"/>
    </row>
    <row r="170" spans="2:18" s="2355" customFormat="1">
      <c r="B170" s="2379"/>
      <c r="C170" s="2379"/>
      <c r="D170" s="2379"/>
      <c r="E170" s="2379"/>
      <c r="F170" s="2379"/>
      <c r="G170" s="2380"/>
      <c r="H170" s="2379"/>
      <c r="I170" s="2380"/>
      <c r="J170" s="2379"/>
      <c r="K170" s="2379"/>
      <c r="L170" s="2380"/>
      <c r="M170" s="2379"/>
      <c r="N170" s="2379"/>
      <c r="O170" s="2380"/>
      <c r="P170" s="2379"/>
      <c r="Q170" s="2379"/>
      <c r="R170" s="2381"/>
    </row>
    <row r="171" spans="2:18" s="2355" customFormat="1">
      <c r="B171" s="2379"/>
      <c r="C171" s="2379"/>
      <c r="D171" s="2379"/>
      <c r="E171" s="2379"/>
      <c r="F171" s="2379"/>
      <c r="G171" s="2380"/>
      <c r="H171" s="2379"/>
      <c r="I171" s="2380"/>
      <c r="J171" s="2379"/>
      <c r="K171" s="2379"/>
      <c r="L171" s="2380"/>
      <c r="M171" s="2379"/>
      <c r="N171" s="2379"/>
      <c r="O171" s="2380"/>
      <c r="P171" s="2379"/>
      <c r="Q171" s="2379"/>
      <c r="R171" s="2381"/>
    </row>
    <row r="172" spans="2:18" s="2355" customFormat="1">
      <c r="B172" s="2379"/>
      <c r="C172" s="2379"/>
      <c r="D172" s="2379"/>
      <c r="E172" s="2379"/>
      <c r="F172" s="2379"/>
      <c r="G172" s="2380"/>
      <c r="H172" s="2379"/>
      <c r="I172" s="2380"/>
      <c r="J172" s="2379"/>
      <c r="K172" s="2379"/>
      <c r="L172" s="2380"/>
      <c r="M172" s="2379"/>
      <c r="N172" s="2379"/>
      <c r="O172" s="2380"/>
      <c r="P172" s="2379"/>
      <c r="Q172" s="2379"/>
      <c r="R172" s="2381"/>
    </row>
    <row r="173" spans="2:18" s="2355" customFormat="1">
      <c r="B173" s="2379"/>
      <c r="C173" s="2379"/>
      <c r="D173" s="2379"/>
      <c r="E173" s="2379"/>
      <c r="F173" s="2379"/>
      <c r="G173" s="2380"/>
      <c r="H173" s="2379"/>
      <c r="I173" s="2380"/>
      <c r="J173" s="2379"/>
      <c r="K173" s="2379"/>
      <c r="L173" s="2380"/>
      <c r="M173" s="2379"/>
      <c r="N173" s="2379"/>
      <c r="O173" s="2380"/>
      <c r="P173" s="2379"/>
      <c r="Q173" s="2379"/>
      <c r="R173" s="2381"/>
    </row>
    <row r="174" spans="2:18" s="2355" customFormat="1">
      <c r="B174" s="2379"/>
      <c r="C174" s="2379"/>
      <c r="D174" s="2379"/>
      <c r="E174" s="2379"/>
      <c r="F174" s="2379"/>
      <c r="G174" s="2380"/>
      <c r="H174" s="2379"/>
      <c r="I174" s="2380"/>
      <c r="J174" s="2379"/>
      <c r="K174" s="2379"/>
      <c r="L174" s="2380"/>
      <c r="M174" s="2379"/>
      <c r="N174" s="2379"/>
      <c r="O174" s="2380"/>
      <c r="P174" s="2379"/>
      <c r="Q174" s="2379"/>
      <c r="R174" s="2381"/>
    </row>
    <row r="175" spans="2:18" s="2355" customFormat="1">
      <c r="B175" s="2379"/>
      <c r="C175" s="2379"/>
      <c r="D175" s="2379"/>
      <c r="E175" s="2379"/>
      <c r="F175" s="2379"/>
      <c r="G175" s="2380"/>
      <c r="H175" s="2379"/>
      <c r="I175" s="2380"/>
      <c r="J175" s="2379"/>
      <c r="K175" s="2379"/>
      <c r="L175" s="2380"/>
      <c r="M175" s="2379"/>
      <c r="N175" s="2379"/>
      <c r="O175" s="2380"/>
      <c r="P175" s="2379"/>
      <c r="Q175" s="2379"/>
      <c r="R175" s="2381"/>
    </row>
    <row r="176" spans="2:18" s="2355" customFormat="1">
      <c r="B176" s="2379"/>
      <c r="C176" s="2379"/>
      <c r="D176" s="2379"/>
      <c r="E176" s="2379"/>
      <c r="F176" s="2379"/>
      <c r="G176" s="2380"/>
      <c r="H176" s="2379"/>
      <c r="I176" s="2380"/>
      <c r="J176" s="2379"/>
      <c r="K176" s="2379"/>
      <c r="L176" s="2380"/>
      <c r="M176" s="2379"/>
      <c r="N176" s="2379"/>
      <c r="O176" s="2380"/>
      <c r="P176" s="2379"/>
      <c r="Q176" s="2379"/>
      <c r="R176" s="2381"/>
    </row>
    <row r="177" spans="1:18" s="2355" customFormat="1">
      <c r="B177" s="2379"/>
      <c r="C177" s="2379"/>
      <c r="D177" s="2379"/>
      <c r="E177" s="2379"/>
      <c r="F177" s="2379"/>
      <c r="G177" s="2380"/>
      <c r="H177" s="2379"/>
      <c r="I177" s="2380"/>
      <c r="J177" s="2379"/>
      <c r="K177" s="2379"/>
      <c r="L177" s="2380"/>
      <c r="M177" s="2379"/>
      <c r="N177" s="2379"/>
      <c r="O177" s="2380"/>
      <c r="P177" s="2379"/>
      <c r="Q177" s="2379"/>
      <c r="R177" s="2381"/>
    </row>
    <row r="178" spans="1:18" s="2355" customFormat="1">
      <c r="B178" s="2379"/>
      <c r="C178" s="2379"/>
      <c r="D178" s="2379"/>
      <c r="E178" s="2379"/>
      <c r="F178" s="2379"/>
      <c r="G178" s="2380"/>
      <c r="H178" s="2379"/>
      <c r="I178" s="2380"/>
      <c r="J178" s="2379"/>
      <c r="K178" s="2379"/>
      <c r="L178" s="2380"/>
      <c r="M178" s="2379"/>
      <c r="N178" s="2379"/>
      <c r="O178" s="2380"/>
      <c r="P178" s="2379"/>
      <c r="Q178" s="2379"/>
      <c r="R178" s="2381"/>
    </row>
    <row r="179" spans="1:18" s="2355" customFormat="1">
      <c r="B179" s="2379"/>
      <c r="C179" s="2379"/>
      <c r="D179" s="2379"/>
      <c r="E179" s="2379"/>
      <c r="F179" s="2379"/>
      <c r="G179" s="2380"/>
      <c r="H179" s="2379"/>
      <c r="I179" s="2380"/>
      <c r="J179" s="2379"/>
      <c r="K179" s="2379"/>
      <c r="L179" s="2380"/>
      <c r="M179" s="2379"/>
      <c r="N179" s="2379"/>
      <c r="O179" s="2380"/>
      <c r="P179" s="2379"/>
      <c r="Q179" s="2379"/>
      <c r="R179" s="2381"/>
    </row>
    <row r="180" spans="1:18" s="2355" customFormat="1">
      <c r="B180" s="2379"/>
      <c r="C180" s="2379"/>
      <c r="D180" s="2379"/>
      <c r="E180" s="2379"/>
      <c r="F180" s="2379"/>
      <c r="G180" s="2380"/>
      <c r="H180" s="2379"/>
      <c r="I180" s="2380"/>
      <c r="J180" s="2379"/>
      <c r="K180" s="2379"/>
      <c r="L180" s="2380"/>
      <c r="M180" s="2379"/>
      <c r="N180" s="2379"/>
      <c r="O180" s="2380"/>
      <c r="P180" s="2379"/>
      <c r="Q180" s="2379"/>
      <c r="R180" s="2381"/>
    </row>
    <row r="181" spans="1:18" s="2355" customFormat="1">
      <c r="B181" s="2379"/>
      <c r="C181" s="2379"/>
      <c r="D181" s="2379"/>
      <c r="E181" s="2379"/>
      <c r="F181" s="2379"/>
      <c r="G181" s="2380"/>
      <c r="H181" s="2379"/>
      <c r="I181" s="2380"/>
      <c r="J181" s="2379"/>
      <c r="K181" s="2379"/>
      <c r="L181" s="2380"/>
      <c r="M181" s="2379"/>
      <c r="N181" s="2379"/>
      <c r="O181" s="2380"/>
      <c r="P181" s="2379"/>
      <c r="Q181" s="2379"/>
      <c r="R181" s="2381"/>
    </row>
    <row r="182" spans="1:18" s="2355" customFormat="1">
      <c r="B182" s="2379"/>
      <c r="C182" s="2379"/>
      <c r="D182" s="2379"/>
      <c r="E182" s="2379"/>
      <c r="F182" s="2379"/>
      <c r="G182" s="2380"/>
      <c r="H182" s="2379"/>
      <c r="I182" s="2380"/>
      <c r="J182" s="2379"/>
      <c r="K182" s="2379"/>
      <c r="L182" s="2380"/>
      <c r="M182" s="2379"/>
      <c r="N182" s="2379"/>
      <c r="O182" s="2380"/>
      <c r="P182" s="2379"/>
      <c r="Q182" s="2379"/>
      <c r="R182" s="2381"/>
    </row>
    <row r="183" spans="1:18" s="2355" customFormat="1">
      <c r="B183" s="2379"/>
      <c r="C183" s="2379"/>
      <c r="D183" s="2379"/>
      <c r="E183" s="2379"/>
      <c r="F183" s="2379"/>
      <c r="G183" s="2380"/>
      <c r="H183" s="2379"/>
      <c r="I183" s="2380"/>
      <c r="J183" s="2379"/>
      <c r="K183" s="2379"/>
      <c r="L183" s="2380"/>
      <c r="M183" s="2379"/>
      <c r="N183" s="2379"/>
      <c r="O183" s="2380"/>
      <c r="P183" s="2379"/>
      <c r="Q183" s="2379"/>
      <c r="R183" s="2381"/>
    </row>
    <row r="184" spans="1:18" s="2355" customFormat="1">
      <c r="B184" s="2379"/>
      <c r="C184" s="2379"/>
      <c r="D184" s="2379"/>
      <c r="E184" s="2379"/>
      <c r="F184" s="2379"/>
      <c r="G184" s="2380"/>
      <c r="H184" s="2379"/>
      <c r="I184" s="2380"/>
      <c r="J184" s="2379"/>
      <c r="K184" s="2379"/>
      <c r="L184" s="2380"/>
      <c r="M184" s="2379"/>
      <c r="N184" s="2379"/>
      <c r="O184" s="2380"/>
      <c r="P184" s="2379"/>
      <c r="Q184" s="2379"/>
      <c r="R184" s="2381"/>
    </row>
    <row r="185" spans="1:18" s="2355"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5"/>
      <c r="B186" s="2379"/>
      <c r="C186" s="2379"/>
      <c r="E186" s="2379"/>
      <c r="F186" s="2379"/>
      <c r="G186" s="2380"/>
    </row>
    <row r="187" spans="1:18">
      <c r="A187" s="2355"/>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6" sqref="B6"/>
    </sheetView>
  </sheetViews>
  <sheetFormatPr defaultRowHeight="13.5"/>
  <cols>
    <col min="1" max="1" width="23.375" style="1732" customWidth="1"/>
    <col min="2" max="9" width="15.75" style="1732" customWidth="1"/>
    <col min="10" max="16384" width="9" style="1732"/>
  </cols>
  <sheetData>
    <row r="1" spans="1:10" ht="16.5">
      <c r="A1" s="1737" t="s">
        <v>1365</v>
      </c>
      <c r="B1" s="1737">
        <f>SUM(B14:B23)</f>
        <v>137217.5</v>
      </c>
      <c r="C1" s="1736"/>
      <c r="D1" s="1736"/>
      <c r="E1" s="1736"/>
      <c r="F1" s="1736"/>
      <c r="G1" s="1734"/>
    </row>
    <row r="2" spans="1:10" ht="16.5">
      <c r="A2" s="1737" t="s">
        <v>1353</v>
      </c>
      <c r="B2" s="1737">
        <f>SUM(C14:C23)</f>
        <v>109172.76000000001</v>
      </c>
      <c r="C2" s="1736"/>
      <c r="D2" s="1736"/>
      <c r="E2" s="1736"/>
      <c r="F2" s="1736"/>
      <c r="G2" s="1734"/>
    </row>
    <row r="3" spans="1:10" ht="16.5">
      <c r="A3" s="1737" t="s">
        <v>1362</v>
      </c>
      <c r="B3" s="1738">
        <f>项目基本情况!D3</f>
        <v>43207</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32125</v>
      </c>
      <c r="C5" s="1737">
        <f ca="1">ROUND(B5*10000/$B$1,0)</f>
        <v>2341</v>
      </c>
      <c r="D5" s="1737">
        <f ca="1">ROUND(B5*10000/$B$2,0)</f>
        <v>2943</v>
      </c>
      <c r="E5" s="1736"/>
      <c r="F5" s="1734"/>
      <c r="G5" s="1734"/>
    </row>
    <row r="6" spans="1:10" ht="16.5">
      <c r="A6" s="1737" t="s">
        <v>1356</v>
      </c>
      <c r="B6" s="1737">
        <f ca="1">SUM(G14:G23)</f>
        <v>32125</v>
      </c>
      <c r="C6" s="1737">
        <f ca="1">ROUND(B6*10000/$B$1,0)</f>
        <v>2341</v>
      </c>
      <c r="D6" s="1737">
        <f ca="1">ROUND(B6*10000/$B$2,0)</f>
        <v>2943</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64165.63</v>
      </c>
      <c r="C14" s="1735">
        <f>结果表!C118</f>
        <v>51051.35</v>
      </c>
      <c r="D14" s="1735">
        <f ca="1">结果表!H118</f>
        <v>13233</v>
      </c>
      <c r="E14" s="1735">
        <f ca="1">ROUND(D14*10000/B14,0)</f>
        <v>2062</v>
      </c>
      <c r="F14" s="1735">
        <f ca="1">ROUND(D14*10000/C14,0)</f>
        <v>2592</v>
      </c>
      <c r="G14" s="1735">
        <f ca="1">结果表!D122</f>
        <v>13233</v>
      </c>
      <c r="H14" s="1735" t="str">
        <f>结果表!D124</f>
        <v>——</v>
      </c>
      <c r="I14" s="1735" t="str">
        <f>结果表!D126</f>
        <v>——</v>
      </c>
      <c r="J14" s="1734"/>
    </row>
    <row r="15" spans="1:10" ht="16.5">
      <c r="A15" s="1733" t="s">
        <v>1349</v>
      </c>
      <c r="B15" s="1740">
        <f>[3]典型户型修正!$B$22</f>
        <v>3361.5600000000004</v>
      </c>
      <c r="C15" s="1740">
        <f>'[3]数据-基础表'!$E$15+'[3]数据-基础表'!$E$20</f>
        <v>2674.52</v>
      </c>
      <c r="D15" s="1740">
        <f>[3]典型户型修正!$B$20</f>
        <v>2492</v>
      </c>
      <c r="E15" s="1735">
        <f t="shared" ref="E15:E23" si="0">ROUND(D15*10000/B15,0)</f>
        <v>7413</v>
      </c>
      <c r="F15" s="1735">
        <f t="shared" ref="F15:F23" si="1">ROUND(D15*10000/C15,0)</f>
        <v>9318</v>
      </c>
      <c r="G15" s="1741">
        <f>D15</f>
        <v>2492</v>
      </c>
      <c r="H15" s="1741"/>
      <c r="I15" s="1740"/>
      <c r="J15" s="1734"/>
    </row>
    <row r="16" spans="1:10" ht="16.5">
      <c r="A16" s="1733" t="s">
        <v>1348</v>
      </c>
      <c r="B16" s="1740">
        <f>[4]典型户型修正!$B$22</f>
        <v>3614.68</v>
      </c>
      <c r="C16" s="1740">
        <f>'[4]数据-基础表'!$E$13+'[4]数据-基础表'!$E$14</f>
        <v>2875.91</v>
      </c>
      <c r="D16" s="1740">
        <f>[4]典型户型修正!$B$20</f>
        <v>3667</v>
      </c>
      <c r="E16" s="1735">
        <f t="shared" si="0"/>
        <v>10145</v>
      </c>
      <c r="F16" s="1735">
        <f t="shared" si="1"/>
        <v>12751</v>
      </c>
      <c r="G16" s="1741">
        <f>D16</f>
        <v>3667</v>
      </c>
      <c r="H16" s="1741"/>
      <c r="I16" s="1740"/>
    </row>
    <row r="17" spans="1:9" ht="16.5">
      <c r="A17" s="1733" t="s">
        <v>1347</v>
      </c>
      <c r="B17" s="1740">
        <f>[5]系统读取表!$B$14</f>
        <v>66075.62999999999</v>
      </c>
      <c r="C17" s="1740">
        <f>[5]系统读取表!$C$14</f>
        <v>52570.98</v>
      </c>
      <c r="D17" s="1740">
        <f ca="1">[5]系统读取表!$D$14</f>
        <v>12733</v>
      </c>
      <c r="E17" s="1735">
        <f t="shared" ca="1" si="0"/>
        <v>1927</v>
      </c>
      <c r="F17" s="1735">
        <f t="shared" ca="1" si="1"/>
        <v>2422</v>
      </c>
      <c r="G17" s="1741">
        <f ca="1">D17</f>
        <v>12733</v>
      </c>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08"/>
    <col min="3" max="4" width="12.625" style="2408" customWidth="1"/>
    <col min="5" max="9" width="12.625" style="2408"/>
    <col min="10" max="11" width="12.625" style="790" customWidth="1"/>
    <col min="12" max="12" width="12.625" style="790"/>
    <col min="13" max="13" width="14.125" style="790" bestFit="1" customWidth="1"/>
    <col min="14" max="26" width="12.625" style="790"/>
    <col min="27" max="35" width="12.625" style="2407"/>
    <col min="36" max="16384" width="12.625" style="2408"/>
  </cols>
  <sheetData>
    <row r="1" spans="1:12" ht="21.75" customHeight="1" thickBot="1">
      <c r="A1" s="2213" t="s">
        <v>2107</v>
      </c>
      <c r="B1" s="2402"/>
      <c r="C1" s="2403"/>
      <c r="D1" s="2402"/>
      <c r="E1" s="2402"/>
      <c r="F1" s="2404" t="s">
        <v>2108</v>
      </c>
      <c r="G1" s="2060" t="s">
        <v>3033</v>
      </c>
      <c r="H1" s="2405" t="str">
        <f>IF(G1="现房","——","估价对象范围")</f>
        <v>——</v>
      </c>
      <c r="I1" s="2406" t="s">
        <v>3123</v>
      </c>
    </row>
    <row r="2" spans="1:12" ht="21.75" customHeight="1" thickBot="1">
      <c r="A2" s="3199" t="str">
        <f>项目基本情况!S2</f>
        <v>山东省滨州市盛华路588号房地产</v>
      </c>
      <c r="B2" s="3200"/>
      <c r="C2" s="3200"/>
      <c r="D2" s="3200"/>
      <c r="E2" s="3200"/>
      <c r="F2" s="3200"/>
      <c r="G2" s="3200"/>
      <c r="H2" s="3200"/>
      <c r="I2" s="3201"/>
    </row>
    <row r="3" spans="1:12" ht="12.75">
      <c r="A3" s="3203" t="s">
        <v>2109</v>
      </c>
      <c r="B3" s="3204"/>
      <c r="C3" s="3204"/>
      <c r="D3" s="3204"/>
      <c r="E3" s="3204"/>
      <c r="F3" s="3204"/>
      <c r="G3" s="3204"/>
      <c r="H3" s="3204"/>
      <c r="I3" s="3204"/>
    </row>
    <row r="4" spans="1:12" ht="14.25">
      <c r="A4" s="2409" t="s">
        <v>2110</v>
      </c>
      <c r="B4" s="2410" t="s">
        <v>2111</v>
      </c>
      <c r="C4" s="2411" t="s">
        <v>3536</v>
      </c>
      <c r="D4" s="2411" t="s">
        <v>3535</v>
      </c>
      <c r="E4" s="3196" t="s">
        <v>2112</v>
      </c>
      <c r="F4" s="3197"/>
      <c r="G4" s="3197"/>
      <c r="H4" s="3197"/>
      <c r="I4" s="3205"/>
      <c r="K4" s="2412" t="str">
        <f>IF(ISNUMBER(FIND("比较法",结果表!C4)),"比较法",IF(ISNUMBER(FIND("成本法",结果表!C4)),"成本法",IF(ISNUMBER(FIND("假设开发法",结果表!C4)),"假设开发法",IF(ISNUMBER(FIND("收益法",结果表!C4)),"收益法","基准地价系数修正法"))))</f>
        <v>比较法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2113</v>
      </c>
      <c r="B5" s="3117">
        <v>25</v>
      </c>
      <c r="C5" s="3182"/>
      <c r="D5" s="3202"/>
      <c r="E5" s="138" t="s">
        <v>2114</v>
      </c>
      <c r="F5" s="2413"/>
      <c r="G5" s="2413"/>
      <c r="H5" s="2413"/>
      <c r="I5" s="1825"/>
    </row>
    <row r="6" spans="1:12" ht="12.75">
      <c r="A6" s="3179"/>
      <c r="B6" s="3117"/>
      <c r="C6" s="3183"/>
      <c r="D6" s="3202"/>
      <c r="E6" s="138" t="s">
        <v>2115</v>
      </c>
      <c r="F6" s="2413"/>
      <c r="G6" s="2413"/>
      <c r="H6" s="2413"/>
      <c r="I6" s="1825"/>
    </row>
    <row r="7" spans="1:12" ht="12.75">
      <c r="A7" s="3179"/>
      <c r="B7" s="3117"/>
      <c r="C7" s="3184"/>
      <c r="D7" s="3202"/>
      <c r="E7" s="138" t="s">
        <v>2116</v>
      </c>
      <c r="F7" s="2413"/>
      <c r="G7" s="2413"/>
      <c r="H7" s="2413"/>
      <c r="I7" s="1825"/>
    </row>
    <row r="8" spans="1:12" ht="12.75">
      <c r="A8" s="3179" t="s">
        <v>2117</v>
      </c>
      <c r="B8" s="3117">
        <v>15</v>
      </c>
      <c r="C8" s="3182"/>
      <c r="D8" s="3202"/>
      <c r="E8" s="138" t="s">
        <v>2118</v>
      </c>
      <c r="F8" s="2413"/>
      <c r="G8" s="2413"/>
      <c r="H8" s="2413"/>
      <c r="I8" s="1825"/>
    </row>
    <row r="9" spans="1:12" ht="12.75">
      <c r="A9" s="3179"/>
      <c r="B9" s="3117"/>
      <c r="C9" s="3184"/>
      <c r="D9" s="3202"/>
      <c r="E9" s="138" t="s">
        <v>2119</v>
      </c>
      <c r="F9" s="2413"/>
      <c r="G9" s="2413"/>
      <c r="H9" s="2413"/>
      <c r="I9" s="1825"/>
    </row>
    <row r="10" spans="1:12" ht="12.75">
      <c r="A10" s="3179" t="s">
        <v>2120</v>
      </c>
      <c r="B10" s="3117">
        <v>15</v>
      </c>
      <c r="C10" s="3182"/>
      <c r="D10" s="3202"/>
      <c r="E10" s="138" t="s">
        <v>2121</v>
      </c>
      <c r="F10" s="2413"/>
      <c r="G10" s="2413"/>
      <c r="H10" s="2413"/>
      <c r="I10" s="1825"/>
    </row>
    <row r="11" spans="1:12" ht="12.75">
      <c r="A11" s="3179"/>
      <c r="B11" s="3117"/>
      <c r="C11" s="3184"/>
      <c r="D11" s="3202"/>
      <c r="E11" s="138" t="s">
        <v>2122</v>
      </c>
      <c r="F11" s="2413"/>
      <c r="G11" s="2413"/>
      <c r="H11" s="2413"/>
      <c r="I11" s="1825"/>
    </row>
    <row r="12" spans="1:12" ht="12.75">
      <c r="A12" s="3179" t="s">
        <v>2123</v>
      </c>
      <c r="B12" s="3117">
        <v>15</v>
      </c>
      <c r="C12" s="3182"/>
      <c r="D12" s="3202"/>
      <c r="E12" s="138" t="s">
        <v>2124</v>
      </c>
      <c r="F12" s="2413"/>
      <c r="G12" s="2413"/>
      <c r="H12" s="2413"/>
      <c r="I12" s="1825"/>
    </row>
    <row r="13" spans="1:12" ht="12.75">
      <c r="A13" s="3179"/>
      <c r="B13" s="3117"/>
      <c r="C13" s="3184"/>
      <c r="D13" s="3202"/>
      <c r="E13" s="138" t="s">
        <v>2125</v>
      </c>
      <c r="F13" s="2413"/>
      <c r="G13" s="2413"/>
      <c r="H13" s="2413"/>
      <c r="I13" s="1825"/>
    </row>
    <row r="14" spans="1:12" ht="12.75">
      <c r="A14" s="3179" t="s">
        <v>2126</v>
      </c>
      <c r="B14" s="3117">
        <v>30</v>
      </c>
      <c r="C14" s="3182">
        <v>5</v>
      </c>
      <c r="D14" s="3202">
        <v>5</v>
      </c>
      <c r="E14" s="138" t="s">
        <v>2127</v>
      </c>
      <c r="F14" s="2413"/>
      <c r="G14" s="2413"/>
      <c r="H14" s="2413"/>
      <c r="I14" s="1825"/>
    </row>
    <row r="15" spans="1:12" ht="12.75">
      <c r="A15" s="3179"/>
      <c r="B15" s="3117"/>
      <c r="C15" s="3183"/>
      <c r="D15" s="3202"/>
      <c r="E15" s="138" t="s">
        <v>2128</v>
      </c>
      <c r="F15" s="2413"/>
      <c r="G15" s="2413"/>
      <c r="H15" s="2413"/>
      <c r="I15" s="1825"/>
    </row>
    <row r="16" spans="1:12" ht="12.75">
      <c r="A16" s="3179"/>
      <c r="B16" s="3117"/>
      <c r="C16" s="3184"/>
      <c r="D16" s="3202"/>
      <c r="E16" s="138" t="s">
        <v>2129</v>
      </c>
      <c r="F16" s="2413"/>
      <c r="G16" s="2413"/>
      <c r="H16" s="2413"/>
      <c r="I16" s="1825"/>
    </row>
    <row r="17" spans="1:35" ht="15">
      <c r="A17" s="2414" t="s">
        <v>2130</v>
      </c>
      <c r="B17" s="64"/>
      <c r="C17" s="139">
        <f>SUM(C5:C16)</f>
        <v>5</v>
      </c>
      <c r="D17" s="139">
        <f>SUM(D5:D16)</f>
        <v>5</v>
      </c>
      <c r="E17" s="136"/>
      <c r="F17" s="136"/>
      <c r="G17" s="136"/>
      <c r="H17" s="136"/>
      <c r="I17" s="136"/>
      <c r="K17" s="2412"/>
      <c r="L17" s="2415" t="s">
        <v>2131</v>
      </c>
      <c r="M17" s="2415" t="s">
        <v>2132</v>
      </c>
    </row>
    <row r="18" spans="1:35" ht="15.75" thickBot="1">
      <c r="A18" s="2416" t="s">
        <v>2133</v>
      </c>
      <c r="B18" s="2417"/>
      <c r="C18" s="140">
        <f>ROUND(C17/SUM(C17:D17),2)</f>
        <v>0.5</v>
      </c>
      <c r="D18" s="140">
        <f>1-C18</f>
        <v>0.5</v>
      </c>
      <c r="E18" s="136"/>
      <c r="F18" s="136"/>
      <c r="G18" s="136"/>
      <c r="H18" s="136"/>
      <c r="I18" s="136"/>
      <c r="K18" s="2412" t="s">
        <v>2134</v>
      </c>
      <c r="L18" s="2412">
        <f>IF(C1="",'数据-汇总表'!E3,SUMIF(项目类型,C1,'数据-汇总表'!E17:E26)+SUMIF(项目类型,C1,'数据-汇总表'!I17:I26))</f>
        <v>64165.63</v>
      </c>
      <c r="M18" s="2412">
        <f>IF(C1="",'数据-汇总表'!E3,SUMIF(项目类型,C1,'数据-汇总表'!E17:E26))</f>
        <v>64165.63</v>
      </c>
    </row>
    <row r="19" spans="1:35" ht="15">
      <c r="A19" s="2418" t="s">
        <v>2135</v>
      </c>
      <c r="B19" s="2419" t="s">
        <v>2136</v>
      </c>
      <c r="C19" s="141">
        <f ca="1">SUMIF(INDIRECT("'"&amp;C4&amp;"'"&amp;"!A:A"),结果表!B19,INDIRECT("'"&amp;C4&amp;"'"&amp;"!B:B"))</f>
        <v>12675</v>
      </c>
      <c r="D19" s="142">
        <f ca="1">SUMIF(INDIRECT("'"&amp;D4&amp;"'"&amp;"!A:A"),结果表!B19,INDIRECT("'"&amp;D4&amp;"'"&amp;"!B:B"))</f>
        <v>13791</v>
      </c>
      <c r="E19" s="2418" t="s">
        <v>2137</v>
      </c>
      <c r="F19" s="2419" t="s">
        <v>2136</v>
      </c>
      <c r="G19" s="143">
        <f ca="1">ROUND(C19*$C$18+D19*$D$18,0)</f>
        <v>13233</v>
      </c>
      <c r="H19" s="2420" t="s">
        <v>2138</v>
      </c>
      <c r="I19" s="136"/>
      <c r="K19" s="2412" t="s">
        <v>2139</v>
      </c>
      <c r="L19" s="2412">
        <f>IF(C1="",'数据-汇总表'!D3,SUMIF(项目类型,C1,'数据-汇总表'!D17:D26)+SUMIF(项目类型,C1,'数据-汇总表'!H17:H27))</f>
        <v>51051.35</v>
      </c>
      <c r="M19" s="2412">
        <f>IF(C1="",'数据-汇总表'!D3,SUMIF(项目类型,C1,'数据-汇总表'!D17:D26))</f>
        <v>51051.35</v>
      </c>
    </row>
    <row r="20" spans="1:35" ht="15">
      <c r="A20" s="2421"/>
      <c r="B20" s="1242" t="s">
        <v>2140</v>
      </c>
      <c r="C20" s="144">
        <f ca="1">SUMIF(INDIRECT("'"&amp;C4&amp;"'"&amp;"!A:A"),结果表!B20,INDIRECT("'"&amp;C4&amp;"'"&amp;"!B:B"))</f>
        <v>1975</v>
      </c>
      <c r="D20" s="145">
        <f ca="1">SUMIF(INDIRECT("'"&amp;D4&amp;"'"&amp;"!A:A"),结果表!B20,INDIRECT("'"&amp;D4&amp;"'"&amp;"!B:B"))</f>
        <v>2149</v>
      </c>
      <c r="E20" s="2421"/>
      <c r="F20" s="1242" t="s">
        <v>2140</v>
      </c>
      <c r="G20" s="146">
        <f ca="1">ROUND(C20*$C$18+D20*$D$18,0)</f>
        <v>2062</v>
      </c>
      <c r="H20" s="977" t="s">
        <v>2141</v>
      </c>
      <c r="I20" s="136"/>
    </row>
    <row r="21" spans="1:35" ht="15" customHeight="1" thickBot="1">
      <c r="A21" s="997"/>
      <c r="B21" s="2422" t="s">
        <v>2142</v>
      </c>
      <c r="C21" s="784">
        <f ca="1">ROUND(C19*10000/L19,0)</f>
        <v>2483</v>
      </c>
      <c r="D21" s="785">
        <f ca="1">ROUND(D19*10000/L19,0)</f>
        <v>2701</v>
      </c>
      <c r="E21" s="997"/>
      <c r="F21" s="2422" t="s">
        <v>2142</v>
      </c>
      <c r="G21" s="147">
        <f ca="1">ROUND(G19*10000/L19,0)</f>
        <v>2592</v>
      </c>
      <c r="H21" s="2423" t="s">
        <v>2141</v>
      </c>
      <c r="I21" s="136"/>
    </row>
    <row r="22" spans="1:35" ht="15" thickBot="1">
      <c r="A22" s="2268" t="s">
        <v>2143</v>
      </c>
      <c r="B22" s="2424"/>
      <c r="C22" s="2425"/>
      <c r="D22" s="786">
        <f ca="1">IF(C19&lt;D19,D19/C19-1,C19/D19-1)</f>
        <v>8.8047337278106541E-2</v>
      </c>
      <c r="E22" s="136"/>
      <c r="F22" s="136"/>
      <c r="G22" s="136">
        <f ca="1">G19/'数据-汇总表'!F27</f>
        <v>0.26914875528107568</v>
      </c>
      <c r="H22" s="136"/>
      <c r="I22" s="136"/>
    </row>
    <row r="23" spans="1:35" ht="13.5" thickBot="1">
      <c r="A23" s="2402"/>
      <c r="B23" s="2402"/>
      <c r="C23" s="2402"/>
      <c r="D23" s="2402"/>
      <c r="E23" s="136"/>
      <c r="F23" s="136"/>
      <c r="G23" s="136"/>
      <c r="H23" s="136"/>
      <c r="I23" s="136"/>
    </row>
    <row r="24" spans="1:35" ht="14.25">
      <c r="A24" s="3173" t="s">
        <v>2144</v>
      </c>
      <c r="B24" s="2419" t="s">
        <v>2136</v>
      </c>
      <c r="C24" s="143">
        <f>IF(B30=0,0,D30)</f>
        <v>0</v>
      </c>
      <c r="D24" s="2426"/>
      <c r="E24" s="136"/>
      <c r="F24" s="136"/>
      <c r="G24" s="136"/>
      <c r="H24" s="136"/>
      <c r="I24" s="136"/>
    </row>
    <row r="25" spans="1:35" ht="14.25">
      <c r="A25" s="3174"/>
      <c r="B25" s="1242" t="s">
        <v>2140</v>
      </c>
      <c r="C25" s="148">
        <f>IF(B30=0,0,C30)</f>
        <v>0</v>
      </c>
      <c r="D25" s="2427"/>
      <c r="E25" s="136"/>
      <c r="F25" s="136"/>
      <c r="G25" s="136"/>
      <c r="H25" s="136"/>
      <c r="I25" s="136"/>
    </row>
    <row r="26" spans="1:35" ht="13.5" customHeight="1">
      <c r="A26" s="2428" t="s">
        <v>2145</v>
      </c>
      <c r="B26" s="149" t="s">
        <v>2146</v>
      </c>
      <c r="C26" s="149" t="s">
        <v>2147</v>
      </c>
      <c r="D26" s="150" t="s">
        <v>2148</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2149</v>
      </c>
      <c r="B30" s="149"/>
      <c r="C30" s="149"/>
      <c r="D30" s="149"/>
      <c r="E30" s="2910" t="s">
        <v>3018</v>
      </c>
      <c r="F30" s="136"/>
      <c r="G30" s="136"/>
      <c r="H30" s="136"/>
      <c r="I30" s="136"/>
    </row>
    <row r="31" spans="1:35" s="2430" customFormat="1" ht="15" thickBot="1">
      <c r="A31" s="2429"/>
      <c r="B31" s="2429"/>
      <c r="C31" s="2429"/>
      <c r="D31" s="2429"/>
      <c r="E31" s="136"/>
      <c r="F31" s="136"/>
      <c r="G31" s="136"/>
      <c r="H31" s="136"/>
      <c r="I31" s="136"/>
      <c r="J31" s="790"/>
      <c r="K31" s="790"/>
      <c r="L31" s="790"/>
      <c r="M31" s="790"/>
      <c r="N31" s="790"/>
      <c r="O31" s="790"/>
      <c r="P31" s="790"/>
      <c r="Q31" s="790"/>
      <c r="R31" s="790"/>
      <c r="S31" s="790"/>
      <c r="T31" s="790"/>
      <c r="U31" s="790"/>
      <c r="V31" s="790"/>
      <c r="W31" s="790"/>
      <c r="X31" s="790"/>
      <c r="Y31" s="790"/>
      <c r="Z31" s="790"/>
      <c r="AA31" s="2407"/>
      <c r="AB31" s="2407"/>
      <c r="AC31" s="2407"/>
      <c r="AD31" s="2407"/>
      <c r="AE31" s="2407"/>
      <c r="AF31" s="2407"/>
      <c r="AG31" s="2407"/>
      <c r="AH31" s="2407"/>
      <c r="AI31" s="2407"/>
    </row>
    <row r="32" spans="1:35" ht="15.75" thickBot="1">
      <c r="A32" s="2431" t="s">
        <v>2150</v>
      </c>
      <c r="B32" s="2432"/>
      <c r="C32" s="151">
        <f ca="1">IF(D32="总价",G19-C24,G20-C25)</f>
        <v>13233</v>
      </c>
      <c r="D32" s="2433" t="s">
        <v>2151</v>
      </c>
      <c r="E32" s="136"/>
      <c r="F32" s="136"/>
      <c r="G32" s="136"/>
      <c r="H32" s="136"/>
      <c r="I32" s="136"/>
    </row>
    <row r="33" spans="1:15" ht="15">
      <c r="A33" s="954" t="s">
        <v>2152</v>
      </c>
      <c r="B33" s="2434"/>
      <c r="C33" s="2435" t="s">
        <v>3443</v>
      </c>
      <c r="D33" s="2436" t="s">
        <v>3442</v>
      </c>
      <c r="E33" s="2437" t="s">
        <v>2153</v>
      </c>
      <c r="F33" s="2438" t="str">
        <f>IF(D32="楼面单价","取值（单价）","取值（总价）")</f>
        <v>取值（总价）</v>
      </c>
      <c r="G33" s="136"/>
      <c r="H33" s="136"/>
      <c r="I33" s="136"/>
    </row>
    <row r="34" spans="1:15" ht="15">
      <c r="A34" s="2439"/>
      <c r="B34" s="2440" t="s">
        <v>2154</v>
      </c>
      <c r="C34" s="155">
        <f ca="1">IF(C33="自定义",F34,C32-C35)</f>
        <v>5783</v>
      </c>
      <c r="D34" s="1052">
        <f ca="1">IF(C33="自定义",ROUND(C34/C32,3),IF(C33="收益比率",SUMIF(INDIRECT("'"&amp;D33&amp;"'"&amp;"!b:b"),"土地收益比率",INDIRECT("'"&amp;D33&amp;"'"&amp;"!c:c")),SUMIF(INDIRECT("'"&amp;D33&amp;"'"&amp;"!b:b"),"土地成本比率",INDIRECT("'"&amp;D33&amp;"'"&amp;"!c:c"))))</f>
        <v>0.43700000000000006</v>
      </c>
      <c r="E34" s="2441" t="s">
        <v>2155</v>
      </c>
      <c r="F34" s="1730"/>
      <c r="G34" s="136"/>
      <c r="H34" s="136"/>
      <c r="I34" s="136"/>
    </row>
    <row r="35" spans="1:15" ht="15.75" thickBot="1">
      <c r="A35" s="2442"/>
      <c r="B35" s="2443" t="s">
        <v>2156</v>
      </c>
      <c r="C35" s="1436">
        <f ca="1">IF(C33="自定义",F35,ROUND(C32*D35,0))</f>
        <v>7450</v>
      </c>
      <c r="D35" s="1437">
        <f ca="1">IF(C33="自定义",ROUND(C35/C32,3),IF(C33="收益比率",SUMIF(INDIRECT("'"&amp;D33&amp;"'"&amp;"!b:b"),"建筑物收益比率",INDIRECT("'"&amp;D33&amp;"'"&amp;"!c:c")),SUMIF(INDIRECT("'"&amp;D33&amp;"'"&amp;"!b:b"),"建筑物成本比率",INDIRECT("'"&amp;D33&amp;"'"&amp;"!c:c"))))</f>
        <v>0.56299999999999994</v>
      </c>
      <c r="E35" s="2444" t="s">
        <v>2157</v>
      </c>
      <c r="F35" s="161"/>
      <c r="G35" s="136"/>
      <c r="H35" s="136"/>
      <c r="I35" s="136"/>
    </row>
    <row r="36" spans="1:15" ht="15.75" thickBot="1">
      <c r="A36" s="3191" t="s">
        <v>2158</v>
      </c>
      <c r="B36" s="2445" t="s">
        <v>2159</v>
      </c>
      <c r="C36" s="152"/>
      <c r="D36" s="2446"/>
      <c r="E36" s="2447"/>
      <c r="F36" s="2448"/>
      <c r="G36" s="136"/>
      <c r="H36" s="136"/>
      <c r="I36" s="136"/>
    </row>
    <row r="37" spans="1:15" ht="15.75" thickBot="1">
      <c r="A37" s="3192"/>
      <c r="B37" s="2254" t="s">
        <v>2160</v>
      </c>
      <c r="C37" s="154"/>
      <c r="D37" s="1387"/>
      <c r="E37" s="1387"/>
      <c r="F37" s="2448"/>
      <c r="G37" s="136"/>
      <c r="H37" s="136"/>
      <c r="I37" s="136"/>
    </row>
    <row r="38" spans="1:15" ht="15.75" thickBot="1">
      <c r="A38" s="3193"/>
      <c r="B38" s="2449" t="s">
        <v>2161</v>
      </c>
      <c r="C38" s="722"/>
      <c r="D38" s="2450" t="s">
        <v>2162</v>
      </c>
      <c r="E38" s="1387"/>
      <c r="F38" s="2448"/>
      <c r="G38" s="136"/>
      <c r="H38" s="136"/>
      <c r="I38" s="136"/>
    </row>
    <row r="39" spans="1:15" ht="15">
      <c r="A39" s="2421" t="s">
        <v>2163</v>
      </c>
      <c r="B39" s="2451" t="s">
        <v>2164</v>
      </c>
      <c r="C39" s="2452" t="s">
        <v>2165</v>
      </c>
      <c r="D39" s="2452" t="s">
        <v>2166</v>
      </c>
      <c r="E39" s="2453" t="s">
        <v>2167</v>
      </c>
      <c r="F39" s="2448"/>
      <c r="G39" s="136"/>
      <c r="H39" s="136"/>
      <c r="I39" s="136"/>
    </row>
    <row r="40" spans="1:15" ht="14.25">
      <c r="A40" s="2454" t="s">
        <v>2168</v>
      </c>
      <c r="B40" s="156"/>
      <c r="C40" s="157"/>
      <c r="D40" s="157"/>
      <c r="E40" s="158"/>
      <c r="F40" s="2448"/>
      <c r="G40" s="136"/>
      <c r="H40" s="136"/>
      <c r="I40" s="136"/>
    </row>
    <row r="41" spans="1:15" ht="14.25">
      <c r="A41" s="2454" t="s">
        <v>2169</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3"/>
      <c r="B43" s="2153"/>
      <c r="C43" s="2153"/>
      <c r="D43" s="2153"/>
      <c r="E43" s="2153"/>
      <c r="F43" s="2456"/>
      <c r="G43" s="2456"/>
      <c r="H43" s="2456"/>
      <c r="I43" s="2457"/>
    </row>
    <row r="44" spans="1:15" ht="18.75">
      <c r="A44" s="2458" t="s">
        <v>2170</v>
      </c>
      <c r="B44" s="2459"/>
      <c r="C44" s="2459"/>
      <c r="D44" s="2460"/>
      <c r="E44" s="2460"/>
      <c r="F44" s="2461"/>
      <c r="G44" s="2461"/>
      <c r="H44" s="2461"/>
      <c r="I44" s="2461"/>
      <c r="J44" s="2462" t="s">
        <v>2171</v>
      </c>
      <c r="K44" s="2463"/>
      <c r="L44" s="2463"/>
      <c r="M44" s="2463"/>
      <c r="N44" s="2463"/>
      <c r="O44" s="2463"/>
    </row>
    <row r="45" spans="1:15" ht="14.25" customHeight="1" thickBot="1">
      <c r="A45" s="3170" t="s">
        <v>2172</v>
      </c>
      <c r="B45" s="3171"/>
      <c r="C45" s="3172"/>
      <c r="D45" s="162">
        <f ca="1">ROUND(H101*F45,0)</f>
        <v>13233</v>
      </c>
      <c r="E45" s="163" t="s">
        <v>2173</v>
      </c>
      <c r="F45" s="164">
        <v>1</v>
      </c>
      <c r="G45" s="165" t="s">
        <v>2174</v>
      </c>
      <c r="H45" s="136"/>
      <c r="I45" s="136"/>
      <c r="J45" s="3230" t="s">
        <v>2175</v>
      </c>
      <c r="K45" s="3230"/>
      <c r="L45" s="3230"/>
      <c r="M45" s="3230"/>
      <c r="N45" s="3230"/>
      <c r="O45" s="3230"/>
    </row>
    <row r="46" spans="1:15" ht="14.25" customHeight="1">
      <c r="A46" s="3167" t="s">
        <v>2176</v>
      </c>
      <c r="B46" s="3168"/>
      <c r="C46" s="3168"/>
      <c r="D46" s="3168"/>
      <c r="E46" s="3168"/>
      <c r="F46" s="3168"/>
      <c r="G46" s="3169"/>
      <c r="H46" s="2464"/>
      <c r="I46" s="166"/>
      <c r="J46" s="1803">
        <v>1</v>
      </c>
      <c r="K46" s="3230" t="s">
        <v>2177</v>
      </c>
      <c r="L46" s="3230"/>
      <c r="M46" s="3250"/>
      <c r="N46" s="3250"/>
      <c r="O46" s="3250"/>
    </row>
    <row r="47" spans="1:15" ht="12" customHeight="1">
      <c r="A47" s="167" t="s">
        <v>2178</v>
      </c>
      <c r="B47" s="168"/>
      <c r="C47" s="169"/>
      <c r="D47" s="170" t="s">
        <v>2179</v>
      </c>
      <c r="E47" s="24" t="s">
        <v>2180</v>
      </c>
      <c r="F47" s="171" t="s">
        <v>2181</v>
      </c>
      <c r="G47" s="172" t="s">
        <v>2182</v>
      </c>
      <c r="H47" s="2464"/>
      <c r="I47" s="166"/>
      <c r="J47" s="1803">
        <v>2</v>
      </c>
      <c r="K47" s="3230" t="s">
        <v>2183</v>
      </c>
      <c r="L47" s="3230"/>
      <c r="M47" s="3251">
        <f>'数据-取费表'!B2</f>
        <v>43207</v>
      </c>
      <c r="N47" s="3251"/>
      <c r="O47" s="3251"/>
    </row>
    <row r="48" spans="1:15" ht="25.5">
      <c r="A48" s="3198" t="s">
        <v>2184</v>
      </c>
      <c r="B48" s="3181"/>
      <c r="C48" s="3181"/>
      <c r="D48" s="138">
        <f>IF(H48="情况1",0,IF(H48="情况2",D52,IF(H48="情况3",D53,IF(H48="情况4",D54))))</f>
        <v>0</v>
      </c>
      <c r="E48" s="1792" t="str">
        <f>IF(H48="情况4","(销售额-原购置价)×税（费）率","销售额×税（费）率")</f>
        <v>销售额×税（费）率</v>
      </c>
      <c r="F48" s="173" t="str">
        <f>IF(H48="情况1","免征",'数据-取费表'!B41)</f>
        <v>免征</v>
      </c>
      <c r="G48" s="2465" t="s">
        <v>2185</v>
      </c>
      <c r="H48" s="2466" t="s">
        <v>2186</v>
      </c>
      <c r="I48" s="2464"/>
      <c r="J48" s="1803">
        <v>3</v>
      </c>
      <c r="K48" s="3230" t="s">
        <v>2187</v>
      </c>
      <c r="L48" s="3230"/>
      <c r="M48" s="3252">
        <f ca="1">H101</f>
        <v>13233</v>
      </c>
      <c r="N48" s="3252"/>
      <c r="O48" s="3252"/>
    </row>
    <row r="49" spans="1:35" ht="25.5" customHeight="1">
      <c r="A49" s="174" t="s">
        <v>2188</v>
      </c>
      <c r="B49" s="3166" t="s">
        <v>2189</v>
      </c>
      <c r="C49" s="3166"/>
      <c r="D49" s="175">
        <v>0</v>
      </c>
      <c r="E49" s="23" t="s">
        <v>2190</v>
      </c>
      <c r="F49" s="28" t="s">
        <v>34</v>
      </c>
      <c r="G49" s="3236"/>
      <c r="H49" s="136"/>
      <c r="I49" s="2467"/>
      <c r="J49" s="1803">
        <v>4</v>
      </c>
      <c r="K49" s="3230" t="str">
        <f>IF(项目基本情况!E8="房地产抵押价值","房地产抵押价值","抵押担保权已注销时的房地产抵押价值")</f>
        <v>房地产抵押价值</v>
      </c>
      <c r="L49" s="3230"/>
      <c r="M49" s="3252">
        <f ca="1">IF(项目基本情况!E8="房地产抵押价值",H107,H109)</f>
        <v>13233</v>
      </c>
      <c r="N49" s="3252"/>
      <c r="O49" s="3252"/>
    </row>
    <row r="50" spans="1:35" ht="25.5" customHeight="1">
      <c r="A50" s="176"/>
      <c r="B50" s="3166" t="s">
        <v>2191</v>
      </c>
      <c r="C50" s="3166"/>
      <c r="D50" s="177"/>
      <c r="E50" s="31"/>
      <c r="F50" s="178"/>
      <c r="G50" s="3237"/>
      <c r="H50" s="136"/>
      <c r="I50" s="2467"/>
      <c r="J50" s="3230" t="s">
        <v>2192</v>
      </c>
      <c r="K50" s="3230"/>
      <c r="L50" s="3230"/>
      <c r="M50" s="3230"/>
      <c r="N50" s="3230"/>
      <c r="O50" s="3230"/>
    </row>
    <row r="51" spans="1:35" ht="12" customHeight="1">
      <c r="A51" s="179"/>
      <c r="B51" s="3166" t="s">
        <v>2193</v>
      </c>
      <c r="C51" s="3166"/>
      <c r="D51" s="180"/>
      <c r="E51" s="30"/>
      <c r="F51" s="178"/>
      <c r="G51" s="3238"/>
      <c r="H51" s="136"/>
      <c r="I51" s="2467"/>
      <c r="J51" s="2468" t="s">
        <v>2194</v>
      </c>
      <c r="K51" s="3230" t="s">
        <v>2195</v>
      </c>
      <c r="L51" s="3230"/>
      <c r="M51" s="2468" t="s">
        <v>2196</v>
      </c>
      <c r="N51" s="2468" t="s">
        <v>2197</v>
      </c>
      <c r="O51" s="2468" t="s">
        <v>2198</v>
      </c>
    </row>
    <row r="52" spans="1:35" ht="24" customHeight="1">
      <c r="A52" s="181" t="s">
        <v>2199</v>
      </c>
      <c r="B52" s="3166" t="s">
        <v>2200</v>
      </c>
      <c r="C52" s="3166"/>
      <c r="D52" s="180">
        <f ca="1">ROUND(D45*'数据-取费表'!B41/(1+'数据-取费表'!C42),0)</f>
        <v>706</v>
      </c>
      <c r="E52" s="11" t="s">
        <v>2201</v>
      </c>
      <c r="F52" s="182">
        <f>'数据-取费表'!B41</f>
        <v>5.6000000000000001E-2</v>
      </c>
      <c r="G52" s="2469"/>
      <c r="H52" s="136"/>
      <c r="I52" s="2467"/>
      <c r="J52" s="1803">
        <v>1</v>
      </c>
      <c r="K52" s="3231" t="s">
        <v>2202</v>
      </c>
      <c r="L52" s="3231"/>
      <c r="M52" s="1745">
        <f>D48</f>
        <v>0</v>
      </c>
      <c r="N52" s="1803" t="str">
        <f>E48</f>
        <v>销售额×税（费）率</v>
      </c>
      <c r="O52" s="1746" t="str">
        <f>F48</f>
        <v>免征</v>
      </c>
    </row>
    <row r="53" spans="1:35" ht="12" customHeight="1">
      <c r="A53" s="181" t="s">
        <v>2203</v>
      </c>
      <c r="B53" s="3189" t="s">
        <v>2204</v>
      </c>
      <c r="C53" s="3190"/>
      <c r="D53" s="180">
        <f ca="1">ROUND(D45*'数据-取费表'!B41/(1+'数据-取费表'!C42),0)</f>
        <v>706</v>
      </c>
      <c r="E53" s="11" t="s">
        <v>2201</v>
      </c>
      <c r="F53" s="182">
        <f>'数据-取费表'!B41</f>
        <v>5.6000000000000001E-2</v>
      </c>
      <c r="G53" s="2469"/>
      <c r="H53" s="136"/>
      <c r="I53" s="2467"/>
      <c r="J53" s="1803">
        <v>2</v>
      </c>
      <c r="K53" s="3231" t="s">
        <v>2205</v>
      </c>
      <c r="L53" s="3231"/>
      <c r="M53" s="1745">
        <f t="shared" ref="M53:O54" ca="1" si="0">D55</f>
        <v>7</v>
      </c>
      <c r="N53" s="1803" t="str">
        <f t="shared" si="0"/>
        <v>销售额×税（费）率</v>
      </c>
      <c r="O53" s="1746">
        <f t="shared" si="0"/>
        <v>5.0000000000000001E-4</v>
      </c>
    </row>
    <row r="54" spans="1:35" ht="12" customHeight="1">
      <c r="A54" s="181" t="s">
        <v>2206</v>
      </c>
      <c r="B54" s="3189" t="s">
        <v>2207</v>
      </c>
      <c r="C54" s="3190"/>
      <c r="D54" s="180">
        <f ca="1">C68</f>
        <v>706</v>
      </c>
      <c r="E54" s="30" t="s">
        <v>2208</v>
      </c>
      <c r="F54" s="182">
        <f>'数据-取费表'!B41</f>
        <v>5.6000000000000001E-2</v>
      </c>
      <c r="G54" s="2469"/>
      <c r="H54" s="2470"/>
      <c r="I54" s="2467"/>
      <c r="J54" s="1803">
        <v>3</v>
      </c>
      <c r="K54" s="3231" t="s">
        <v>2209</v>
      </c>
      <c r="L54" s="3231"/>
      <c r="M54" s="1745">
        <f t="shared" ca="1" si="0"/>
        <v>7490</v>
      </c>
      <c r="N54" s="1803" t="str">
        <f t="shared" si="0"/>
        <v>增值额×税（费）率</v>
      </c>
      <c r="O54" s="1747" t="str">
        <f t="shared" si="0"/>
        <v>——</v>
      </c>
    </row>
    <row r="55" spans="1:35" ht="24" customHeight="1">
      <c r="A55" s="3180" t="s">
        <v>2210</v>
      </c>
      <c r="B55" s="3181"/>
      <c r="C55" s="3181"/>
      <c r="D55" s="183">
        <f ca="1">IF(H55="个人住宅",0,ROUND(D45*I55,0))</f>
        <v>7</v>
      </c>
      <c r="E55" s="11" t="s">
        <v>2211</v>
      </c>
      <c r="F55" s="182">
        <f>IF(H55="正常",I55,"免征")</f>
        <v>5.0000000000000001E-4</v>
      </c>
      <c r="G55" s="2469"/>
      <c r="H55" s="2466" t="s">
        <v>2212</v>
      </c>
      <c r="I55" s="184">
        <f>'数据-取费表'!B49</f>
        <v>5.0000000000000001E-4</v>
      </c>
      <c r="J55" s="1803" t="str">
        <f>IF(H59="非个人房产","",4)</f>
        <v/>
      </c>
      <c r="K55" s="3231" t="str">
        <f>IF(H59="非个人房产","——","个人所得税")</f>
        <v>——</v>
      </c>
      <c r="L55" s="3231"/>
      <c r="M55" s="1748" t="str">
        <f>D59</f>
        <v>——</v>
      </c>
      <c r="N55" s="1801" t="str">
        <f>E59</f>
        <v>——</v>
      </c>
      <c r="O55" s="1749" t="str">
        <f>F59</f>
        <v>——</v>
      </c>
    </row>
    <row r="56" spans="1:35" ht="24.75">
      <c r="A56" s="3180" t="s">
        <v>2213</v>
      </c>
      <c r="B56" s="3181"/>
      <c r="C56" s="3181"/>
      <c r="D56" s="183">
        <f ca="1">IF(H56="个人住宅",D57,D58)</f>
        <v>7490</v>
      </c>
      <c r="E56" s="11" t="s">
        <v>2214</v>
      </c>
      <c r="F56" s="182" t="str">
        <f>IF(H56="正常",F58,"免征")</f>
        <v>——</v>
      </c>
      <c r="G56" s="2471" t="s">
        <v>2215</v>
      </c>
      <c r="H56" s="2472" t="s">
        <v>2212</v>
      </c>
      <c r="I56" s="2473"/>
      <c r="J56" s="1803" t="str">
        <f>IF(项目基本情况!K6="上海银行",IF(J55="",4,J55+1),"")</f>
        <v/>
      </c>
      <c r="K56" s="3254" t="str">
        <f>IF(项目基本情况!K6="上海银行","其他处置费用","")</f>
        <v/>
      </c>
      <c r="L56" s="3255"/>
      <c r="M56" s="1745" t="str">
        <f>IF(项目基本情况!K6="上海银行",M69,"")</f>
        <v/>
      </c>
      <c r="N56" s="3257" t="str">
        <f>IF(项目基本情况!K6="上海银行","包含处置中涉及的律师、诉讼、拍卖、评估等费用","")</f>
        <v/>
      </c>
      <c r="O56" s="3258"/>
    </row>
    <row r="57" spans="1:35" ht="12.75">
      <c r="A57" s="181" t="s">
        <v>2188</v>
      </c>
      <c r="B57" s="3196" t="s">
        <v>2216</v>
      </c>
      <c r="C57" s="3205"/>
      <c r="D57" s="185">
        <v>0</v>
      </c>
      <c r="E57" s="23" t="s">
        <v>2190</v>
      </c>
      <c r="F57" s="153"/>
      <c r="G57" s="2469"/>
      <c r="H57" s="2473"/>
      <c r="I57" s="2473"/>
      <c r="J57" s="3231">
        <f>IF(AND(J55="",J56=""),4,IF(项目基本情况!K6="上海银行",结果表!J56+1,结果表!J55+1))</f>
        <v>4</v>
      </c>
      <c r="K57" s="3231" t="s">
        <v>2217</v>
      </c>
      <c r="L57" s="2474" t="s">
        <v>2218</v>
      </c>
      <c r="M57" s="1750"/>
      <c r="N57" s="1751">
        <f ca="1">SUMIF(M52:M56,"&lt;9e307")</f>
        <v>7497</v>
      </c>
      <c r="O57" s="2475"/>
      <c r="P57" s="1744">
        <f ca="1">N57/M49</f>
        <v>0.56653819995465882</v>
      </c>
    </row>
    <row r="58" spans="1:35" ht="24.75">
      <c r="A58" s="181" t="s">
        <v>2199</v>
      </c>
      <c r="B58" s="3196" t="s">
        <v>2219</v>
      </c>
      <c r="C58" s="3197"/>
      <c r="D58" s="183">
        <f ca="1">IF(H58="转让取得",C81,C97)</f>
        <v>7490</v>
      </c>
      <c r="E58" s="11" t="s">
        <v>2214</v>
      </c>
      <c r="F58" s="24" t="s">
        <v>34</v>
      </c>
      <c r="G58" s="2469"/>
      <c r="H58" s="2472" t="s">
        <v>2220</v>
      </c>
      <c r="I58" s="2473"/>
      <c r="J58" s="3231"/>
      <c r="K58" s="3231"/>
      <c r="L58" s="2474" t="s">
        <v>2221</v>
      </c>
      <c r="M58" s="1752"/>
      <c r="N58" s="2476" t="str">
        <f ca="1">NUMBERSTRING(INT(N57*10000),2)&amp;"元整"</f>
        <v>柒仟肆佰玖拾柒万元整</v>
      </c>
      <c r="O58" s="2477"/>
    </row>
    <row r="59" spans="1:35" ht="24.75" thickBot="1">
      <c r="A59" s="3234" t="s">
        <v>2222</v>
      </c>
      <c r="B59" s="3235"/>
      <c r="C59" s="3235"/>
      <c r="D59" s="186" t="str">
        <f>IF(H59="非个人房产","——",IF(H59="个人住宅",0,ROUND(D45*I59,0)))</f>
        <v>——</v>
      </c>
      <c r="E59" s="187" t="str">
        <f>IF(H59="非个人房产","——","销售额×税（费）率")</f>
        <v>——</v>
      </c>
      <c r="F59" s="188" t="str">
        <f>IF(H59="非个人房产","——",IF(H59="个人住宅","免征",I59))</f>
        <v>——</v>
      </c>
      <c r="G59" s="2478" t="s">
        <v>2215</v>
      </c>
      <c r="H59" s="2472" t="s">
        <v>2223</v>
      </c>
      <c r="I59" s="189">
        <v>0.01</v>
      </c>
      <c r="J59" s="3232">
        <f>J57+1</f>
        <v>5</v>
      </c>
      <c r="K59" s="3231" t="s">
        <v>2224</v>
      </c>
      <c r="L59" s="1803" t="s">
        <v>2218</v>
      </c>
      <c r="M59" s="1753"/>
      <c r="N59" s="1754">
        <f ca="1">M49-N57</f>
        <v>5736</v>
      </c>
      <c r="O59" s="2479"/>
    </row>
    <row r="60" spans="1:35" ht="12" customHeight="1">
      <c r="A60" s="2480"/>
      <c r="B60" s="2402"/>
      <c r="C60" s="2402"/>
      <c r="D60" s="2402"/>
      <c r="E60" s="2154"/>
      <c r="F60" s="2473"/>
      <c r="G60" s="2473"/>
      <c r="H60" s="2481"/>
      <c r="I60" s="136"/>
      <c r="J60" s="3233"/>
      <c r="K60" s="3231"/>
      <c r="L60" s="2474" t="s">
        <v>2221</v>
      </c>
      <c r="M60" s="1752"/>
      <c r="N60" s="2476" t="str">
        <f ca="1">NUMBERSTRING(INT(N59*10000),2)&amp;"元整"</f>
        <v>伍仟柒佰叁拾陆万元整</v>
      </c>
      <c r="O60" s="2477"/>
    </row>
    <row r="61" spans="1:35" ht="13.5" thickBot="1">
      <c r="A61" s="3178" t="s">
        <v>2225</v>
      </c>
      <c r="B61" s="3178"/>
      <c r="C61" s="3178"/>
      <c r="D61" s="3178"/>
      <c r="E61" s="3178"/>
      <c r="F61" s="2473"/>
      <c r="G61" s="2473"/>
      <c r="H61" s="2481"/>
      <c r="I61" s="136"/>
      <c r="J61" s="1803">
        <f>J59+1</f>
        <v>6</v>
      </c>
      <c r="K61" s="3231" t="s">
        <v>2226</v>
      </c>
      <c r="L61" s="3231"/>
      <c r="M61" s="1755"/>
      <c r="N61" s="1756">
        <f ca="1">ROUND(N59*10000/'数据-汇总表'!E3,0)</f>
        <v>894</v>
      </c>
      <c r="O61" s="2482"/>
    </row>
    <row r="62" spans="1:35" ht="12.75">
      <c r="A62" s="3194" t="s">
        <v>2227</v>
      </c>
      <c r="B62" s="3195"/>
      <c r="C62" s="1795"/>
      <c r="D62" s="1795" t="s">
        <v>2228</v>
      </c>
      <c r="E62" s="190" t="s">
        <v>2229</v>
      </c>
      <c r="F62" s="2473"/>
      <c r="G62" s="2473"/>
      <c r="H62" s="2481"/>
      <c r="I62" s="136"/>
    </row>
    <row r="63" spans="1:35" ht="12.75">
      <c r="A63" s="201" t="s">
        <v>775</v>
      </c>
      <c r="B63" s="191" t="s">
        <v>2230</v>
      </c>
      <c r="C63" s="192">
        <f ca="1">ROUND((C64+C65)/(1+'数据-取费表'!C42),0)</f>
        <v>12603</v>
      </c>
      <c r="D63" s="193"/>
      <c r="E63" s="194"/>
      <c r="F63" s="2473"/>
      <c r="G63" s="2473"/>
      <c r="H63" s="2481"/>
      <c r="I63" s="136"/>
      <c r="J63" s="3256" t="s">
        <v>2231</v>
      </c>
      <c r="K63" s="2483" t="s">
        <v>2232</v>
      </c>
      <c r="L63" s="1743">
        <f ca="1">IF(M49&gt;10000,M49*0.5%,IF(AND(M49&gt;1000,M49&lt;=10000),M49*1%,IF(AND(M49&gt;100,M49&lt;=1000),M49*3%,IF(AND(M49&gt;10,M49&lt;=100),M49*5%,M49*8%))))</f>
        <v>66.165000000000006</v>
      </c>
      <c r="M63" s="24">
        <f ca="1">ROUND(L63,1)</f>
        <v>66.2</v>
      </c>
      <c r="Z63" s="2407"/>
      <c r="AI63" s="2408"/>
    </row>
    <row r="64" spans="1:35" ht="14.25" customHeight="1">
      <c r="A64" s="195" t="s">
        <v>770</v>
      </c>
      <c r="B64" s="196" t="s">
        <v>2233</v>
      </c>
      <c r="C64" s="197">
        <f ca="1">D45</f>
        <v>13233</v>
      </c>
      <c r="D64" s="198" t="s">
        <v>32</v>
      </c>
      <c r="E64" s="199"/>
      <c r="F64" s="2473"/>
      <c r="G64" s="2473"/>
      <c r="H64" s="2481"/>
      <c r="I64" s="136"/>
      <c r="J64" s="3256"/>
      <c r="K64" s="2483" t="s">
        <v>2234</v>
      </c>
      <c r="L64" s="1743">
        <f ca="1">IF(M49&gt;2000,M49*0.5%,IF(AND(M49&gt;1000,M49&lt;=2000),M49*0.6%,IF(AND(M49&gt;500,M49&lt;=1000),M49*0.7%,IF(AND(M49&gt;200,M49&lt;=500),M49*0.8%,IF(AND(M49&gt;100,M49&lt;=200),M49*0.9%,IF(AND(M49&gt;50,M49&lt;=100),M49*1%,IF(AND(M49&gt;20,M49&lt;=50),M49*1.5%,IF(AND(M49&gt;10,M49&lt;=20),M49*2%,IF(AND(M49&gt;1,M49&lt;=10),M49*2.5%)))))))))</f>
        <v>66.165000000000006</v>
      </c>
      <c r="M64" s="24">
        <f t="shared" ref="M64:M65" ca="1" si="1">ROUND(L64,1)</f>
        <v>66.2</v>
      </c>
      <c r="N64" s="136" t="s">
        <v>2235</v>
      </c>
      <c r="Z64" s="2407"/>
      <c r="AI64" s="2408"/>
    </row>
    <row r="65" spans="1:35" ht="14.25" customHeight="1">
      <c r="A65" s="195" t="s">
        <v>771</v>
      </c>
      <c r="B65" s="196" t="s">
        <v>2236</v>
      </c>
      <c r="C65" s="200"/>
      <c r="D65" s="198"/>
      <c r="E65" s="199"/>
      <c r="F65" s="2473"/>
      <c r="G65" s="2473"/>
      <c r="H65" s="2481"/>
      <c r="I65" s="136"/>
      <c r="J65" s="3256"/>
      <c r="K65" s="2483" t="s">
        <v>2237</v>
      </c>
      <c r="L65" s="1743">
        <f ca="1">IF(M49&gt;1000,M49*0.1%,IF(AND(M49&gt;500,M49&lt;=1000),M49*0.5%,IF(AND(M49&gt;50,M49&lt;=500),M49*1%,IF(AND(M49&gt;1,M49&lt;=50),M49*1.5%))))</f>
        <v>13.233000000000001</v>
      </c>
      <c r="M65" s="24">
        <f t="shared" ca="1" si="1"/>
        <v>13.2</v>
      </c>
      <c r="N65" s="136" t="s">
        <v>2235</v>
      </c>
      <c r="Z65" s="2407"/>
      <c r="AI65" s="2408"/>
    </row>
    <row r="66" spans="1:35" ht="14.25" customHeight="1">
      <c r="A66" s="201" t="s">
        <v>772</v>
      </c>
      <c r="B66" s="202" t="s">
        <v>2238</v>
      </c>
      <c r="C66" s="203"/>
      <c r="D66" s="204" t="s">
        <v>32</v>
      </c>
      <c r="E66" s="1767" t="s">
        <v>1371</v>
      </c>
      <c r="F66" s="2473"/>
      <c r="G66" s="2473"/>
      <c r="H66" s="2481"/>
      <c r="I66" s="136"/>
      <c r="J66" s="3256"/>
      <c r="K66" s="2483" t="s">
        <v>2239</v>
      </c>
      <c r="L66" s="1743">
        <f ca="1">M49*0.5%</f>
        <v>66.165000000000006</v>
      </c>
      <c r="M66" s="24">
        <f ca="1">IF(L66&gt;0.5,0.5,ROUND(L66,0))</f>
        <v>0.5</v>
      </c>
      <c r="N66" s="136" t="s">
        <v>2240</v>
      </c>
      <c r="Z66" s="2407"/>
      <c r="AI66" s="2408"/>
    </row>
    <row r="67" spans="1:35" ht="14.25" customHeight="1">
      <c r="A67" s="201" t="s">
        <v>773</v>
      </c>
      <c r="B67" s="202" t="s">
        <v>2241</v>
      </c>
      <c r="C67" s="205">
        <f ca="1">C63-C66</f>
        <v>12603</v>
      </c>
      <c r="D67" s="198" t="s">
        <v>32</v>
      </c>
      <c r="E67" s="199"/>
      <c r="F67" s="2473"/>
      <c r="G67" s="2473"/>
      <c r="H67" s="2481"/>
      <c r="I67" s="136"/>
      <c r="J67" s="3256"/>
      <c r="K67" s="2483" t="s">
        <v>2242</v>
      </c>
      <c r="L67" s="1743">
        <f ca="1">IF(M49&gt;=10000,(8.25+(M49-10000)*0.01%),IF(AND(M49&gt;=8000,M49&lt;10000),(7.85+(M49-8000)*0.02%),IF(AND(M49&gt;=5000,M49&lt;8000),(6.65+(M49-5000)*0.04%),IF(AND(M49&gt;=2000,M49&lt;5000),(4.25+(PM49-2000)*0.08%),IF(AND(M49&gt;=1000,M49&lt;2000),(2.75+(M49-1000)*0.15%),IF(AND(M49&gt;=100,M49&lt;1000),(0.5+(M49-100)*0.25%),IF(AND(M49&gt;0,M49&lt;100),M49*0.5%)))))))</f>
        <v>8.5732999999999997</v>
      </c>
      <c r="M67" s="24">
        <f ca="1">ROUND(L67*0.9,1)</f>
        <v>7.7</v>
      </c>
      <c r="Z67" s="2407"/>
      <c r="AI67" s="2408"/>
    </row>
    <row r="68" spans="1:35" ht="14.25" customHeight="1" thickBot="1">
      <c r="A68" s="206" t="s">
        <v>774</v>
      </c>
      <c r="B68" s="207" t="s">
        <v>2243</v>
      </c>
      <c r="C68" s="208">
        <f ca="1">IF(C67&lt;=0,0,ROUND(C67*D68,0))</f>
        <v>706</v>
      </c>
      <c r="D68" s="209">
        <f>'数据-取费表'!B41</f>
        <v>5.6000000000000001E-2</v>
      </c>
      <c r="E68" s="210"/>
      <c r="F68" s="2473"/>
      <c r="G68" s="2473"/>
      <c r="H68" s="2481"/>
      <c r="I68" s="136"/>
      <c r="J68" s="3256"/>
      <c r="K68" s="2483" t="s">
        <v>2244</v>
      </c>
      <c r="L68" s="1743">
        <f ca="1">IF(M49&gt;10000,M49*0.5%,IF(AND(M49&gt;5000,M49&lt;=10000),M49*1%,IF(AND(M49&gt;1000,M49&lt;=5000),M49*2%,IF(AND(M49&gt;200,M49&lt;=1000),M49*3%,M49*5%))))</f>
        <v>66.165000000000006</v>
      </c>
      <c r="M68" s="24">
        <f ca="1">ROUND(L68,1)</f>
        <v>66.2</v>
      </c>
      <c r="Z68" s="2407"/>
      <c r="AI68" s="2408"/>
    </row>
    <row r="69" spans="1:35" s="2430" customFormat="1" ht="16.5" customHeight="1">
      <c r="A69" s="2484"/>
      <c r="B69" s="2485"/>
      <c r="C69" s="2486"/>
      <c r="D69" s="2487"/>
      <c r="E69" s="2488"/>
      <c r="F69" s="2154"/>
      <c r="G69" s="2154"/>
      <c r="H69" s="2153"/>
      <c r="I69" s="2402"/>
      <c r="J69" s="3256"/>
      <c r="K69" s="2483" t="s">
        <v>2245</v>
      </c>
      <c r="L69" s="2489"/>
      <c r="M69" s="24">
        <f ca="1">ROUND(SUM(M63:M68),0)</f>
        <v>220</v>
      </c>
      <c r="N69" s="1744">
        <f ca="1">M69/M49</f>
        <v>1.6625103906899419E-2</v>
      </c>
      <c r="O69" s="790"/>
      <c r="P69" s="790"/>
      <c r="Q69" s="790"/>
      <c r="R69" s="790"/>
      <c r="S69" s="790"/>
      <c r="T69" s="790"/>
      <c r="U69" s="790"/>
      <c r="V69" s="790"/>
      <c r="W69" s="790"/>
      <c r="X69" s="790"/>
      <c r="Y69" s="790"/>
      <c r="Z69" s="2407"/>
      <c r="AA69" s="2407"/>
      <c r="AB69" s="2407"/>
      <c r="AC69" s="2407"/>
      <c r="AD69" s="2407"/>
      <c r="AE69" s="2407"/>
      <c r="AF69" s="2407"/>
      <c r="AG69" s="2407"/>
      <c r="AH69" s="2407"/>
    </row>
    <row r="70" spans="1:35" s="2491" customFormat="1" ht="15" thickBot="1">
      <c r="A70" s="3215" t="s">
        <v>2246</v>
      </c>
      <c r="B70" s="3216"/>
      <c r="C70" s="3216"/>
      <c r="D70" s="3216"/>
      <c r="E70" s="3216"/>
      <c r="F70" s="3216"/>
      <c r="G70" s="3216"/>
      <c r="H70" s="321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94" t="s">
        <v>2227</v>
      </c>
      <c r="B71" s="3195"/>
      <c r="C71" s="1795"/>
      <c r="D71" s="1795" t="s">
        <v>2228</v>
      </c>
      <c r="E71" s="211" t="s">
        <v>2229</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2247</v>
      </c>
      <c r="C72" s="205">
        <f ca="1">ROUND(D45/(1+'数据-取费表'!C42),0)</f>
        <v>12603</v>
      </c>
      <c r="D72" s="198" t="s">
        <v>32</v>
      </c>
      <c r="E72" s="1794"/>
      <c r="F72" s="1788"/>
      <c r="G72" s="1788"/>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2248</v>
      </c>
      <c r="C73" s="205">
        <f ca="1">C74+C78</f>
        <v>76</v>
      </c>
      <c r="D73" s="198" t="s">
        <v>32</v>
      </c>
      <c r="E73" s="1794"/>
      <c r="F73" s="1788"/>
      <c r="G73" s="1788"/>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2249</v>
      </c>
      <c r="C74" s="198">
        <f>ROUND(IF(G77="2016年5月1日后购买",C75/(1+'数据-取费表'!C42)+C76+C77,C75+C76+C77),0)</f>
        <v>0</v>
      </c>
      <c r="D74" s="198" t="s">
        <v>32</v>
      </c>
      <c r="E74" s="1794"/>
      <c r="F74" s="1788"/>
      <c r="G74" s="1788"/>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2250</v>
      </c>
      <c r="C75" s="216"/>
      <c r="D75" s="198" t="s">
        <v>32</v>
      </c>
      <c r="E75" s="217" t="s">
        <v>2251</v>
      </c>
      <c r="F75" s="2495" t="s">
        <v>2252</v>
      </c>
      <c r="G75" s="217" t="s">
        <v>2253</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2254</v>
      </c>
      <c r="C76" s="198">
        <f>IF(F75="购房发票",ROUND(C75*H75*D76,0),0)</f>
        <v>0</v>
      </c>
      <c r="D76" s="220">
        <v>0.05</v>
      </c>
      <c r="E76" s="3189" t="s">
        <v>2255</v>
      </c>
      <c r="F76" s="3166"/>
      <c r="G76" s="3166"/>
      <c r="H76" s="321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7" t="s">
        <v>2258</v>
      </c>
      <c r="H77" s="1799"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2259</v>
      </c>
      <c r="C78" s="223">
        <f ca="1">ROUND(D45*D78/(1+'数据-取费表'!C42),0)</f>
        <v>76</v>
      </c>
      <c r="D78" s="224">
        <f>'数据-取费表'!B43</f>
        <v>6.000000000000001E-3</v>
      </c>
      <c r="E78" s="3175" t="s">
        <v>2260</v>
      </c>
      <c r="F78" s="3176"/>
      <c r="G78" s="3176"/>
      <c r="H78" s="3185"/>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2261</v>
      </c>
      <c r="C79" s="205">
        <f ca="1">C72-C73</f>
        <v>12527</v>
      </c>
      <c r="D79" s="198" t="s">
        <v>32</v>
      </c>
      <c r="E79" s="1794"/>
      <c r="F79" s="1788"/>
      <c r="G79" s="1788"/>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2262</v>
      </c>
      <c r="C80" s="225">
        <f ca="1">IF(C79&lt;=0,0,C79/C73)</f>
        <v>164.82894736842104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2263</v>
      </c>
      <c r="C81" s="226">
        <f ca="1">ROUND(IF(C79&lt;=0,0,IF(C80&gt;=200%,C79*60%-C73*35%,IF(C80&gt;=100%,C79*50%-C73*15%,IF(C80&gt;=50%,C79*40%-C73*5%,IF(C80&lt;50%,C79*30%,0))))),0)</f>
        <v>7490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8"/>
      <c r="B82" s="729"/>
      <c r="C82" s="7"/>
      <c r="D82" s="7"/>
      <c r="E82" s="729"/>
      <c r="F82" s="729"/>
      <c r="G82" s="729"/>
      <c r="H82" s="730"/>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15" t="s">
        <v>2264</v>
      </c>
      <c r="B83" s="3216"/>
      <c r="C83" s="3216"/>
      <c r="D83" s="3216"/>
      <c r="E83" s="3216"/>
      <c r="F83" s="3216"/>
      <c r="G83" s="3216"/>
      <c r="H83" s="321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94" t="s">
        <v>2227</v>
      </c>
      <c r="B84" s="3195"/>
      <c r="C84" s="1795"/>
      <c r="D84" s="1795" t="s">
        <v>2228</v>
      </c>
      <c r="E84" s="211" t="s">
        <v>2229</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2247</v>
      </c>
      <c r="C85" s="205">
        <f ca="1">ROUND(D45/(1+'数据-取费表'!C42),0)</f>
        <v>12603</v>
      </c>
      <c r="D85" s="198" t="s">
        <v>32</v>
      </c>
      <c r="E85" s="1794"/>
      <c r="F85" s="1788"/>
      <c r="G85" s="1788"/>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2248</v>
      </c>
      <c r="C86" s="205">
        <f ca="1">IF(H88="仅含出让金",C87+C90+C91+C92+C93+C94,C87+C91+C92+C93+C94)</f>
        <v>76</v>
      </c>
      <c r="D86" s="233"/>
      <c r="E86" s="1794"/>
      <c r="F86" s="1788"/>
      <c r="G86" s="1788"/>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2265</v>
      </c>
      <c r="C87" s="223">
        <f>C88+C89</f>
        <v>0</v>
      </c>
      <c r="D87" s="224"/>
      <c r="E87" s="1790"/>
      <c r="F87" s="1791"/>
      <c r="G87" s="1791"/>
      <c r="H87" s="1793"/>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2266</v>
      </c>
      <c r="C88" s="234"/>
      <c r="D88" s="224"/>
      <c r="E88" s="235" t="s">
        <v>2267</v>
      </c>
      <c r="F88" s="1791"/>
      <c r="G88" s="236" t="s">
        <v>2268</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2256</v>
      </c>
      <c r="C89" s="223">
        <f>ROUND(C88*D89,0)</f>
        <v>0</v>
      </c>
      <c r="D89" s="224">
        <f>'数据-取费表'!B48+'数据-取费表'!B49</f>
        <v>3.0499999999999999E-2</v>
      </c>
      <c r="E89" s="235" t="s">
        <v>2269</v>
      </c>
      <c r="F89" s="1791"/>
      <c r="G89" s="1791"/>
      <c r="H89" s="1793"/>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2270</v>
      </c>
      <c r="C90" s="234"/>
      <c r="D90" s="224"/>
      <c r="E90" s="235" t="str">
        <f>IF(H88="-","土地取得成本中已包含该笔费用"," ")</f>
        <v xml:space="preserve"> </v>
      </c>
      <c r="F90" s="1791"/>
      <c r="G90" s="1791"/>
      <c r="H90" s="1793"/>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2271</v>
      </c>
      <c r="B91" s="196" t="s">
        <v>2272</v>
      </c>
      <c r="C91" s="223">
        <f>IF(H91="——",成本法!C33,I91)</f>
        <v>0</v>
      </c>
      <c r="D91" s="224"/>
      <c r="E91" s="3175" t="s">
        <v>2273</v>
      </c>
      <c r="F91" s="3176"/>
      <c r="G91" s="3176"/>
      <c r="H91" s="2502" t="s">
        <v>2274</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2275</v>
      </c>
      <c r="B92" s="196" t="s">
        <v>2276</v>
      </c>
      <c r="C92" s="223">
        <f>ROUND((C87+C90+C91)*D92,0)</f>
        <v>0</v>
      </c>
      <c r="D92" s="224">
        <v>0.1</v>
      </c>
      <c r="E92" s="3175" t="s">
        <v>2277</v>
      </c>
      <c r="F92" s="3176"/>
      <c r="G92" s="3176"/>
      <c r="H92" s="3185"/>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2278</v>
      </c>
      <c r="B93" s="196" t="s">
        <v>2259</v>
      </c>
      <c r="C93" s="223">
        <f ca="1">ROUND(D45*D93/(1+'数据-取费表'!C42),0)</f>
        <v>76</v>
      </c>
      <c r="D93" s="224">
        <f>'数据-取费表'!B43</f>
        <v>6.000000000000001E-3</v>
      </c>
      <c r="E93" s="3175" t="s">
        <v>2260</v>
      </c>
      <c r="F93" s="3176"/>
      <c r="G93" s="3176"/>
      <c r="H93" s="3185"/>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2279</v>
      </c>
      <c r="B94" s="196" t="s">
        <v>2280</v>
      </c>
      <c r="C94" s="234">
        <f>ROUND((C87+C90+C91)*D94,0)</f>
        <v>0</v>
      </c>
      <c r="D94" s="224">
        <v>0.2</v>
      </c>
      <c r="E94" s="3186" t="s">
        <v>2281</v>
      </c>
      <c r="F94" s="3187"/>
      <c r="G94" s="3187"/>
      <c r="H94" s="3188"/>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2261</v>
      </c>
      <c r="C95" s="205">
        <f ca="1">ROUND(C85-C86,0)</f>
        <v>12527</v>
      </c>
      <c r="D95" s="198" t="s">
        <v>32</v>
      </c>
      <c r="E95" s="1794"/>
      <c r="F95" s="1788"/>
      <c r="G95" s="1788"/>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2262</v>
      </c>
      <c r="C96" s="225">
        <f ca="1">IF(C95&lt;=0,0,C95/C86)</f>
        <v>164.82894736842104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2263</v>
      </c>
      <c r="C97" s="226">
        <f ca="1">ROUND(IF(C95&lt;=0,0,IF(C96&gt;=200%,C95*60%-C86*35%,IF(C96&gt;=100%,C95*50%-C86*15%,IF(C96&gt;=50%,C95*40%-C86*5%,IF(C96&lt;50%,C95*30%,0))))),0)</f>
        <v>7490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6"/>
    </row>
    <row r="99" spans="1:35" ht="21.75" customHeight="1" thickBot="1">
      <c r="A99" s="2458" t="s">
        <v>2282</v>
      </c>
      <c r="B99" s="2402"/>
      <c r="C99" s="2402"/>
      <c r="D99" s="2402"/>
      <c r="E99" s="2154"/>
      <c r="F99" s="2154"/>
      <c r="G99" s="2154"/>
      <c r="H99" s="2153"/>
      <c r="I99" s="136"/>
    </row>
    <row r="100" spans="1:35" ht="18.75" customHeight="1">
      <c r="A100" s="3160" t="s">
        <v>2283</v>
      </c>
      <c r="B100" s="3161"/>
      <c r="C100" s="3161"/>
      <c r="D100" s="3177"/>
      <c r="E100" s="3161" t="s">
        <v>2284</v>
      </c>
      <c r="F100" s="3161"/>
      <c r="G100" s="3161"/>
      <c r="H100" s="3177"/>
      <c r="I100" s="136"/>
    </row>
    <row r="101" spans="1:35" ht="18.75" customHeight="1">
      <c r="A101" s="3239" t="s">
        <v>2285</v>
      </c>
      <c r="B101" s="3240"/>
      <c r="C101" s="731" t="str">
        <f>C4</f>
        <v>土地比较法-住宅、综合</v>
      </c>
      <c r="D101" s="732" t="str">
        <f>D4</f>
        <v>假设开发法</v>
      </c>
      <c r="E101" s="3253" t="s">
        <v>2286</v>
      </c>
      <c r="F101" s="3207"/>
      <c r="G101" s="2504" t="s">
        <v>2287</v>
      </c>
      <c r="H101" s="1042">
        <f ca="1">H118</f>
        <v>13233</v>
      </c>
      <c r="I101" s="136"/>
    </row>
    <row r="102" spans="1:35" ht="18.75" customHeight="1">
      <c r="A102" s="3209" t="s">
        <v>2288</v>
      </c>
      <c r="B102" s="2504" t="s">
        <v>2287</v>
      </c>
      <c r="C102" s="731">
        <f ca="1">C19</f>
        <v>12675</v>
      </c>
      <c r="D102" s="732">
        <f ca="1">D19</f>
        <v>13791</v>
      </c>
      <c r="E102" s="3253"/>
      <c r="F102" s="3207"/>
      <c r="G102" s="2504" t="s">
        <v>2289</v>
      </c>
      <c r="H102" s="369">
        <f ca="1">I118</f>
        <v>2062</v>
      </c>
      <c r="I102" s="136"/>
    </row>
    <row r="103" spans="1:35" ht="42.75" customHeight="1">
      <c r="A103" s="3209"/>
      <c r="B103" s="2504" t="s">
        <v>2289</v>
      </c>
      <c r="C103" s="733">
        <f ca="1">C20</f>
        <v>1975</v>
      </c>
      <c r="D103" s="734">
        <f ca="1">D20</f>
        <v>2149</v>
      </c>
      <c r="E103" s="3248" t="s">
        <v>2290</v>
      </c>
      <c r="F103" s="3249"/>
      <c r="G103" s="2505" t="s">
        <v>2291</v>
      </c>
      <c r="H103" s="1042">
        <f>IF(D36="正常操作",H104+H105+H106,H105+H106)</f>
        <v>0</v>
      </c>
      <c r="I103" s="136"/>
    </row>
    <row r="104" spans="1:35" ht="18.75" customHeight="1">
      <c r="A104" s="3209" t="s">
        <v>2292</v>
      </c>
      <c r="B104" s="2506" t="s">
        <v>2287</v>
      </c>
      <c r="C104" s="735">
        <f ca="1">H118</f>
        <v>13233</v>
      </c>
      <c r="D104" s="736"/>
      <c r="E104" s="2254" t="s">
        <v>2293</v>
      </c>
      <c r="F104" s="2246"/>
      <c r="G104" s="2505" t="s">
        <v>2291</v>
      </c>
      <c r="H104" s="1043">
        <f>IF(D36="同一抵押权人同一抵押物续贷",C36&amp;"（未扣减，详见特别提示）",C36)</f>
        <v>0</v>
      </c>
      <c r="I104" s="136"/>
    </row>
    <row r="105" spans="1:35" ht="18.75" customHeight="1" thickBot="1">
      <c r="A105" s="3210"/>
      <c r="B105" s="2507" t="s">
        <v>2289</v>
      </c>
      <c r="C105" s="737">
        <f ca="1">I118</f>
        <v>2062</v>
      </c>
      <c r="D105" s="738"/>
      <c r="E105" s="2254" t="s">
        <v>2294</v>
      </c>
      <c r="F105" s="2246"/>
      <c r="G105" s="2505" t="s">
        <v>2291</v>
      </c>
      <c r="H105" s="1043">
        <f>C37</f>
        <v>0</v>
      </c>
      <c r="I105" s="136"/>
    </row>
    <row r="106" spans="1:35" ht="18.75" customHeight="1">
      <c r="A106" s="2402" t="s">
        <v>2295</v>
      </c>
      <c r="B106" s="2402"/>
      <c r="C106" s="2402"/>
      <c r="D106" s="2402"/>
      <c r="E106" s="2508" t="s">
        <v>2296</v>
      </c>
      <c r="F106" s="2246"/>
      <c r="G106" s="2505" t="s">
        <v>2291</v>
      </c>
      <c r="H106" s="1043">
        <f>C38</f>
        <v>0</v>
      </c>
      <c r="I106" s="136"/>
    </row>
    <row r="107" spans="1:35" ht="18.75" customHeight="1">
      <c r="A107" s="136"/>
      <c r="B107" s="136"/>
      <c r="C107" s="136"/>
      <c r="D107" s="136"/>
      <c r="E107" s="3206" t="str">
        <f>IF(项目基本情况!E8="已注销","——","3.房地产抵押价值")</f>
        <v>3.房地产抵押价值</v>
      </c>
      <c r="F107" s="3207"/>
      <c r="G107" s="2504" t="s">
        <v>2287</v>
      </c>
      <c r="H107" s="1042">
        <f ca="1">IF(E107="——","——",H101-H103)</f>
        <v>13233</v>
      </c>
      <c r="I107" s="136"/>
    </row>
    <row r="108" spans="1:35" ht="18.75" customHeight="1">
      <c r="A108" s="136"/>
      <c r="B108" s="136"/>
      <c r="C108" s="136"/>
      <c r="D108" s="136"/>
      <c r="E108" s="3206"/>
      <c r="F108" s="3207"/>
      <c r="G108" s="2504" t="s">
        <v>2289</v>
      </c>
      <c r="H108" s="369">
        <f ca="1">ROUND(H107*10000/'数据-汇总表'!E3,0)</f>
        <v>2062</v>
      </c>
      <c r="I108" s="136"/>
    </row>
    <row r="109" spans="1:35" ht="18.75" customHeight="1">
      <c r="A109" s="136"/>
      <c r="B109" s="136"/>
      <c r="C109" s="136"/>
      <c r="D109" s="136"/>
      <c r="E109" s="3206" t="str">
        <f>IF(项目基本情况!E8="已注销及未注销","4.抵押担保权已注销时的房地产抵押价值",IF(项目基本情况!E8="已注销","3.抵押担保权已注销时的房地产抵押价值","——"))</f>
        <v>——</v>
      </c>
      <c r="F109" s="3207"/>
      <c r="G109" s="2504" t="s">
        <v>2287</v>
      </c>
      <c r="H109" s="346" t="str">
        <f>IF(E109="——","——",H101-H105-H106)</f>
        <v>——</v>
      </c>
      <c r="I109" s="136"/>
    </row>
    <row r="110" spans="1:35" ht="18.75" customHeight="1">
      <c r="A110" s="136"/>
      <c r="B110" s="136"/>
      <c r="C110" s="136"/>
      <c r="D110" s="136"/>
      <c r="E110" s="3206"/>
      <c r="F110" s="3207"/>
      <c r="G110" s="2504" t="s">
        <v>2289</v>
      </c>
      <c r="H110" s="369" t="str">
        <f>IF(H109="——","——",ROUND(H109*10000/'数据-汇总表'!E3,0))</f>
        <v>——</v>
      </c>
      <c r="I110" s="136"/>
    </row>
    <row r="111" spans="1:35" ht="18.75" customHeight="1">
      <c r="A111" s="136"/>
      <c r="B111" s="136"/>
      <c r="C111" s="136"/>
      <c r="D111" s="136"/>
      <c r="E111" s="3241" t="str">
        <f>IF(项目基本情况!E9="抵押净值",IF(OR(项目基本情况!E8="已注销",项目基本情况!E8="房地产抵押价值"),"4.抵押净值","5.抵押净值"),"——")</f>
        <v>——</v>
      </c>
      <c r="F111" s="3242"/>
      <c r="G111" s="2504" t="s">
        <v>2287</v>
      </c>
      <c r="H111" s="1042" t="str">
        <f>IF(E111="——","——",N59)</f>
        <v>——</v>
      </c>
      <c r="I111" s="136"/>
    </row>
    <row r="112" spans="1:35" ht="18.75" customHeight="1" thickBot="1">
      <c r="A112" s="136"/>
      <c r="B112" s="136"/>
      <c r="C112" s="136"/>
      <c r="D112" s="136"/>
      <c r="E112" s="3243"/>
      <c r="F112" s="3244"/>
      <c r="G112" s="2509" t="s">
        <v>2289</v>
      </c>
      <c r="H112" s="785" t="str">
        <f>IF(E111="——","——",N61)</f>
        <v>——</v>
      </c>
      <c r="I112" s="136"/>
    </row>
    <row r="113" spans="1:11" ht="18.75" customHeight="1">
      <c r="A113" s="136"/>
      <c r="B113" s="136"/>
      <c r="C113" s="136"/>
      <c r="D113" s="136"/>
      <c r="E113" s="3211" t="s">
        <v>2295</v>
      </c>
      <c r="F113" s="3211"/>
      <c r="G113" s="3211"/>
      <c r="H113" s="3211"/>
      <c r="I113" s="136"/>
    </row>
    <row r="114" spans="1:11" ht="3.75" customHeight="1">
      <c r="A114" s="2402"/>
      <c r="B114" s="2402"/>
      <c r="C114" s="2402"/>
      <c r="D114" s="2402"/>
      <c r="E114" s="2480"/>
      <c r="F114" s="2480"/>
      <c r="G114" s="2480"/>
      <c r="H114" s="2480"/>
      <c r="I114" s="2402"/>
    </row>
    <row r="115" spans="1:11" ht="18.75" customHeight="1">
      <c r="A115" s="3224" t="s">
        <v>2297</v>
      </c>
      <c r="B115" s="3225"/>
      <c r="C115" s="3225"/>
      <c r="D115" s="3225"/>
      <c r="E115" s="3225"/>
      <c r="F115" s="3225"/>
      <c r="G115" s="3225"/>
      <c r="H115" s="3225"/>
      <c r="I115" s="3226"/>
    </row>
    <row r="116" spans="1:11" ht="27" customHeight="1">
      <c r="A116" s="3117" t="s">
        <v>2298</v>
      </c>
      <c r="B116" s="3212" t="s">
        <v>2299</v>
      </c>
      <c r="C116" s="3212" t="s">
        <v>2300</v>
      </c>
      <c r="D116" s="3228" t="s">
        <v>2301</v>
      </c>
      <c r="E116" s="3229"/>
      <c r="F116" s="3220" t="s">
        <v>3148</v>
      </c>
      <c r="G116" s="3220"/>
      <c r="H116" s="3117" t="s">
        <v>2302</v>
      </c>
      <c r="I116" s="3117"/>
    </row>
    <row r="117" spans="1:11" ht="18.75" customHeight="1">
      <c r="A117" s="3117"/>
      <c r="B117" s="3213"/>
      <c r="C117" s="3213"/>
      <c r="D117" s="1789" t="s">
        <v>2303</v>
      </c>
      <c r="E117" s="1789" t="s">
        <v>2304</v>
      </c>
      <c r="F117" s="1789" t="s">
        <v>2303</v>
      </c>
      <c r="G117" s="1789" t="s">
        <v>2305</v>
      </c>
      <c r="H117" s="1789" t="s">
        <v>2303</v>
      </c>
      <c r="I117" s="1789" t="s">
        <v>2305</v>
      </c>
    </row>
    <row r="118" spans="1:11" ht="24.75" customHeight="1">
      <c r="A118" s="2510" t="str">
        <f>项目基本情况!S2</f>
        <v>山东省滨州市盛华路588号房地产</v>
      </c>
      <c r="B118" s="1789">
        <f>M18</f>
        <v>64165.63</v>
      </c>
      <c r="C118" s="1789">
        <f>M19</f>
        <v>51051.35</v>
      </c>
      <c r="D118" s="1789">
        <f ca="1">ROUND(IF(D32="总价",C34,E118*B118/10000),0)</f>
        <v>5783</v>
      </c>
      <c r="E118" s="1789">
        <f ca="1">ROUND(IF(C33="自定义",IF(D32="楼面单价",C34,D118*10000/B118),I118-G118),0)</f>
        <v>901</v>
      </c>
      <c r="F118" s="1789">
        <f ca="1">ROUND(IF(D32="总价",C35,G118*B118/10000),0)</f>
        <v>7450</v>
      </c>
      <c r="G118" s="1789">
        <f ca="1">ROUND(IF(D32="楼面单价",C35,F118*10000/B118),0)</f>
        <v>1161</v>
      </c>
      <c r="H118" s="1789">
        <f ca="1">ROUND(IF(D32="总价",C32,I118*B118/10000),0)</f>
        <v>13233</v>
      </c>
      <c r="I118" s="1789">
        <f ca="1">ROUND(IF(D32="楼面单价",C32,H118*10000/B118),0)</f>
        <v>2062</v>
      </c>
    </row>
    <row r="119" spans="1:11" ht="18.75" customHeight="1">
      <c r="A119" s="3117" t="s">
        <v>2306</v>
      </c>
      <c r="B119" s="3117"/>
      <c r="C119" s="3117"/>
      <c r="D119" s="3217" t="str">
        <f ca="1">NUMBERSTRING(INT(D118*10000),2)&amp;"元整"</f>
        <v>伍仟柒佰捌拾叁万元整</v>
      </c>
      <c r="E119" s="3219"/>
      <c r="F119" s="3217" t="str">
        <f ca="1">NUMBERSTRING(INT(F118*10000),2)&amp;"元整"</f>
        <v>柒仟肆佰伍拾万元整</v>
      </c>
      <c r="G119" s="3219"/>
      <c r="H119" s="3217" t="str">
        <f ca="1">NUMBERSTRING(INT(H118*10000),2)&amp;"元整"</f>
        <v>壹亿叁仟贰佰叁拾叁万元整</v>
      </c>
      <c r="I119" s="3219"/>
    </row>
    <row r="120" spans="1:11" ht="18.75" customHeight="1">
      <c r="A120" s="3245" t="str">
        <f>IF(项目基本情况!B9="房地产市场价值","",MID(E103,3,LEN(E103)-2))</f>
        <v>估价师知悉的法定优先受偿款</v>
      </c>
      <c r="B120" s="3246"/>
      <c r="C120" s="3247"/>
      <c r="D120" s="3245">
        <f>H103</f>
        <v>0</v>
      </c>
      <c r="E120" s="3246"/>
      <c r="F120" s="3246"/>
      <c r="G120" s="3246"/>
      <c r="H120" s="3246"/>
      <c r="I120" s="3247"/>
      <c r="K120" s="2407" t="str">
        <f>IF(D120=0,"故，本次评估不存在"&amp;A120,"故，本次评估"&amp;A120&amp;"为人民币"&amp;D120&amp;"万元整。")</f>
        <v>故，本次评估不存在估价师知悉的法定优先受偿款</v>
      </c>
    </row>
    <row r="121" spans="1:11" ht="18.75" customHeight="1">
      <c r="A121" s="3221" t="s">
        <v>2306</v>
      </c>
      <c r="B121" s="3222"/>
      <c r="C121" s="3223"/>
      <c r="D121" s="3217" t="str">
        <f>IF(D120=0,"零元整",NUMBERSTRING(INT(D120*10000),2)&amp;"元整")</f>
        <v>零元整</v>
      </c>
      <c r="E121" s="3218"/>
      <c r="F121" s="3218"/>
      <c r="G121" s="3218"/>
      <c r="H121" s="3218"/>
      <c r="I121" s="3219"/>
    </row>
    <row r="122" spans="1:11" ht="18.75" customHeight="1">
      <c r="A122" s="3208" t="str">
        <f>IF(项目基本情况!B9="房地产市场价值","",MID(E107,3,LEN(E107)-2))</f>
        <v>房地产抵押价值</v>
      </c>
      <c r="B122" s="3208"/>
      <c r="C122" s="3208"/>
      <c r="D122" s="3245">
        <f ca="1">H107</f>
        <v>13233</v>
      </c>
      <c r="E122" s="3246"/>
      <c r="F122" s="3246"/>
      <c r="G122" s="3246"/>
      <c r="H122" s="3246"/>
      <c r="I122" s="3247"/>
    </row>
    <row r="123" spans="1:11" ht="18.75" customHeight="1">
      <c r="A123" s="3117" t="s">
        <v>2306</v>
      </c>
      <c r="B123" s="3117"/>
      <c r="C123" s="3117"/>
      <c r="D123" s="3217" t="str">
        <f ca="1">NUMBERSTRING(INT(D122*10000),2)&amp;"元整"</f>
        <v>壹亿叁仟贰佰叁拾叁万元整</v>
      </c>
      <c r="E123" s="3218"/>
      <c r="F123" s="3218"/>
      <c r="G123" s="3218"/>
      <c r="H123" s="3218"/>
      <c r="I123" s="3219"/>
    </row>
    <row r="124" spans="1:11" ht="18.75" customHeight="1">
      <c r="A124" s="3208" t="str">
        <f>IF(项目基本情况!B9="房地产市场价值","",MID(E109,3,LEN(E109)-2))</f>
        <v/>
      </c>
      <c r="B124" s="3208"/>
      <c r="C124" s="3208"/>
      <c r="D124" s="3245" t="str">
        <f>H109</f>
        <v>——</v>
      </c>
      <c r="E124" s="3246"/>
      <c r="F124" s="3246"/>
      <c r="G124" s="3246"/>
      <c r="H124" s="3246"/>
      <c r="I124" s="3247"/>
    </row>
    <row r="125" spans="1:11" ht="18.75" customHeight="1">
      <c r="A125" s="3117" t="s">
        <v>2306</v>
      </c>
      <c r="B125" s="3117"/>
      <c r="C125" s="3117"/>
      <c r="D125" s="3217" t="e">
        <f>NUMBERSTRING(INT(D124*10000),2)&amp;"元整"</f>
        <v>#VALUE!</v>
      </c>
      <c r="E125" s="3218"/>
      <c r="F125" s="3218"/>
      <c r="G125" s="3218"/>
      <c r="H125" s="3218"/>
      <c r="I125" s="3219"/>
    </row>
    <row r="126" spans="1:11" ht="18.75" customHeight="1">
      <c r="A126" s="3208" t="str">
        <f>IF(项目基本情况!B9="房地产市场价值","",MID(E111,3,LEN(E111)-2))</f>
        <v/>
      </c>
      <c r="B126" s="3208"/>
      <c r="C126" s="3208"/>
      <c r="D126" s="3245" t="str">
        <f>H111</f>
        <v>——</v>
      </c>
      <c r="E126" s="3246"/>
      <c r="F126" s="3246"/>
      <c r="G126" s="3246"/>
      <c r="H126" s="3246"/>
      <c r="I126" s="3247"/>
    </row>
    <row r="127" spans="1:11" ht="18.75" customHeight="1">
      <c r="A127" s="3117" t="s">
        <v>2306</v>
      </c>
      <c r="B127" s="3117"/>
      <c r="C127" s="3117"/>
      <c r="D127" s="3217" t="e">
        <f>NUMBERSTRING(INT(D126*10000),2)&amp;"元整"</f>
        <v>#VALUE!</v>
      </c>
      <c r="E127" s="3218"/>
      <c r="F127" s="3218"/>
      <c r="G127" s="3218"/>
      <c r="H127" s="3218"/>
      <c r="I127" s="3219"/>
    </row>
    <row r="128" spans="1:11" ht="21.75" customHeight="1">
      <c r="A128" s="3227" t="s">
        <v>2307</v>
      </c>
      <c r="B128" s="3227"/>
      <c r="C128" s="3227"/>
      <c r="D128" s="3227"/>
      <c r="E128" s="3227"/>
      <c r="F128" s="3227"/>
      <c r="G128" s="3227"/>
      <c r="H128" s="3227"/>
      <c r="I128" s="3227"/>
    </row>
    <row r="129" spans="1:35" ht="21.75" customHeight="1">
      <c r="A129" s="2511" t="s">
        <v>2308</v>
      </c>
      <c r="B129" s="2512"/>
      <c r="C129" s="2513" t="s">
        <v>2309</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3062" t="s">
        <v>3542</v>
      </c>
      <c r="B133" s="2522"/>
      <c r="C133" s="2522"/>
      <c r="D133" s="2523"/>
      <c r="E133" s="2523"/>
      <c r="F133" s="2523"/>
      <c r="G133" s="2523"/>
      <c r="H133" s="2524"/>
      <c r="I133" s="2525"/>
    </row>
    <row r="134" spans="1:35" ht="21.75" customHeight="1">
      <c r="A134" s="3050" t="s">
        <v>3543</v>
      </c>
      <c r="B134" s="2518"/>
      <c r="C134" s="2518"/>
      <c r="D134" s="2519"/>
      <c r="E134" s="2519"/>
      <c r="F134" s="2519"/>
      <c r="G134" s="2519"/>
      <c r="H134" s="2520"/>
      <c r="I134" s="790"/>
    </row>
    <row r="135" spans="1:35" ht="21.75" customHeight="1">
      <c r="A135" s="790" t="s">
        <v>3537</v>
      </c>
      <c r="B135" s="790"/>
      <c r="C135" s="790"/>
      <c r="D135" s="790"/>
      <c r="E135" s="790"/>
      <c r="F135" s="2526" t="s">
        <v>2310</v>
      </c>
      <c r="G135" s="2527"/>
      <c r="H135" s="2527"/>
      <c r="I135" s="2528" t="s">
        <v>2311</v>
      </c>
    </row>
    <row r="136" spans="1:35" ht="21.75" customHeight="1">
      <c r="A136" s="790" t="s">
        <v>3544</v>
      </c>
      <c r="B136" s="2529"/>
      <c r="C136" s="790"/>
      <c r="D136" s="790"/>
      <c r="E136" s="790"/>
      <c r="F136" s="790"/>
      <c r="G136" s="790"/>
      <c r="H136" s="790"/>
      <c r="I136" s="790"/>
    </row>
    <row r="137" spans="1:35" ht="21.75" customHeight="1">
      <c r="A137" s="790" t="s">
        <v>3547</v>
      </c>
      <c r="B137" s="790"/>
      <c r="C137" s="790"/>
      <c r="D137" s="790"/>
      <c r="E137" s="790"/>
      <c r="F137" s="790"/>
      <c r="G137" s="790"/>
      <c r="H137" s="790"/>
      <c r="I137" s="790"/>
    </row>
    <row r="138" spans="1:35" ht="21.75" customHeight="1">
      <c r="A138" s="790" t="s">
        <v>3546</v>
      </c>
      <c r="B138" s="2527"/>
      <c r="C138" s="2527"/>
      <c r="D138" s="2527"/>
      <c r="E138" s="2527"/>
      <c r="F138" s="2527"/>
      <c r="G138" s="2527"/>
      <c r="H138" s="2527"/>
      <c r="I138" s="2528" t="s">
        <v>2312</v>
      </c>
    </row>
    <row r="139" spans="1:35" ht="21.75" customHeight="1">
      <c r="A139" s="790" t="s">
        <v>3545</v>
      </c>
      <c r="B139" s="2529"/>
      <c r="C139" s="790"/>
      <c r="D139" s="790"/>
      <c r="E139" s="790"/>
      <c r="F139" s="790"/>
      <c r="G139" s="790"/>
      <c r="H139" s="790"/>
      <c r="I139" s="790"/>
    </row>
    <row r="140" spans="1:35" ht="21.75" customHeight="1">
      <c r="A140" s="790"/>
      <c r="B140" s="2529"/>
      <c r="C140" s="790"/>
      <c r="D140" s="790"/>
      <c r="E140" s="790"/>
      <c r="F140" s="790"/>
      <c r="G140" s="790"/>
      <c r="H140" s="790"/>
      <c r="I140" s="790"/>
    </row>
    <row r="141" spans="1:35" ht="21.75" customHeight="1">
      <c r="A141" s="790"/>
      <c r="B141" s="2527"/>
      <c r="C141" s="2527"/>
      <c r="D141" s="2527"/>
      <c r="E141" s="2527"/>
      <c r="F141" s="2527"/>
      <c r="G141" s="2527"/>
      <c r="H141" s="2527"/>
      <c r="I141" s="2528" t="s">
        <v>2312</v>
      </c>
    </row>
    <row r="142" spans="1:35" ht="21.75" customHeight="1">
      <c r="A142" s="790"/>
      <c r="B142" s="2529"/>
      <c r="C142" s="2530"/>
      <c r="D142" s="2531"/>
      <c r="E142" s="2531"/>
      <c r="F142" s="2328"/>
      <c r="G142" s="790"/>
      <c r="H142" s="790"/>
      <c r="I142" s="790"/>
    </row>
    <row r="143" spans="1:35" s="137" customFormat="1" ht="21.75" customHeight="1">
      <c r="A143" s="790"/>
      <c r="B143" s="2529"/>
      <c r="C143" s="2530"/>
      <c r="D143" s="2531"/>
      <c r="E143" s="2531"/>
      <c r="F143" s="2328"/>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7"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7"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1"/>
      <c r="C1" s="240"/>
      <c r="D1" s="240"/>
      <c r="E1" s="240"/>
      <c r="F1" s="240"/>
      <c r="G1" s="1374">
        <f>MATCH(B1,'数据-取费表'!A6:A16,0)+5</f>
        <v>9</v>
      </c>
    </row>
    <row r="2" spans="1:9" s="242" customFormat="1" ht="18" customHeight="1">
      <c r="A2" s="243" t="s">
        <v>2314</v>
      </c>
      <c r="B2" s="244">
        <f ca="1">IF(D2="——",C52,C52-E2)</f>
        <v>15247</v>
      </c>
      <c r="C2" s="241" t="s">
        <v>2315</v>
      </c>
      <c r="D2" s="2532" t="s">
        <v>70</v>
      </c>
      <c r="E2" s="1435" t="e">
        <f ca="1">SUMIF(INDIRECT("'"&amp;G2&amp;"'"&amp;"!A:A"),"承租人权益价值",INDIRECT("'"&amp;G2&amp;"'"&amp;"!c:c"))</f>
        <v>#REF!</v>
      </c>
      <c r="F2" s="2533" t="s">
        <v>2315</v>
      </c>
      <c r="G2" s="2534"/>
    </row>
    <row r="3" spans="1:9" s="242" customFormat="1" ht="18" customHeight="1" thickBot="1">
      <c r="A3" s="245" t="s">
        <v>2316</v>
      </c>
      <c r="B3" s="246">
        <f ca="1">ROUND(B2*10000/(IF(B1="",'数据-汇总表'!E3,INDIRECT("'数据-取费表'!k"&amp;$G$1))),0)</f>
        <v>2376</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13852</v>
      </c>
      <c r="D5" s="253" t="s">
        <v>2321</v>
      </c>
      <c r="E5" s="254" t="s">
        <v>2322</v>
      </c>
      <c r="F5" s="254" t="s">
        <v>2323</v>
      </c>
      <c r="G5" s="255"/>
    </row>
    <row r="6" spans="1:9" s="256" customFormat="1" ht="13.5" customHeight="1">
      <c r="A6" s="946" t="s">
        <v>2324</v>
      </c>
      <c r="B6" s="257" t="s">
        <v>2325</v>
      </c>
      <c r="C6" s="258">
        <f>'土地比较法-住宅、综合'!B2</f>
        <v>12675</v>
      </c>
      <c r="D6" s="259"/>
      <c r="E6" s="260"/>
      <c r="F6" s="260"/>
      <c r="G6" s="261"/>
    </row>
    <row r="7" spans="1:9" s="256" customFormat="1" ht="13.5" customHeight="1">
      <c r="A7" s="946" t="s">
        <v>2326</v>
      </c>
      <c r="B7" s="257" t="s">
        <v>2327</v>
      </c>
      <c r="C7" s="262">
        <f>ROUND(C6*F7,0)</f>
        <v>387</v>
      </c>
      <c r="D7" s="262"/>
      <c r="E7" s="260"/>
      <c r="F7" s="263">
        <f>'数据-取费表'!B48+'数据-取费表'!B49</f>
        <v>3.0499999999999999E-2</v>
      </c>
      <c r="G7" s="261"/>
    </row>
    <row r="8" spans="1:9" s="265" customFormat="1">
      <c r="A8" s="946" t="s">
        <v>2328</v>
      </c>
      <c r="B8" s="257" t="s">
        <v>2329</v>
      </c>
      <c r="C8" s="262">
        <f>IF(G8="已包含在土地购买价格中","0",IF(B1="",'数据-取费表'!B29,IF(G9="全部缴纳",C9+C10,H9)))</f>
        <v>790</v>
      </c>
      <c r="D8" s="264"/>
      <c r="E8" s="262"/>
      <c r="F8" s="263"/>
      <c r="G8" s="2535" t="s">
        <v>3440</v>
      </c>
    </row>
    <row r="9" spans="1:9" s="256" customFormat="1" ht="13.5" customHeight="1">
      <c r="A9" s="947" t="s">
        <v>800</v>
      </c>
      <c r="B9" s="266" t="s">
        <v>2330</v>
      </c>
      <c r="C9" s="267">
        <f ca="1">ROUND(D9*E9/10000,0)</f>
        <v>639</v>
      </c>
      <c r="D9" s="1029">
        <f ca="1">IF(B1="",'数据-汇总表'!E5,IF(INDIRECT("'数据-取费表'!c"&amp;$G$1)="住宅",INDIRECT("'数据-取费表'!k"&amp;$G$1),0))</f>
        <v>49166.119999999995</v>
      </c>
      <c r="E9" s="267">
        <f>'数据-取费表'!B27</f>
        <v>130</v>
      </c>
      <c r="F9" s="263"/>
      <c r="G9" s="2536" t="s">
        <v>3529</v>
      </c>
      <c r="H9" s="1385"/>
      <c r="I9" s="2537" t="s">
        <v>2331</v>
      </c>
    </row>
    <row r="10" spans="1:9" s="256" customFormat="1" ht="13.5" customHeight="1">
      <c r="A10" s="947" t="s">
        <v>801</v>
      </c>
      <c r="B10" s="266" t="s">
        <v>2332</v>
      </c>
      <c r="C10" s="267">
        <f ca="1">ROUND(D10*E10/10000,0)</f>
        <v>195</v>
      </c>
      <c r="D10" s="1029">
        <f ca="1">IF(B1="",'数据-汇总表'!E6,IF(INDIRECT("'数据-取费表'!c"&amp;$G$1)="住宅",INDIRECT("'数据-取费表'!s"&amp;$G$1),INDIRECT("'数据-取费表'!k"&amp;$G$1)+INDIRECT("'数据-取费表'!s"&amp;$G$1)))</f>
        <v>14999.510000000002</v>
      </c>
      <c r="E10" s="267">
        <f>'数据-取费表'!B28</f>
        <v>130</v>
      </c>
      <c r="F10" s="263"/>
      <c r="G10" s="268"/>
    </row>
    <row r="11" spans="1:9" s="256" customFormat="1" ht="13.5" hidden="1" customHeight="1">
      <c r="A11" s="269" t="s">
        <v>7</v>
      </c>
      <c r="B11" s="257" t="s">
        <v>2333</v>
      </c>
      <c r="C11" s="253"/>
      <c r="D11" s="1031"/>
      <c r="E11" s="260"/>
      <c r="F11" s="260"/>
      <c r="G11" s="261"/>
    </row>
    <row r="12" spans="1:9" s="256" customFormat="1" ht="13.5" hidden="1" customHeight="1">
      <c r="A12" s="269" t="s">
        <v>8</v>
      </c>
      <c r="B12" s="257" t="s">
        <v>2334</v>
      </c>
      <c r="C12" s="253">
        <v>0</v>
      </c>
      <c r="D12" s="1031"/>
      <c r="E12" s="270"/>
      <c r="F12" s="263">
        <v>3.0499999999999999E-2</v>
      </c>
      <c r="G12" s="261"/>
    </row>
    <row r="13" spans="1:9" s="256" customFormat="1" ht="13.5" hidden="1" customHeight="1">
      <c r="A13" s="269" t="s">
        <v>9</v>
      </c>
      <c r="B13" s="257" t="s">
        <v>2335</v>
      </c>
      <c r="C13" s="253"/>
      <c r="D13" s="1031"/>
      <c r="E13" s="260"/>
      <c r="F13" s="260"/>
      <c r="G13" s="261"/>
    </row>
    <row r="14" spans="1:9" s="256" customFormat="1" ht="13.5" hidden="1" customHeight="1">
      <c r="A14" s="269" t="s">
        <v>10</v>
      </c>
      <c r="B14" s="257" t="s">
        <v>2336</v>
      </c>
      <c r="C14" s="253"/>
      <c r="D14" s="1031"/>
      <c r="E14" s="260"/>
      <c r="F14" s="260"/>
      <c r="G14" s="261" t="s">
        <v>2337</v>
      </c>
    </row>
    <row r="15" spans="1:9" s="256" customFormat="1" ht="13.5" hidden="1" customHeight="1">
      <c r="A15" s="269" t="s">
        <v>11</v>
      </c>
      <c r="B15" s="257" t="s">
        <v>2338</v>
      </c>
      <c r="C15" s="262"/>
      <c r="D15" s="1031"/>
      <c r="E15" s="260"/>
      <c r="F15" s="260"/>
      <c r="G15" s="261" t="s">
        <v>2339</v>
      </c>
    </row>
    <row r="16" spans="1:9" s="256" customFormat="1" ht="13.5" hidden="1" customHeight="1">
      <c r="A16" s="269" t="s">
        <v>12</v>
      </c>
      <c r="B16" s="257" t="s">
        <v>2336</v>
      </c>
      <c r="C16" s="262"/>
      <c r="D16" s="1031"/>
      <c r="E16" s="260"/>
      <c r="F16" s="260"/>
      <c r="G16" s="261"/>
    </row>
    <row r="17" spans="1:7" s="256" customFormat="1" ht="13.5" hidden="1" customHeight="1">
      <c r="A17" s="269" t="s">
        <v>13</v>
      </c>
      <c r="B17" s="257" t="s">
        <v>2340</v>
      </c>
      <c r="C17" s="271"/>
      <c r="D17" s="1032"/>
      <c r="E17" s="271"/>
      <c r="F17" s="271"/>
      <c r="G17" s="261" t="s">
        <v>2339</v>
      </c>
    </row>
    <row r="18" spans="1:7" s="256" customFormat="1" ht="13.5" hidden="1" customHeight="1">
      <c r="A18" s="269" t="s">
        <v>14</v>
      </c>
      <c r="B18" s="257" t="s">
        <v>2341</v>
      </c>
      <c r="C18" s="262">
        <v>0</v>
      </c>
      <c r="D18" s="1031"/>
      <c r="E18" s="260"/>
      <c r="F18" s="263">
        <v>3.0499999999999999E-2</v>
      </c>
      <c r="G18" s="261" t="s">
        <v>2342</v>
      </c>
    </row>
    <row r="19" spans="1:7" s="265" customFormat="1" ht="13.5" customHeight="1">
      <c r="A19" s="297" t="s">
        <v>2343</v>
      </c>
      <c r="B19" s="252" t="s">
        <v>2344</v>
      </c>
      <c r="C19" s="253" t="str">
        <f>IF(G19="已包含在土地取得成本中","0",ROUND(D19*E19/10000,0))</f>
        <v>0</v>
      </c>
      <c r="D19" s="1033">
        <f ca="1">D9+D10</f>
        <v>64165.63</v>
      </c>
      <c r="E19" s="253">
        <f>'数据-取费表'!B31</f>
        <v>200</v>
      </c>
      <c r="F19" s="273"/>
      <c r="G19" s="2535" t="s">
        <v>3441</v>
      </c>
    </row>
    <row r="20" spans="1:7" s="256" customFormat="1" ht="13.5" customHeight="1">
      <c r="A20" s="297" t="s">
        <v>2345</v>
      </c>
      <c r="B20" s="252" t="s">
        <v>2346</v>
      </c>
      <c r="C20" s="274">
        <f>ROUND((C5+C19)*F20,0)</f>
        <v>277</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49">
        <f ca="1">ROUND(SUM(C23:C25),0)</f>
        <v>0</v>
      </c>
      <c r="D22" s="277">
        <f ca="1">C26</f>
        <v>0</v>
      </c>
      <c r="E22" s="278" t="s">
        <v>2350</v>
      </c>
      <c r="F22" s="279">
        <f ca="1">'数据-取费表'!B40</f>
        <v>4.7500000000000001E-2</v>
      </c>
      <c r="G22" s="276" t="str">
        <f>IF('数据-取费表'!B22&lt;=1,"单利计息","复利计息")</f>
        <v>复利计息</v>
      </c>
    </row>
    <row r="23" spans="1:7" s="256" customFormat="1" ht="13.5" customHeight="1">
      <c r="A23" s="948" t="s">
        <v>2354</v>
      </c>
      <c r="B23" s="257" t="s">
        <v>2355</v>
      </c>
      <c r="C23" s="1350">
        <f ca="1">ROUND(IF('数据-取费表'!B22&lt;=1,C5*F22*'数据-取费表'!B23,C5*(POWER((1+F22),'数据-取费表'!B23)-1)),0)</f>
        <v>0</v>
      </c>
      <c r="D23" s="280"/>
      <c r="E23" s="280"/>
      <c r="F23" s="281"/>
      <c r="G23" s="282" t="s">
        <v>2356</v>
      </c>
    </row>
    <row r="24" spans="1:7" s="256" customFormat="1" ht="13.5" customHeight="1">
      <c r="A24" s="948" t="s">
        <v>2357</v>
      </c>
      <c r="B24" s="257" t="s">
        <v>2358</v>
      </c>
      <c r="C24" s="1350">
        <f ca="1">ROUND(IF('数据-取费表'!B22&lt;=1,C19*F22*('数据-取费表'!B19/2+'数据-取费表'!B21),C19*(POWER((1+F22),('数据-取费表'!B19/2+'数据-取费表'!B21))-1)),0)</f>
        <v>0</v>
      </c>
      <c r="D24" s="280"/>
      <c r="E24" s="280"/>
      <c r="F24" s="281"/>
      <c r="G24" s="282" t="s">
        <v>2359</v>
      </c>
    </row>
    <row r="25" spans="1:7" s="256" customFormat="1" ht="24">
      <c r="A25" s="948" t="s">
        <v>2360</v>
      </c>
      <c r="B25" s="257" t="s">
        <v>2361</v>
      </c>
      <c r="C25" s="1350">
        <f ca="1">ROUND(IF('数据-取费表'!B22&lt;=1,C20*F22*'数据-取费表'!B23/2,C20*(POWER((1+F22),'数据-取费表'!B23/2)-1)),0)</f>
        <v>0</v>
      </c>
      <c r="D25" s="280"/>
      <c r="E25" s="283"/>
      <c r="F25" s="281"/>
      <c r="G25" s="284" t="s">
        <v>2362</v>
      </c>
    </row>
    <row r="26" spans="1:7" s="256" customFormat="1">
      <c r="A26" s="948" t="s">
        <v>795</v>
      </c>
      <c r="B26" s="257" t="s">
        <v>2363</v>
      </c>
      <c r="C26" s="280">
        <f ca="1">ROUND(IF('数据-取费表'!B22&lt;=1,F21*F22*'数据-取费表'!B23/2,F21*(POWER((1+F22),'数据-取费表'!B23/2)-1)),4)</f>
        <v>0</v>
      </c>
      <c r="D26" s="280"/>
      <c r="E26" s="283"/>
      <c r="F26" s="281"/>
      <c r="G26" s="285"/>
    </row>
    <row r="27" spans="1:7" s="256" customFormat="1" ht="24.75">
      <c r="A27" s="297" t="s">
        <v>2364</v>
      </c>
      <c r="B27" s="286" t="s">
        <v>2365</v>
      </c>
      <c r="C27" s="287">
        <f ca="1">C28</f>
        <v>0</v>
      </c>
      <c r="D27" s="277">
        <f ca="1">C29</f>
        <v>0</v>
      </c>
      <c r="E27" s="278" t="s">
        <v>2366</v>
      </c>
      <c r="F27" s="288">
        <f ca="1">IF(B1="",'数据-取费表'!Q16,INDIRECT("'数据-取费表'!q"&amp;$G$1))</f>
        <v>0.21</v>
      </c>
      <c r="G27" s="289" t="s">
        <v>2367</v>
      </c>
    </row>
    <row r="28" spans="1:7" s="256" customFormat="1" ht="13.5" customHeight="1">
      <c r="A28" s="948" t="s">
        <v>791</v>
      </c>
      <c r="B28" s="290" t="s">
        <v>2368</v>
      </c>
      <c r="C28" s="291">
        <f ca="1">ROUND((C5+C19+C20)*F27*'数据-取费表'!B21/'数据-取费表'!B20,0)</f>
        <v>0</v>
      </c>
      <c r="D28" s="277"/>
      <c r="E28" s="278"/>
      <c r="F28" s="288"/>
      <c r="G28" s="289"/>
    </row>
    <row r="29" spans="1:7" s="256" customFormat="1" ht="13.5" customHeight="1">
      <c r="A29" s="948" t="s">
        <v>792</v>
      </c>
      <c r="B29" s="290" t="s">
        <v>2369</v>
      </c>
      <c r="C29" s="280">
        <f ca="1">ROUND(C21*F27*'数据-取费表'!B21/'数据-取费表'!B20,4)</f>
        <v>0</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15247</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0</v>
      </c>
      <c r="D33" s="274"/>
      <c r="E33" s="254"/>
      <c r="F33" s="283"/>
      <c r="G33" s="276"/>
    </row>
    <row r="34" spans="1:7" s="300" customFormat="1" ht="13.5" customHeight="1">
      <c r="A34" s="948" t="s">
        <v>791</v>
      </c>
      <c r="B34" s="257" t="s">
        <v>2377</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2378</v>
      </c>
    </row>
    <row r="35" spans="1:7" ht="13.5" customHeight="1">
      <c r="A35" s="948" t="s">
        <v>796</v>
      </c>
      <c r="B35" s="257" t="s">
        <v>2379</v>
      </c>
      <c r="C35" s="262">
        <f ca="1">ROUND(C34*F35,0)</f>
        <v>0</v>
      </c>
      <c r="D35" s="262"/>
      <c r="E35" s="262"/>
      <c r="F35" s="301">
        <f>'数据-取费表'!B33</f>
        <v>0.03</v>
      </c>
      <c r="G35" s="261" t="s">
        <v>2380</v>
      </c>
    </row>
    <row r="36" spans="1:7" ht="24">
      <c r="A36" s="948"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2382</v>
      </c>
    </row>
    <row r="37" spans="1:7" s="300" customFormat="1" ht="13.5" customHeight="1">
      <c r="A37" s="948" t="s">
        <v>798</v>
      </c>
      <c r="B37" s="257" t="s">
        <v>2383</v>
      </c>
      <c r="C37" s="291">
        <f ca="1">ROUND(E37*D37*F34/10000,0)</f>
        <v>0</v>
      </c>
      <c r="D37" s="259">
        <f ca="1">D19</f>
        <v>64165.63</v>
      </c>
      <c r="E37" s="291">
        <f>'数据-取费表'!B35</f>
        <v>200</v>
      </c>
      <c r="F37" s="301"/>
      <c r="G37" s="303" t="s">
        <v>2384</v>
      </c>
    </row>
    <row r="38" spans="1:7" ht="13.5" customHeight="1">
      <c r="A38" s="948" t="s">
        <v>799</v>
      </c>
      <c r="B38" s="257" t="s">
        <v>2385</v>
      </c>
      <c r="C38" s="262">
        <f ca="1">ROUND(C34*F38,0)</f>
        <v>0</v>
      </c>
      <c r="D38" s="262"/>
      <c r="E38" s="262"/>
      <c r="F38" s="301">
        <f>'数据-取费表'!B36</f>
        <v>1.4999999999999999E-2</v>
      </c>
      <c r="G38" s="261" t="s">
        <v>2380</v>
      </c>
    </row>
    <row r="39" spans="1:7" s="256" customFormat="1" ht="13.5" customHeight="1">
      <c r="A39" s="297" t="s">
        <v>2386</v>
      </c>
      <c r="B39" s="252" t="s">
        <v>2387</v>
      </c>
      <c r="C39" s="274">
        <f ca="1">ROUND(C33*F20,0)</f>
        <v>0</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0</v>
      </c>
      <c r="D41" s="277">
        <f ca="1">C44</f>
        <v>0</v>
      </c>
      <c r="E41" s="278" t="s">
        <v>2391</v>
      </c>
      <c r="F41" s="279"/>
      <c r="G41" s="276" t="str">
        <f>IF('数据-取费表'!B22&lt;=1,"单利计息","复利计息")</f>
        <v>复利计息</v>
      </c>
    </row>
    <row r="42" spans="1:7" ht="13.5" customHeight="1">
      <c r="A42" s="948" t="s">
        <v>791</v>
      </c>
      <c r="B42" s="257" t="s">
        <v>2395</v>
      </c>
      <c r="C42" s="280">
        <f ca="1">ROUND(IF('数据-取费表'!B22&lt;=1,C33*F22*'数据-取费表'!B21/2,C33*(POWER((1+F22),'数据-取费表'!B21/2)-1)),0)</f>
        <v>0</v>
      </c>
      <c r="D42" s="280"/>
      <c r="E42" s="280"/>
      <c r="F42" s="281"/>
      <c r="G42" s="3259" t="s">
        <v>2396</v>
      </c>
    </row>
    <row r="43" spans="1:7" ht="13.5" customHeight="1">
      <c r="A43" s="948" t="s">
        <v>792</v>
      </c>
      <c r="B43" s="257" t="s">
        <v>2397</v>
      </c>
      <c r="C43" s="280">
        <f ca="1">ROUND(IF('数据-取费表'!B22&lt;=1,C39*F22*'数据-取费表'!B21/2,C39*(POWER((1+F22),'数据-取费表'!B21/2)-1)),0)</f>
        <v>0</v>
      </c>
      <c r="D43" s="280"/>
      <c r="E43" s="280"/>
      <c r="F43" s="281"/>
      <c r="G43" s="3260"/>
    </row>
    <row r="44" spans="1:7" ht="13.5" customHeight="1">
      <c r="A44" s="948" t="s">
        <v>793</v>
      </c>
      <c r="B44" s="257" t="s">
        <v>2398</v>
      </c>
      <c r="C44" s="280">
        <f ca="1">ROUND(IF('数据-取费表'!B22&lt;=1,C40*F22*'数据-取费表'!B21/2,C40*(POWER((1+F22),'数据-取费表'!B21/2)-1)),4)</f>
        <v>0</v>
      </c>
      <c r="D44" s="280"/>
      <c r="E44" s="280"/>
      <c r="F44" s="281"/>
      <c r="G44" s="3261"/>
    </row>
    <row r="45" spans="1:7" s="256" customFormat="1" ht="13.5" customHeight="1">
      <c r="A45" s="297" t="s">
        <v>2399</v>
      </c>
      <c r="B45" s="286" t="s">
        <v>2365</v>
      </c>
      <c r="C45" s="287">
        <f ca="1">C46</f>
        <v>0</v>
      </c>
      <c r="D45" s="277">
        <f ca="1">C47</f>
        <v>4.1999999999999997E-3</v>
      </c>
      <c r="E45" s="278" t="s">
        <v>2391</v>
      </c>
      <c r="F45" s="288"/>
      <c r="G45" s="289" t="s">
        <v>2400</v>
      </c>
    </row>
    <row r="46" spans="1:7" s="256" customFormat="1" ht="13.5" customHeight="1">
      <c r="A46" s="948" t="s">
        <v>791</v>
      </c>
      <c r="B46" s="290" t="s">
        <v>2401</v>
      </c>
      <c r="C46" s="291">
        <f ca="1">ROUND((C33+C39)*F27,0)</f>
        <v>0</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1722">
        <f>ROUND(F30/(1+'数据-取费表'!C42),4)</f>
        <v>5.33E-2</v>
      </c>
      <c r="D48" s="278" t="s">
        <v>2391</v>
      </c>
      <c r="E48" s="274"/>
      <c r="F48" s="279"/>
      <c r="G48" s="276" t="s">
        <v>2404</v>
      </c>
    </row>
    <row r="49" spans="1:7" ht="16.5" customHeight="1">
      <c r="A49" s="297" t="s">
        <v>2370</v>
      </c>
      <c r="B49" s="252" t="s">
        <v>2405</v>
      </c>
      <c r="C49" s="274">
        <f ca="1">ROUND((C33+C39+C41+C45)/(1-C40-D41-D45-C48),0)</f>
        <v>0</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0</v>
      </c>
      <c r="D51" s="274"/>
      <c r="E51" s="274"/>
      <c r="F51" s="306"/>
      <c r="G51" s="276" t="s">
        <v>2412</v>
      </c>
    </row>
    <row r="52" spans="1:7" s="250" customFormat="1" ht="16.5" thickBot="1">
      <c r="A52" s="307" t="s">
        <v>2413</v>
      </c>
      <c r="B52" s="308"/>
      <c r="C52" s="309">
        <f ca="1">C31+C51</f>
        <v>15247</v>
      </c>
      <c r="D52" s="308"/>
      <c r="E52" s="308"/>
      <c r="F52" s="308"/>
      <c r="G52" s="310"/>
    </row>
    <row r="55" spans="1:7" ht="15">
      <c r="B55" s="312" t="s">
        <v>2414</v>
      </c>
      <c r="C55" s="313"/>
    </row>
    <row r="56" spans="1:7">
      <c r="B56" s="315" t="s">
        <v>1513</v>
      </c>
      <c r="C56" s="317">
        <f ca="1">1-C57</f>
        <v>1</v>
      </c>
    </row>
    <row r="57" spans="1:7">
      <c r="B57" s="315" t="s">
        <v>1514</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73" t="str">
        <f>项目基本情况!B1</f>
        <v>山东省滨州市盛华路588号房地产抵押价值预评估</v>
      </c>
      <c r="C37" s="3073"/>
      <c r="D37" s="3073"/>
      <c r="E37" s="3073"/>
      <c r="F37" s="3073"/>
      <c r="G37" s="3073"/>
      <c r="H37" s="3073"/>
      <c r="I37" s="3073"/>
    </row>
    <row r="38" spans="1:9">
      <c r="A38" s="1013"/>
      <c r="B38" s="1013"/>
    </row>
    <row r="39" spans="1:9">
      <c r="A39" s="1011" t="s">
        <v>818</v>
      </c>
      <c r="B39" s="1011" t="s">
        <v>820</v>
      </c>
    </row>
    <row r="40" spans="1:9">
      <c r="A40" s="1011"/>
      <c r="B40" s="1936" t="str">
        <f>项目基本情况!B5</f>
        <v>滨州新湖房地产开发有限公司</v>
      </c>
    </row>
    <row r="41" spans="1:9">
      <c r="A41" s="1011"/>
      <c r="B41" s="1011"/>
    </row>
    <row r="42" spans="1:9">
      <c r="A42" s="1011" t="s">
        <v>818</v>
      </c>
      <c r="B42" s="1011" t="s">
        <v>821</v>
      </c>
    </row>
    <row r="43" spans="1:9">
      <c r="A43" s="1011"/>
      <c r="B43" s="1936" t="s">
        <v>822</v>
      </c>
    </row>
    <row r="44" spans="1:9">
      <c r="A44" s="1011"/>
      <c r="B44" s="1011"/>
    </row>
    <row r="45" spans="1:9">
      <c r="A45" s="1011" t="s">
        <v>818</v>
      </c>
      <c r="B45" s="1011" t="s">
        <v>823</v>
      </c>
    </row>
    <row r="46" spans="1:9" s="1011" customFormat="1" ht="12.75">
      <c r="B46" s="1936" t="str">
        <f ca="1">项目基本情况!K4</f>
        <v>刘梅（注册号：1120140022)、吴薇（注册号：1419970001)</v>
      </c>
    </row>
    <row r="47" spans="1:9">
      <c r="A47" s="1011"/>
      <c r="B47" s="1011" t="str">
        <f>项目基本情况!K5</f>
        <v/>
      </c>
    </row>
    <row r="48" spans="1:9">
      <c r="A48" s="1011" t="s">
        <v>818</v>
      </c>
      <c r="B48" s="1011"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1"/>
      <c r="C1" s="2538" t="s">
        <v>2415</v>
      </c>
      <c r="D1" s="240"/>
      <c r="E1" s="240"/>
      <c r="F1" s="240"/>
      <c r="G1" s="1374">
        <f>MATCH(B1,'数据-取费表'!A6:A16,0)+5</f>
        <v>9</v>
      </c>
      <c r="H1" s="1277" t="str">
        <f>IF(ISERROR(FIND("住宅",B1)),"非住宅","住宅")</f>
        <v>非住宅</v>
      </c>
    </row>
    <row r="2" spans="1:8" s="242" customFormat="1" ht="18" customHeight="1">
      <c r="A2" s="243" t="s">
        <v>2314</v>
      </c>
      <c r="B2" s="244">
        <f ca="1">ROUND(IF(D2="——",C52/10000,C52/10000-E2),0)</f>
        <v>46015</v>
      </c>
      <c r="C2" s="241" t="s">
        <v>2315</v>
      </c>
      <c r="D2" s="2532" t="s">
        <v>70</v>
      </c>
      <c r="E2" s="1435" t="e">
        <f ca="1">SUMIF(INDIRECT("'"&amp;G2&amp;"'"&amp;"!A:A"),"承租人权益价值",INDIRECT("'"&amp;G2&amp;"'"&amp;"!c:c"))</f>
        <v>#REF!</v>
      </c>
      <c r="F2" s="2533" t="s">
        <v>2315</v>
      </c>
      <c r="G2" s="2534"/>
    </row>
    <row r="3" spans="1:8" s="242" customFormat="1" ht="18" customHeight="1" thickBot="1">
      <c r="A3" s="245" t="s">
        <v>2316</v>
      </c>
      <c r="B3" s="246">
        <f ca="1">ROUND(B2*10000/(IF(B1="",'数据-汇总表'!E3,INDIRECT("'数据-取费表'!k"&amp;$G$1))),0)</f>
        <v>7171</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138957407</v>
      </c>
      <c r="D5" s="253" t="s">
        <v>2321</v>
      </c>
      <c r="E5" s="254" t="s">
        <v>2322</v>
      </c>
      <c r="F5" s="254" t="s">
        <v>2323</v>
      </c>
      <c r="G5" s="255"/>
    </row>
    <row r="6" spans="1:8" s="256" customFormat="1" ht="13.5" customHeight="1">
      <c r="A6" s="946" t="s">
        <v>2324</v>
      </c>
      <c r="B6" s="257" t="s">
        <v>2325</v>
      </c>
      <c r="C6" s="258">
        <f>'土地比较法-住宅、综合'!B2*10000</f>
        <v>126750000</v>
      </c>
      <c r="D6" s="259"/>
      <c r="E6" s="260"/>
      <c r="F6" s="260"/>
      <c r="G6" s="261"/>
    </row>
    <row r="7" spans="1:8" s="256" customFormat="1" ht="13.5" customHeight="1">
      <c r="A7" s="946" t="s">
        <v>2326</v>
      </c>
      <c r="B7" s="257" t="s">
        <v>2327</v>
      </c>
      <c r="C7" s="262">
        <f>ROUND(C6*F7,0)</f>
        <v>3865875</v>
      </c>
      <c r="D7" s="262"/>
      <c r="E7" s="260"/>
      <c r="F7" s="263">
        <f>'数据-取费表'!B48+'数据-取费表'!B49</f>
        <v>3.0499999999999999E-2</v>
      </c>
      <c r="G7" s="261"/>
    </row>
    <row r="8" spans="1:8" s="265" customFormat="1">
      <c r="A8" s="946" t="s">
        <v>2328</v>
      </c>
      <c r="B8" s="257" t="s">
        <v>2329</v>
      </c>
      <c r="C8" s="262">
        <f ca="1">IF(G8="已包含在土地购买价格中",0,C9+C10)</f>
        <v>8341532</v>
      </c>
      <c r="D8" s="264"/>
      <c r="E8" s="262"/>
      <c r="F8" s="263"/>
      <c r="G8" s="2535" t="s">
        <v>3440</v>
      </c>
    </row>
    <row r="9" spans="1:8" s="256" customFormat="1" ht="13.5" customHeight="1">
      <c r="A9" s="947" t="s">
        <v>800</v>
      </c>
      <c r="B9" s="266" t="s">
        <v>2330</v>
      </c>
      <c r="C9" s="267">
        <f ca="1">ROUND(D9*E9,0)</f>
        <v>6391596</v>
      </c>
      <c r="D9" s="1029">
        <f ca="1">IF(B1="",'数据-汇总表'!E5,IF(INDIRECT("'数据-取费表'!c"&amp;$G$1)="住宅",INDIRECT("'数据-取费表'!k"&amp;$G$1),0))</f>
        <v>49166.119999999995</v>
      </c>
      <c r="E9" s="267">
        <f>'数据-取费表'!B27</f>
        <v>130</v>
      </c>
      <c r="F9" s="263"/>
      <c r="G9" s="268"/>
    </row>
    <row r="10" spans="1:8" s="256" customFormat="1" ht="13.5" customHeight="1">
      <c r="A10" s="947" t="s">
        <v>801</v>
      </c>
      <c r="B10" s="266" t="s">
        <v>2332</v>
      </c>
      <c r="C10" s="267">
        <f ca="1">ROUND(D10*E10,0)</f>
        <v>1949936</v>
      </c>
      <c r="D10" s="1029">
        <f ca="1">IF(B1="",'数据-汇总表'!E6,IF(INDIRECT("'数据-取费表'!c"&amp;$G$1)="住宅",INDIRECT("'数据-取费表'!s"&amp;$G$1),INDIRECT("'数据-取费表'!k"&amp;$G$1)+INDIRECT("'数据-取费表'!s"&amp;$G$1)))</f>
        <v>14999.510000000002</v>
      </c>
      <c r="E10" s="267">
        <f>'数据-取费表'!B28</f>
        <v>130</v>
      </c>
      <c r="F10" s="263"/>
      <c r="G10" s="268"/>
    </row>
    <row r="11" spans="1:8" s="256" customFormat="1" ht="13.5" hidden="1" customHeight="1">
      <c r="A11" s="269" t="s">
        <v>7</v>
      </c>
      <c r="B11" s="257" t="s">
        <v>2333</v>
      </c>
      <c r="C11" s="253"/>
      <c r="D11" s="1031"/>
      <c r="E11" s="260"/>
      <c r="F11" s="260"/>
      <c r="G11" s="261"/>
    </row>
    <row r="12" spans="1:8" s="256" customFormat="1" ht="13.5" hidden="1" customHeight="1">
      <c r="A12" s="269" t="s">
        <v>8</v>
      </c>
      <c r="B12" s="257" t="s">
        <v>2416</v>
      </c>
      <c r="C12" s="253">
        <v>0</v>
      </c>
      <c r="D12" s="1031"/>
      <c r="E12" s="270"/>
      <c r="F12" s="263">
        <v>3.0499999999999999E-2</v>
      </c>
      <c r="G12" s="261"/>
    </row>
    <row r="13" spans="1:8" s="256" customFormat="1" ht="13.5" hidden="1" customHeight="1">
      <c r="A13" s="269" t="s">
        <v>9</v>
      </c>
      <c r="B13" s="257" t="s">
        <v>2417</v>
      </c>
      <c r="C13" s="253"/>
      <c r="D13" s="1031"/>
      <c r="E13" s="260"/>
      <c r="F13" s="260"/>
      <c r="G13" s="261"/>
    </row>
    <row r="14" spans="1:8" s="256" customFormat="1" ht="13.5" hidden="1" customHeight="1">
      <c r="A14" s="269" t="s">
        <v>10</v>
      </c>
      <c r="B14" s="257" t="s">
        <v>2329</v>
      </c>
      <c r="C14" s="253"/>
      <c r="D14" s="1031"/>
      <c r="E14" s="260"/>
      <c r="F14" s="260"/>
      <c r="G14" s="261" t="s">
        <v>2418</v>
      </c>
    </row>
    <row r="15" spans="1:8" s="256" customFormat="1" ht="13.5" hidden="1" customHeight="1">
      <c r="A15" s="269" t="s">
        <v>11</v>
      </c>
      <c r="B15" s="257" t="s">
        <v>2419</v>
      </c>
      <c r="C15" s="262"/>
      <c r="D15" s="1031"/>
      <c r="E15" s="260"/>
      <c r="F15" s="260"/>
      <c r="G15" s="261" t="s">
        <v>2420</v>
      </c>
    </row>
    <row r="16" spans="1:8" s="256" customFormat="1" ht="13.5" hidden="1" customHeight="1">
      <c r="A16" s="269" t="s">
        <v>12</v>
      </c>
      <c r="B16" s="257" t="s">
        <v>2329</v>
      </c>
      <c r="C16" s="262"/>
      <c r="D16" s="1031"/>
      <c r="E16" s="260"/>
      <c r="F16" s="260"/>
      <c r="G16" s="261"/>
    </row>
    <row r="17" spans="1:7" s="256" customFormat="1" ht="13.5" hidden="1" customHeight="1">
      <c r="A17" s="269" t="s">
        <v>13</v>
      </c>
      <c r="B17" s="257" t="s">
        <v>2421</v>
      </c>
      <c r="C17" s="271"/>
      <c r="D17" s="1032"/>
      <c r="E17" s="271"/>
      <c r="F17" s="271"/>
      <c r="G17" s="261" t="s">
        <v>2420</v>
      </c>
    </row>
    <row r="18" spans="1:7" s="256" customFormat="1" ht="13.5" hidden="1" customHeight="1">
      <c r="A18" s="269" t="s">
        <v>14</v>
      </c>
      <c r="B18" s="257" t="s">
        <v>2422</v>
      </c>
      <c r="C18" s="262">
        <v>0</v>
      </c>
      <c r="D18" s="1031"/>
      <c r="E18" s="260"/>
      <c r="F18" s="263">
        <v>3.0499999999999999E-2</v>
      </c>
      <c r="G18" s="261" t="s">
        <v>2423</v>
      </c>
    </row>
    <row r="19" spans="1:7" s="265" customFormat="1" ht="13.5" customHeight="1">
      <c r="A19" s="297" t="s">
        <v>2424</v>
      </c>
      <c r="B19" s="252" t="s">
        <v>2425</v>
      </c>
      <c r="C19" s="253" t="str">
        <f>IF(G19="已包含在土地取得成本中","0",ROUND(D19*E19,0))</f>
        <v>0</v>
      </c>
      <c r="D19" s="1033">
        <f ca="1">D9+D10</f>
        <v>64165.63</v>
      </c>
      <c r="E19" s="253">
        <f>'数据-取费表'!B31</f>
        <v>200</v>
      </c>
      <c r="F19" s="273"/>
      <c r="G19" s="2535" t="s">
        <v>3441</v>
      </c>
    </row>
    <row r="20" spans="1:7" s="256" customFormat="1" ht="13.5" customHeight="1">
      <c r="A20" s="297" t="s">
        <v>2426</v>
      </c>
      <c r="B20" s="252" t="s">
        <v>2427</v>
      </c>
      <c r="C20" s="274">
        <f ca="1">ROUND((C5+C19)*F20,0)</f>
        <v>2779148</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5">
        <f ca="1">ROUND(SUM(C23:C25),0)</f>
        <v>13646486</v>
      </c>
      <c r="D22" s="277">
        <f ca="1">C26</f>
        <v>1E-3</v>
      </c>
      <c r="E22" s="278" t="s">
        <v>2431</v>
      </c>
      <c r="F22" s="279">
        <f ca="1">'数据-取费表'!B40</f>
        <v>4.7500000000000001E-2</v>
      </c>
      <c r="G22" s="276" t="str">
        <f>IF('数据-取费表'!B22&lt;=1,"单利计息","复利计息")</f>
        <v>复利计息</v>
      </c>
    </row>
    <row r="23" spans="1:7" s="256" customFormat="1" ht="13.5" customHeight="1">
      <c r="A23" s="948" t="s">
        <v>2324</v>
      </c>
      <c r="B23" s="257" t="s">
        <v>2435</v>
      </c>
      <c r="C23" s="1376">
        <f ca="1">ROUND(IF('数据-取费表'!B22&lt;=1,C5*F22*'数据-取费表'!B22,C5*(POWER((1+F22),'数据-取费表'!B22)-1)),0)</f>
        <v>13514476</v>
      </c>
      <c r="D23" s="280"/>
      <c r="E23" s="280"/>
      <c r="F23" s="281"/>
      <c r="G23" s="282" t="s">
        <v>2436</v>
      </c>
    </row>
    <row r="24" spans="1:7" s="256" customFormat="1" ht="13.5" customHeight="1">
      <c r="A24" s="948" t="s">
        <v>2326</v>
      </c>
      <c r="B24" s="257" t="s">
        <v>2437</v>
      </c>
      <c r="C24" s="1376">
        <f ca="1">ROUND(IF('数据-取费表'!B22&lt;=1,C19*F22*('数据-取费表'!B19/2+'数据-取费表'!B20),C19*(POWER((1+F22),('数据-取费表'!B19/2+'数据-取费表'!B20))-1)),0)</f>
        <v>0</v>
      </c>
      <c r="D24" s="280"/>
      <c r="E24" s="280"/>
      <c r="F24" s="281"/>
      <c r="G24" s="282" t="s">
        <v>2438</v>
      </c>
    </row>
    <row r="25" spans="1:7" s="256" customFormat="1" ht="24">
      <c r="A25" s="948" t="s">
        <v>2328</v>
      </c>
      <c r="B25" s="257" t="s">
        <v>2439</v>
      </c>
      <c r="C25" s="1376">
        <f ca="1">ROUND(IF('数据-取费表'!B22&lt;=1,C20*F22*'数据-取费表'!B22/2,C20*(POWER((1+F22),'数据-取费表'!B22/2)-1)),0)</f>
        <v>132010</v>
      </c>
      <c r="D25" s="280"/>
      <c r="E25" s="283"/>
      <c r="F25" s="281"/>
      <c r="G25" s="284" t="s">
        <v>2440</v>
      </c>
    </row>
    <row r="26" spans="1:7" s="256" customFormat="1">
      <c r="A26" s="948"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29764677</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ROUND((C5+C19+C20)*F27,0)</f>
        <v>29764677</v>
      </c>
      <c r="D28" s="277"/>
      <c r="E28" s="278"/>
      <c r="F28" s="288"/>
      <c r="G28" s="289"/>
    </row>
    <row r="29" spans="1:7" s="256" customFormat="1" ht="13.5" customHeight="1">
      <c r="A29" s="948"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200919933</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186242208</v>
      </c>
      <c r="D33" s="274"/>
      <c r="E33" s="254"/>
      <c r="F33" s="283"/>
      <c r="G33" s="276"/>
    </row>
    <row r="34" spans="1:7" s="300" customFormat="1" ht="13.5" customHeight="1">
      <c r="A34" s="948" t="s">
        <v>791</v>
      </c>
      <c r="B34" s="257" t="s">
        <v>2377</v>
      </c>
      <c r="C34" s="262">
        <f ca="1">ROUND(IF(B1="",SUMPRODUCT('数据-取费表'!K6:K14,'数据-取费表'!L6:L14),INDIRECT("'数据-取费表'!l"&amp;$G$1)*INDIRECT("'数据-取费表'!k"&amp;$G$1)+'数据-取费表'!L14*INDIRECT("'数据-取费表'!S"&amp;$G$1)),0)</f>
        <v>159825346</v>
      </c>
      <c r="D34" s="259"/>
      <c r="E34" s="262"/>
      <c r="F34" s="299"/>
      <c r="G34" s="261"/>
    </row>
    <row r="35" spans="1:7" ht="13.5" customHeight="1">
      <c r="A35" s="948" t="s">
        <v>796</v>
      </c>
      <c r="B35" s="257" t="s">
        <v>2379</v>
      </c>
      <c r="C35" s="262">
        <f ca="1">ROUND(C34*F35,0)</f>
        <v>4794760</v>
      </c>
      <c r="D35" s="262"/>
      <c r="E35" s="262"/>
      <c r="F35" s="301">
        <f>'数据-取费表'!B33</f>
        <v>0.03</v>
      </c>
      <c r="G35" s="261" t="s">
        <v>2380</v>
      </c>
    </row>
    <row r="36" spans="1:7" ht="24">
      <c r="A36" s="948" t="s">
        <v>797</v>
      </c>
      <c r="B36" s="257" t="s">
        <v>2381</v>
      </c>
      <c r="C36" s="262">
        <f ca="1">ROUND(IF(B1="",SUM('数据-取费表'!AP6:AP13)*F36,IF(INDIRECT("'数据-取费表'!c"&amp;$G$1)="住宅",INDIRECT("'数据-取费表'!k"&amp;$G$1)*INDIRECT("'数据-取费表'!l"&amp;$G$1)*F36,0)),0)</f>
        <v>6391596</v>
      </c>
      <c r="D36" s="262"/>
      <c r="E36" s="262"/>
      <c r="F36" s="301">
        <f>'数据-取费表'!B34</f>
        <v>0.05</v>
      </c>
      <c r="G36" s="302" t="s">
        <v>2382</v>
      </c>
    </row>
    <row r="37" spans="1:7" s="300" customFormat="1" ht="13.5" customHeight="1">
      <c r="A37" s="948" t="s">
        <v>798</v>
      </c>
      <c r="B37" s="257" t="s">
        <v>2383</v>
      </c>
      <c r="C37" s="291">
        <f ca="1">ROUND(E37*D37,0)</f>
        <v>12833126</v>
      </c>
      <c r="D37" s="259">
        <f ca="1">D19</f>
        <v>64165.63</v>
      </c>
      <c r="E37" s="291">
        <f>'数据-取费表'!B35</f>
        <v>200</v>
      </c>
      <c r="F37" s="301"/>
      <c r="G37" s="303"/>
    </row>
    <row r="38" spans="1:7" ht="13.5" customHeight="1">
      <c r="A38" s="948" t="s">
        <v>799</v>
      </c>
      <c r="B38" s="257" t="s">
        <v>2385</v>
      </c>
      <c r="C38" s="262">
        <f ca="1">ROUND(C34*F38,0)</f>
        <v>2397380</v>
      </c>
      <c r="D38" s="262"/>
      <c r="E38" s="262"/>
      <c r="F38" s="301">
        <f>'数据-取费表'!B36</f>
        <v>1.4999999999999999E-2</v>
      </c>
      <c r="G38" s="261" t="s">
        <v>2380</v>
      </c>
    </row>
    <row r="39" spans="1:7" s="256" customFormat="1" ht="13.5" customHeight="1">
      <c r="A39" s="297" t="s">
        <v>2386</v>
      </c>
      <c r="B39" s="252" t="s">
        <v>2387</v>
      </c>
      <c r="C39" s="274">
        <f ca="1">ROUND(C33*F20,0)</f>
        <v>3724844</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9023435</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ROUND(IF('数据-取费表'!B22&lt;=1,C33*F22*'数据-取费表'!B20/2,C33*(POWER((1+F22),'数据-取费表'!B20/2)-1)),0)</f>
        <v>8846505</v>
      </c>
      <c r="D42" s="280"/>
      <c r="E42" s="280"/>
      <c r="F42" s="281"/>
      <c r="G42" s="3259" t="s">
        <v>2443</v>
      </c>
    </row>
    <row r="43" spans="1:7" ht="13.5" customHeight="1">
      <c r="A43" s="948" t="s">
        <v>792</v>
      </c>
      <c r="B43" s="257" t="s">
        <v>2397</v>
      </c>
      <c r="C43" s="280">
        <f ca="1">ROUND(IF('数据-取费表'!B22&lt;=1,C39*F22*'数据-取费表'!B20/2,C39*(POWER((1+F22),'数据-取费表'!B20/2)-1)),0)</f>
        <v>176930</v>
      </c>
      <c r="D43" s="280"/>
      <c r="E43" s="280"/>
      <c r="F43" s="281"/>
      <c r="G43" s="3260"/>
    </row>
    <row r="44" spans="1:7" ht="13.5" customHeight="1">
      <c r="A44" s="948" t="s">
        <v>793</v>
      </c>
      <c r="B44" s="257" t="s">
        <v>2398</v>
      </c>
      <c r="C44" s="280">
        <f ca="1">ROUND(IF('数据-取费表'!B22&lt;=1,C40*F22*'数据-取费表'!B20/2,C40*(POWER((1+F22),'数据-取费表'!B20/2)-1)),4)</f>
        <v>1E-3</v>
      </c>
      <c r="D44" s="280"/>
      <c r="E44" s="280"/>
      <c r="F44" s="281"/>
      <c r="G44" s="3261"/>
    </row>
    <row r="45" spans="1:7" s="256" customFormat="1" ht="13.5" customHeight="1">
      <c r="A45" s="297" t="s">
        <v>2399</v>
      </c>
      <c r="B45" s="286" t="s">
        <v>2365</v>
      </c>
      <c r="C45" s="287">
        <f ca="1">C46</f>
        <v>39893081</v>
      </c>
      <c r="D45" s="277">
        <f ca="1">C47</f>
        <v>4.1999999999999997E-3</v>
      </c>
      <c r="E45" s="278" t="s">
        <v>2391</v>
      </c>
      <c r="F45" s="288"/>
      <c r="G45" s="289" t="s">
        <v>2400</v>
      </c>
    </row>
    <row r="46" spans="1:7" s="256" customFormat="1" ht="13.5" customHeight="1">
      <c r="A46" s="948" t="s">
        <v>791</v>
      </c>
      <c r="B46" s="290" t="s">
        <v>2401</v>
      </c>
      <c r="C46" s="291">
        <f ca="1">ROUND((C33+C39)*F27,0)</f>
        <v>39893081</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259233389</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259233389</v>
      </c>
      <c r="D51" s="274"/>
      <c r="E51" s="274"/>
      <c r="F51" s="306"/>
      <c r="G51" s="276" t="s">
        <v>2412</v>
      </c>
    </row>
    <row r="52" spans="1:7" s="250" customFormat="1" ht="16.5" thickBot="1">
      <c r="A52" s="307" t="s">
        <v>2413</v>
      </c>
      <c r="B52" s="308"/>
      <c r="C52" s="309">
        <f ca="1">C31+C51</f>
        <v>460153322</v>
      </c>
      <c r="D52" s="308"/>
      <c r="E52" s="308"/>
      <c r="F52" s="308"/>
      <c r="G52" s="310"/>
    </row>
    <row r="55" spans="1:7" ht="15">
      <c r="B55" s="312" t="s">
        <v>2414</v>
      </c>
      <c r="C55" s="313"/>
    </row>
    <row r="56" spans="1:7">
      <c r="B56" s="315" t="s">
        <v>1513</v>
      </c>
      <c r="C56" s="317">
        <f ca="1">1-C57</f>
        <v>0.43700000000000006</v>
      </c>
    </row>
    <row r="57" spans="1:7">
      <c r="B57" s="315" t="s">
        <v>1514</v>
      </c>
      <c r="C57" s="316">
        <f ca="1">ROUND(C51/C52,3)</f>
        <v>0.56299999999999994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2314</v>
      </c>
      <c r="B2" s="668">
        <f>F66</f>
        <v>12675</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2316</v>
      </c>
      <c r="B3" s="606">
        <f>ROUND(IF(D3="",B2*10000/'数据-汇总表'!E3,B2*10000/D3),0)</f>
        <v>1975</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30" ht="15">
      <c r="A5" s="402"/>
      <c r="B5" s="403"/>
      <c r="C5" s="3296" t="s">
        <v>2526</v>
      </c>
      <c r="D5" s="3297"/>
      <c r="E5" s="3303" t="str">
        <f>Sheet4!A7</f>
        <v>黄河十五路以北、渤海四路以东</v>
      </c>
      <c r="F5" s="3304"/>
      <c r="G5" s="3296" t="str">
        <f>Sheet4!A10</f>
        <v>黄河四路以北、渤海九路以西</v>
      </c>
      <c r="H5" s="3297"/>
      <c r="I5" s="3296" t="str">
        <f>Sheet4!A13</f>
        <v>黄河十路以南、渤海十二路以东</v>
      </c>
      <c r="J5" s="3297"/>
      <c r="K5" s="607"/>
      <c r="L5" s="1127"/>
      <c r="M5" s="1128"/>
      <c r="N5" s="1128"/>
      <c r="O5" s="1128"/>
      <c r="P5" s="3284"/>
      <c r="Q5" s="3285"/>
      <c r="R5" s="3290"/>
      <c r="S5" s="3291"/>
      <c r="T5" s="3290"/>
      <c r="U5" s="3291"/>
      <c r="V5" s="3275"/>
      <c r="W5" s="3275"/>
      <c r="X5" s="1807"/>
      <c r="Y5" s="3290"/>
      <c r="Z5" s="3291"/>
      <c r="AA5" s="3277"/>
      <c r="AB5" s="3277"/>
      <c r="AC5" s="3277"/>
    </row>
    <row r="6" spans="1:30" ht="15.75" thickBot="1">
      <c r="A6" s="404"/>
      <c r="B6" s="405"/>
      <c r="C6" s="3294" t="s">
        <v>2530</v>
      </c>
      <c r="D6" s="3295"/>
      <c r="E6" s="3301" t="s">
        <v>2530</v>
      </c>
      <c r="F6" s="3302"/>
      <c r="G6" s="3294" t="s">
        <v>2530</v>
      </c>
      <c r="H6" s="3295"/>
      <c r="I6" s="3294"/>
      <c r="J6" s="3295"/>
      <c r="K6" s="607" t="s">
        <v>2531</v>
      </c>
      <c r="L6" s="1127"/>
      <c r="M6" s="1128"/>
      <c r="N6" s="1128"/>
      <c r="O6" s="1128"/>
      <c r="P6" s="3286"/>
      <c r="Q6" s="3287"/>
      <c r="R6" s="3290"/>
      <c r="S6" s="3291"/>
      <c r="T6" s="3292"/>
      <c r="U6" s="3293"/>
      <c r="V6" s="3275"/>
      <c r="W6" s="3275"/>
      <c r="X6" s="1807"/>
      <c r="Y6" s="3292"/>
      <c r="Z6" s="3293"/>
      <c r="AA6" s="3278"/>
      <c r="AB6" s="3278"/>
      <c r="AC6" s="3278"/>
    </row>
    <row r="7" spans="1:30" s="116" customFormat="1" ht="15.75" thickBot="1">
      <c r="A7" s="406" t="s">
        <v>2532</v>
      </c>
      <c r="B7" s="407"/>
      <c r="C7" s="408">
        <f>'数据-取费表'!B2</f>
        <v>43207</v>
      </c>
      <c r="D7" s="409">
        <v>100</v>
      </c>
      <c r="E7" s="410" t="str">
        <f>Sheet4!H7</f>
        <v>2017-11-13</v>
      </c>
      <c r="F7" s="411">
        <f>SUMIF(70:70,YEAR(E7)&amp;"-"&amp;INT((MONTH(E7)+2)/3),71:71)</f>
        <v>98</v>
      </c>
      <c r="G7" s="2681" t="str">
        <f>Sheet4!H10</f>
        <v>2017-10-19</v>
      </c>
      <c r="H7" s="409">
        <f>SUMIF(70:70,YEAR(G7)&amp;"-"&amp;INT((MONTH(G7)+2)/3),71:71)</f>
        <v>98</v>
      </c>
      <c r="I7" s="2681" t="str">
        <f>Sheet4!H13</f>
        <v>2017-10-19</v>
      </c>
      <c r="J7" s="409">
        <f>SUMIF(70:70,YEAR(I7)&amp;"-"&amp;INT((MONTH(I7)+2)/3),71:71)</f>
        <v>98</v>
      </c>
      <c r="K7" s="608"/>
      <c r="L7" s="1129"/>
      <c r="M7" s="1130"/>
      <c r="N7" s="1130"/>
      <c r="O7" s="1130"/>
      <c r="P7" s="3298" t="s">
        <v>2533</v>
      </c>
      <c r="Q7" s="3300"/>
      <c r="R7" s="765" t="s">
        <v>17</v>
      </c>
      <c r="S7" s="766">
        <f t="shared" ref="S7:S15" si="0">F7</f>
        <v>98</v>
      </c>
      <c r="T7" s="765" t="s">
        <v>17</v>
      </c>
      <c r="U7" s="766">
        <f t="shared" ref="U7:U15" si="1">H7</f>
        <v>98</v>
      </c>
      <c r="V7" s="765" t="s">
        <v>17</v>
      </c>
      <c r="W7" s="766">
        <f t="shared" ref="W7:W15" si="2">J7</f>
        <v>98</v>
      </c>
      <c r="X7" s="767"/>
      <c r="Y7" s="3298" t="s">
        <v>2533</v>
      </c>
      <c r="Z7" s="3299"/>
      <c r="AA7" s="768">
        <f>D7/F7</f>
        <v>1.0204081632653061</v>
      </c>
      <c r="AB7" s="768">
        <f>D7/H7</f>
        <v>1.0204081632653061</v>
      </c>
      <c r="AC7" s="768">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8"/>
      <c r="L8" s="1129"/>
      <c r="M8" s="1130"/>
      <c r="N8" s="1130"/>
      <c r="O8" s="1130"/>
      <c r="P8" s="3298" t="s">
        <v>2536</v>
      </c>
      <c r="Q8" s="3299"/>
      <c r="R8" s="765" t="s">
        <v>17</v>
      </c>
      <c r="S8" s="766">
        <f t="shared" si="0"/>
        <v>100</v>
      </c>
      <c r="T8" s="765" t="s">
        <v>17</v>
      </c>
      <c r="U8" s="766">
        <f t="shared" si="1"/>
        <v>100</v>
      </c>
      <c r="V8" s="765" t="s">
        <v>17</v>
      </c>
      <c r="W8" s="766">
        <f t="shared" si="2"/>
        <v>100</v>
      </c>
      <c r="X8" s="767"/>
      <c r="Y8" s="3298" t="s">
        <v>2536</v>
      </c>
      <c r="Z8" s="3299"/>
      <c r="AA8" s="768">
        <f t="shared" ref="AA8:AA45" si="3">D8/F8</f>
        <v>1</v>
      </c>
      <c r="AB8" s="768">
        <f t="shared" ref="AB8:AB45" si="4">D8/H8</f>
        <v>1</v>
      </c>
      <c r="AC8" s="768">
        <f t="shared" ref="AC8:AC45" si="5">D8/J8</f>
        <v>1</v>
      </c>
    </row>
    <row r="9" spans="1:30" s="116" customFormat="1">
      <c r="A9" s="413" t="s">
        <v>2537</v>
      </c>
      <c r="B9" s="71" t="s">
        <v>2538</v>
      </c>
      <c r="C9" s="2684" t="s">
        <v>3165</v>
      </c>
      <c r="D9" s="133">
        <v>100</v>
      </c>
      <c r="E9" s="2684" t="s">
        <v>3165</v>
      </c>
      <c r="F9" s="133">
        <f>SUMIF(75:75,E9,76:76)-SUMIF(75:75,C9,76:76)+100</f>
        <v>100</v>
      </c>
      <c r="G9" s="2684" t="s">
        <v>3165</v>
      </c>
      <c r="H9" s="133">
        <f>SUMIF(75:75,G9,76:76)-SUMIF(75:75,C9,76:76)+100</f>
        <v>100</v>
      </c>
      <c r="I9" s="2684" t="s">
        <v>3413</v>
      </c>
      <c r="J9" s="133">
        <f>SUMIF(75:75,I9,76:76)-SUMIF(75:75,C9,76:76)+100</f>
        <v>105</v>
      </c>
      <c r="K9" s="608"/>
      <c r="L9" s="1129"/>
      <c r="M9" s="1130"/>
      <c r="N9" s="1130"/>
      <c r="O9" s="1131"/>
      <c r="P9" s="3269" t="s">
        <v>2539</v>
      </c>
      <c r="Q9" s="1789" t="str">
        <f t="shared" ref="Q9:Q15" si="6">B9</f>
        <v>用途</v>
      </c>
      <c r="R9" s="765" t="s">
        <v>17</v>
      </c>
      <c r="S9" s="766">
        <f t="shared" si="0"/>
        <v>100</v>
      </c>
      <c r="T9" s="765" t="s">
        <v>17</v>
      </c>
      <c r="U9" s="766">
        <f t="shared" si="1"/>
        <v>100</v>
      </c>
      <c r="V9" s="765" t="s">
        <v>17</v>
      </c>
      <c r="W9" s="766">
        <f t="shared" si="2"/>
        <v>105</v>
      </c>
      <c r="X9" s="767"/>
      <c r="Y9" s="3117" t="s">
        <v>2540</v>
      </c>
      <c r="Z9" s="55" t="str">
        <f t="shared" ref="Z9:Z15" si="7">Q9</f>
        <v>用途</v>
      </c>
      <c r="AA9" s="768">
        <f t="shared" si="3"/>
        <v>1</v>
      </c>
      <c r="AB9" s="768">
        <f t="shared" si="4"/>
        <v>1</v>
      </c>
      <c r="AC9" s="768">
        <f t="shared" si="5"/>
        <v>0.95238095238095233</v>
      </c>
    </row>
    <row r="10" spans="1:30" s="424" customFormat="1" ht="27">
      <c r="A10" s="418"/>
      <c r="B10" s="419" t="s">
        <v>2541</v>
      </c>
      <c r="C10" s="429">
        <f>项目基本情况!D15</f>
        <v>60.97</v>
      </c>
      <c r="D10" s="134">
        <v>100</v>
      </c>
      <c r="E10" s="462" t="s">
        <v>3434</v>
      </c>
      <c r="F10" s="134">
        <f>ROUND(100/'数据-取费表'!G16,0)</f>
        <v>104</v>
      </c>
      <c r="G10" s="460" t="s">
        <v>3434</v>
      </c>
      <c r="H10" s="134">
        <f>ROUND(100/'数据-取费表'!G16,0)</f>
        <v>104</v>
      </c>
      <c r="I10" s="460" t="s">
        <v>3435</v>
      </c>
      <c r="J10" s="134">
        <f>ROUND(100/'数据-取费表'!G16,0)</f>
        <v>104</v>
      </c>
      <c r="K10" s="669"/>
      <c r="L10" s="1132"/>
      <c r="M10" s="1133"/>
      <c r="N10" s="1133"/>
      <c r="O10" s="1134"/>
      <c r="P10" s="3269"/>
      <c r="Q10" s="1789" t="str">
        <f t="shared" si="6"/>
        <v>土地使用年限（年）</v>
      </c>
      <c r="R10" s="765" t="s">
        <v>17</v>
      </c>
      <c r="S10" s="766">
        <f t="shared" si="0"/>
        <v>104</v>
      </c>
      <c r="T10" s="765" t="s">
        <v>17</v>
      </c>
      <c r="U10" s="766">
        <f t="shared" si="1"/>
        <v>104</v>
      </c>
      <c r="V10" s="765" t="s">
        <v>17</v>
      </c>
      <c r="W10" s="766">
        <f t="shared" si="2"/>
        <v>104</v>
      </c>
      <c r="X10" s="767"/>
      <c r="Y10" s="3117"/>
      <c r="Z10" s="55" t="str">
        <f t="shared" si="7"/>
        <v>土地使用年限（年）</v>
      </c>
      <c r="AA10" s="768">
        <f t="shared" si="3"/>
        <v>0.96153846153846156</v>
      </c>
      <c r="AB10" s="768">
        <f t="shared" si="4"/>
        <v>0.96153846153846156</v>
      </c>
      <c r="AC10" s="768">
        <f t="shared" si="5"/>
        <v>0.96153846153846156</v>
      </c>
    </row>
    <row r="11" spans="1:30" ht="15">
      <c r="A11" s="425"/>
      <c r="B11" s="419" t="s">
        <v>2542</v>
      </c>
      <c r="C11" s="3052">
        <f>'数据-汇总表'!I5</f>
        <v>1.26</v>
      </c>
      <c r="D11" s="134">
        <v>100</v>
      </c>
      <c r="E11" s="426">
        <v>3</v>
      </c>
      <c r="F11" s="134">
        <f>LOOKUP(E11,80:80,81:81)-LOOKUP(C11,80:80,81:81)+100</f>
        <v>90</v>
      </c>
      <c r="G11" s="427">
        <v>2.6</v>
      </c>
      <c r="H11" s="134">
        <f>LOOKUP(G11,80:80,81:81)-LOOKUP(C11,80:80,81:81)+100</f>
        <v>95</v>
      </c>
      <c r="I11" s="426">
        <v>3</v>
      </c>
      <c r="J11" s="134">
        <f>LOOKUP(I11,80:80,81:81)-LOOKUP(C11,80:80,81:81)+100</f>
        <v>90</v>
      </c>
      <c r="K11" s="3065">
        <v>5</v>
      </c>
      <c r="L11" s="1135"/>
      <c r="M11" s="1128"/>
      <c r="N11" s="1128"/>
      <c r="O11" s="1136"/>
      <c r="P11" s="3269"/>
      <c r="Q11" s="1789" t="str">
        <f t="shared" si="6"/>
        <v>容积率</v>
      </c>
      <c r="R11" s="765" t="s">
        <v>17</v>
      </c>
      <c r="S11" s="766">
        <f t="shared" si="0"/>
        <v>90</v>
      </c>
      <c r="T11" s="765" t="s">
        <v>17</v>
      </c>
      <c r="U11" s="766">
        <f t="shared" si="1"/>
        <v>95</v>
      </c>
      <c r="V11" s="765" t="s">
        <v>17</v>
      </c>
      <c r="W11" s="766">
        <f t="shared" si="2"/>
        <v>90</v>
      </c>
      <c r="X11" s="767"/>
      <c r="Y11" s="3117"/>
      <c r="Z11" s="55" t="str">
        <f t="shared" si="7"/>
        <v>容积率</v>
      </c>
      <c r="AA11" s="768">
        <f t="shared" si="3"/>
        <v>1.1111111111111112</v>
      </c>
      <c r="AB11" s="768">
        <f t="shared" si="4"/>
        <v>1.0526315789473684</v>
      </c>
      <c r="AC11" s="768">
        <f t="shared" si="5"/>
        <v>1.1111111111111112</v>
      </c>
    </row>
    <row r="12" spans="1:30" s="116" customFormat="1" ht="15">
      <c r="A12" s="428"/>
      <c r="B12" s="2585" t="s">
        <v>2731</v>
      </c>
      <c r="C12" s="429"/>
      <c r="D12" s="430">
        <v>100</v>
      </c>
      <c r="E12" s="462"/>
      <c r="F12" s="134">
        <f>SUMIF(82:82,E12,83:83)-SUMIF(82:82,C12,83:83)+100</f>
        <v>100</v>
      </c>
      <c r="G12" s="460"/>
      <c r="H12" s="134">
        <f>SUMIF(82:82,G12,83:83)-SUMIF(82:82,C12,83:83)+100</f>
        <v>100</v>
      </c>
      <c r="I12" s="462"/>
      <c r="J12" s="134">
        <f>SUMIF(82:82,I12,83:83)-SUMIF(82:82,C12,83:83)+100</f>
        <v>100</v>
      </c>
      <c r="K12" s="669"/>
      <c r="L12" s="1129"/>
      <c r="M12" s="1130"/>
      <c r="N12" s="1130"/>
      <c r="O12" s="1131"/>
      <c r="P12" s="3269"/>
      <c r="Q12" s="1789" t="str">
        <f t="shared" si="6"/>
        <v>配建</v>
      </c>
      <c r="R12" s="765" t="s">
        <v>17</v>
      </c>
      <c r="S12" s="766">
        <f t="shared" si="0"/>
        <v>100</v>
      </c>
      <c r="T12" s="765" t="s">
        <v>17</v>
      </c>
      <c r="U12" s="766">
        <f t="shared" si="1"/>
        <v>100</v>
      </c>
      <c r="V12" s="765" t="s">
        <v>17</v>
      </c>
      <c r="W12" s="766">
        <f t="shared" si="2"/>
        <v>100</v>
      </c>
      <c r="X12" s="767"/>
      <c r="Y12" s="3117"/>
      <c r="Z12" s="55" t="str">
        <f t="shared" si="7"/>
        <v>配建</v>
      </c>
      <c r="AA12" s="768">
        <f>D12/F12</f>
        <v>1</v>
      </c>
      <c r="AB12" s="768">
        <f>D12/H12</f>
        <v>1</v>
      </c>
      <c r="AC12" s="768">
        <f>D12/J12</f>
        <v>1</v>
      </c>
    </row>
    <row r="13" spans="1:30" ht="15">
      <c r="A13" s="425"/>
      <c r="B13" s="2585">
        <v>111</v>
      </c>
      <c r="C13" s="431"/>
      <c r="D13" s="432">
        <v>100</v>
      </c>
      <c r="E13" s="546"/>
      <c r="F13" s="134">
        <f>SUMIF(84:84,E13,85:85)-SUMIF(84:84,C13,85:85)+100</f>
        <v>100</v>
      </c>
      <c r="G13" s="671"/>
      <c r="H13" s="432">
        <f>SUMIF(84:84,G13,85:85)-SUMIF(84:84,C13,85:85)+100</f>
        <v>100</v>
      </c>
      <c r="I13" s="671"/>
      <c r="J13" s="432">
        <f>SUMIF(84:84,I13,85:85)-SUMIF(84:84,C13,85:85)+100</f>
        <v>100</v>
      </c>
      <c r="K13" s="669"/>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D13/F13</f>
        <v>1</v>
      </c>
      <c r="AB13" s="768">
        <f>D13/H13</f>
        <v>1</v>
      </c>
      <c r="AC13" s="768">
        <f>D13/J13</f>
        <v>1</v>
      </c>
    </row>
    <row r="14" spans="1:30" ht="15.75" thickBot="1">
      <c r="A14" s="433"/>
      <c r="B14" s="2587">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D14/F14</f>
        <v>1</v>
      </c>
      <c r="AB14" s="768">
        <f>D14/H14</f>
        <v>1</v>
      </c>
      <c r="AC14" s="768">
        <f>D14/J14</f>
        <v>1</v>
      </c>
    </row>
    <row r="15" spans="1:30" ht="15">
      <c r="A15" s="437" t="s">
        <v>2543</v>
      </c>
      <c r="B15" s="69" t="s">
        <v>2083</v>
      </c>
      <c r="C15" s="2588">
        <f>估价对象房地状况!C15</f>
        <v>0</v>
      </c>
      <c r="D15" s="438">
        <v>100</v>
      </c>
      <c r="E15" s="439"/>
      <c r="F15" s="438">
        <f>SUMIF(88:88,E16,89:89)-SUMIF(88:88,C16,89:89)+100</f>
        <v>102</v>
      </c>
      <c r="G15" s="439"/>
      <c r="H15" s="438">
        <f>SUMIF(88:88,G16,89:89)-SUMIF(88:88,C16,89:89)+100</f>
        <v>102</v>
      </c>
      <c r="I15" s="441"/>
      <c r="J15" s="438">
        <f>SUMIF(88:88,I16,89:89)-SUMIF(88:88,C16,89:89)+100</f>
        <v>102</v>
      </c>
      <c r="K15" s="3065">
        <v>1</v>
      </c>
      <c r="L15" s="1137"/>
      <c r="M15" s="1128"/>
      <c r="N15" s="1128"/>
      <c r="O15" s="1136"/>
      <c r="P15" s="3271" t="s">
        <v>2544</v>
      </c>
      <c r="Q15" s="1804" t="str">
        <f t="shared" si="6"/>
        <v>居住社区成熟度</v>
      </c>
      <c r="R15" s="769" t="s">
        <v>17</v>
      </c>
      <c r="S15" s="770">
        <f t="shared" si="0"/>
        <v>102</v>
      </c>
      <c r="T15" s="769" t="s">
        <v>17</v>
      </c>
      <c r="U15" s="770">
        <f t="shared" si="1"/>
        <v>102</v>
      </c>
      <c r="V15" s="769" t="s">
        <v>17</v>
      </c>
      <c r="W15" s="770">
        <f t="shared" si="2"/>
        <v>102</v>
      </c>
      <c r="X15" s="1807"/>
      <c r="Y15" s="3271" t="s">
        <v>2544</v>
      </c>
      <c r="Z15" s="1808" t="str">
        <f t="shared" si="7"/>
        <v>居住社区成熟度</v>
      </c>
      <c r="AA15" s="1805">
        <f t="shared" si="3"/>
        <v>0.98039215686274506</v>
      </c>
      <c r="AB15" s="1805">
        <f t="shared" si="4"/>
        <v>0.98039215686274506</v>
      </c>
      <c r="AC15" s="1805">
        <f t="shared" si="5"/>
        <v>0.98039215686274506</v>
      </c>
    </row>
    <row r="16" spans="1:30" ht="15">
      <c r="A16" s="425"/>
      <c r="B16" s="443"/>
      <c r="C16" s="3064" t="s">
        <v>3275</v>
      </c>
      <c r="D16" s="445"/>
      <c r="E16" s="2590" t="s">
        <v>3055</v>
      </c>
      <c r="F16" s="445"/>
      <c r="G16" s="2590" t="s">
        <v>3055</v>
      </c>
      <c r="H16" s="447"/>
      <c r="I16" s="2589" t="s">
        <v>3055</v>
      </c>
      <c r="J16" s="445"/>
      <c r="K16" s="669"/>
      <c r="L16" s="1137"/>
      <c r="M16" s="1128"/>
      <c r="N16" s="1128"/>
      <c r="O16" s="1136"/>
      <c r="P16" s="3272"/>
      <c r="Q16" s="1804"/>
      <c r="R16" s="769"/>
      <c r="S16" s="770"/>
      <c r="T16" s="769"/>
      <c r="U16" s="770"/>
      <c r="V16" s="769"/>
      <c r="W16" s="770"/>
      <c r="X16" s="1807"/>
      <c r="Y16" s="3272"/>
      <c r="Z16" s="1808"/>
      <c r="AA16" s="1805">
        <v>1</v>
      </c>
      <c r="AB16" s="1805">
        <v>1</v>
      </c>
      <c r="AC16" s="1805">
        <v>1</v>
      </c>
    </row>
    <row r="17" spans="1:29" ht="15">
      <c r="A17" s="425"/>
      <c r="B17" s="448" t="s">
        <v>2637</v>
      </c>
      <c r="C17" s="2649">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0</v>
      </c>
      <c r="L17" s="1137"/>
      <c r="M17" s="1128"/>
      <c r="N17" s="1128"/>
      <c r="O17" s="1136"/>
      <c r="P17" s="3272"/>
      <c r="Q17" s="1804" t="str">
        <f>B17</f>
        <v>商业繁华度</v>
      </c>
      <c r="R17" s="769" t="s">
        <v>17</v>
      </c>
      <c r="S17" s="770">
        <f>F17</f>
        <v>100</v>
      </c>
      <c r="T17" s="769" t="s">
        <v>17</v>
      </c>
      <c r="U17" s="770">
        <f>H17</f>
        <v>100</v>
      </c>
      <c r="V17" s="769" t="s">
        <v>17</v>
      </c>
      <c r="W17" s="770">
        <f>J17</f>
        <v>100</v>
      </c>
      <c r="X17" s="1807"/>
      <c r="Y17" s="3272"/>
      <c r="Z17" s="1808" t="str">
        <f>Q17</f>
        <v>商业繁华度</v>
      </c>
      <c r="AA17" s="1805">
        <f t="shared" si="3"/>
        <v>1</v>
      </c>
      <c r="AB17" s="1805">
        <f t="shared" si="4"/>
        <v>1</v>
      </c>
      <c r="AC17" s="1805">
        <f t="shared" si="5"/>
        <v>1</v>
      </c>
    </row>
    <row r="18" spans="1:29" ht="15">
      <c r="A18" s="425"/>
      <c r="B18" s="453"/>
      <c r="C18" s="2593"/>
      <c r="D18" s="447"/>
      <c r="E18" s="2595"/>
      <c r="F18" s="447"/>
      <c r="G18" s="2595"/>
      <c r="H18" s="445"/>
      <c r="I18" s="2594"/>
      <c r="J18" s="445"/>
      <c r="K18" s="669"/>
      <c r="L18" s="1137"/>
      <c r="M18" s="1128"/>
      <c r="N18" s="1128"/>
      <c r="O18" s="1136"/>
      <c r="P18" s="3272"/>
      <c r="Q18" s="1804"/>
      <c r="R18" s="769"/>
      <c r="S18" s="770"/>
      <c r="T18" s="769"/>
      <c r="U18" s="770"/>
      <c r="V18" s="769"/>
      <c r="W18" s="770"/>
      <c r="X18" s="1807"/>
      <c r="Y18" s="3272"/>
      <c r="Z18" s="1808"/>
      <c r="AA18" s="1805">
        <v>1</v>
      </c>
      <c r="AB18" s="1805">
        <v>1</v>
      </c>
      <c r="AC18" s="1805">
        <v>1</v>
      </c>
    </row>
    <row r="19" spans="1:29" ht="15">
      <c r="A19" s="425"/>
      <c r="B19" s="448" t="s">
        <v>2671</v>
      </c>
      <c r="C19" s="2649">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0</v>
      </c>
      <c r="L19" s="1137"/>
      <c r="M19" s="1128"/>
      <c r="N19" s="1128"/>
      <c r="O19" s="1136"/>
      <c r="P19" s="3272"/>
      <c r="Q19" s="1804" t="str">
        <f>B19</f>
        <v>办公集聚程度</v>
      </c>
      <c r="R19" s="769" t="s">
        <v>17</v>
      </c>
      <c r="S19" s="770">
        <f>F19</f>
        <v>100</v>
      </c>
      <c r="T19" s="769" t="s">
        <v>17</v>
      </c>
      <c r="U19" s="770">
        <f>H19</f>
        <v>100</v>
      </c>
      <c r="V19" s="769" t="s">
        <v>17</v>
      </c>
      <c r="W19" s="770">
        <f>J19</f>
        <v>100</v>
      </c>
      <c r="X19" s="1807"/>
      <c r="Y19" s="3272"/>
      <c r="Z19" s="1808" t="str">
        <f>Q19</f>
        <v>办公集聚程度</v>
      </c>
      <c r="AA19" s="1805">
        <f t="shared" si="3"/>
        <v>1</v>
      </c>
      <c r="AB19" s="1805">
        <f t="shared" si="4"/>
        <v>1</v>
      </c>
      <c r="AC19" s="1805">
        <f t="shared" si="5"/>
        <v>1</v>
      </c>
    </row>
    <row r="20" spans="1:29" ht="15">
      <c r="A20" s="425"/>
      <c r="B20" s="453"/>
      <c r="C20" s="444"/>
      <c r="D20" s="445"/>
      <c r="E20" s="2590"/>
      <c r="F20" s="445"/>
      <c r="G20" s="2590"/>
      <c r="H20" s="445"/>
      <c r="I20" s="2589"/>
      <c r="J20" s="445"/>
      <c r="K20" s="669"/>
      <c r="L20" s="1137"/>
      <c r="M20" s="1128"/>
      <c r="N20" s="1128"/>
      <c r="O20" s="1136"/>
      <c r="P20" s="3272"/>
      <c r="Q20" s="1804"/>
      <c r="R20" s="769"/>
      <c r="S20" s="770"/>
      <c r="T20" s="769"/>
      <c r="U20" s="770"/>
      <c r="V20" s="769"/>
      <c r="W20" s="770"/>
      <c r="X20" s="1807"/>
      <c r="Y20" s="3272"/>
      <c r="Z20" s="1808"/>
      <c r="AA20" s="1805">
        <v>1</v>
      </c>
      <c r="AB20" s="1805">
        <v>1</v>
      </c>
      <c r="AC20" s="1805">
        <v>1</v>
      </c>
    </row>
    <row r="21" spans="1:29" ht="15">
      <c r="A21" s="425"/>
      <c r="B21" s="448" t="s">
        <v>2693</v>
      </c>
      <c r="C21" s="2592">
        <f>估价对象房地状况!C18</f>
        <v>0</v>
      </c>
      <c r="D21" s="447">
        <v>100</v>
      </c>
      <c r="E21" s="449"/>
      <c r="F21" s="452">
        <f>SUMIF(94:94,E22,95:95)-SUMIF(94:94,C22,95:95)+100</f>
        <v>104</v>
      </c>
      <c r="G21" s="449"/>
      <c r="H21" s="447">
        <f>SUMIF(94:94,G22,95:95)-SUMIF(94:94,C22,95:95)+100</f>
        <v>104</v>
      </c>
      <c r="I21" s="451"/>
      <c r="J21" s="447">
        <f>SUMIF(94:94,I22,95:95)-SUMIF(94:94,C22,95:95)+100</f>
        <v>104</v>
      </c>
      <c r="K21" s="670">
        <v>2</v>
      </c>
      <c r="L21" s="1137"/>
      <c r="M21" s="1128"/>
      <c r="N21" s="1128"/>
      <c r="O21" s="1136"/>
      <c r="P21" s="3272"/>
      <c r="Q21" s="1804" t="str">
        <f>B21</f>
        <v>交通便捷度</v>
      </c>
      <c r="R21" s="769" t="s">
        <v>17</v>
      </c>
      <c r="S21" s="770">
        <f>F21</f>
        <v>104</v>
      </c>
      <c r="T21" s="769" t="s">
        <v>17</v>
      </c>
      <c r="U21" s="770">
        <f>H21</f>
        <v>104</v>
      </c>
      <c r="V21" s="769" t="s">
        <v>17</v>
      </c>
      <c r="W21" s="770">
        <f>J21</f>
        <v>104</v>
      </c>
      <c r="X21" s="1807"/>
      <c r="Y21" s="3272"/>
      <c r="Z21" s="1808" t="str">
        <f>Q21</f>
        <v>交通便捷度</v>
      </c>
      <c r="AA21" s="1805">
        <f t="shared" si="3"/>
        <v>0.96153846153846156</v>
      </c>
      <c r="AB21" s="1805">
        <f t="shared" si="4"/>
        <v>0.96153846153846156</v>
      </c>
      <c r="AC21" s="1805">
        <f t="shared" si="5"/>
        <v>0.96153846153846156</v>
      </c>
    </row>
    <row r="22" spans="1:29" ht="15">
      <c r="A22" s="425"/>
      <c r="B22" s="1379"/>
      <c r="C22" s="444" t="s">
        <v>3275</v>
      </c>
      <c r="D22" s="447"/>
      <c r="E22" s="2590" t="s">
        <v>3055</v>
      </c>
      <c r="F22" s="445"/>
      <c r="G22" s="2590" t="s">
        <v>3055</v>
      </c>
      <c r="H22" s="445"/>
      <c r="I22" s="2589" t="s">
        <v>3055</v>
      </c>
      <c r="J22" s="445"/>
      <c r="K22" s="669"/>
      <c r="L22" s="1137"/>
      <c r="M22" s="1128"/>
      <c r="N22" s="1128"/>
      <c r="O22" s="1136"/>
      <c r="P22" s="3272"/>
      <c r="Q22" s="1804"/>
      <c r="R22" s="769"/>
      <c r="S22" s="770"/>
      <c r="T22" s="769"/>
      <c r="U22" s="770"/>
      <c r="V22" s="769"/>
      <c r="W22" s="770"/>
      <c r="X22" s="1807"/>
      <c r="Y22" s="3272"/>
      <c r="Z22" s="1808"/>
      <c r="AA22" s="1805">
        <v>1</v>
      </c>
      <c r="AB22" s="1805">
        <v>1</v>
      </c>
      <c r="AC22" s="1805">
        <v>1</v>
      </c>
    </row>
    <row r="23" spans="1:29" ht="15">
      <c r="A23" s="402"/>
      <c r="B23" s="448" t="s">
        <v>2732</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272"/>
      <c r="Q23" s="1804" t="str">
        <f t="shared" ref="Q23:Q37" si="8">B23</f>
        <v>区域土地利用方向</v>
      </c>
      <c r="R23" s="769" t="s">
        <v>17</v>
      </c>
      <c r="S23" s="770">
        <f>F23</f>
        <v>100</v>
      </c>
      <c r="T23" s="769" t="s">
        <v>17</v>
      </c>
      <c r="U23" s="770">
        <f>H23</f>
        <v>100</v>
      </c>
      <c r="V23" s="769" t="s">
        <v>17</v>
      </c>
      <c r="W23" s="770">
        <f>J23</f>
        <v>100</v>
      </c>
      <c r="X23" s="1807"/>
      <c r="Y23" s="3272"/>
      <c r="Z23" s="1808" t="str">
        <f>Q23</f>
        <v>区域土地利用方向</v>
      </c>
      <c r="AA23" s="1805">
        <f t="shared" si="3"/>
        <v>1</v>
      </c>
      <c r="AB23" s="1805">
        <f t="shared" si="4"/>
        <v>1</v>
      </c>
      <c r="AC23" s="1805">
        <f t="shared" si="5"/>
        <v>1</v>
      </c>
    </row>
    <row r="24" spans="1:29" ht="15">
      <c r="A24" s="402"/>
      <c r="B24" s="453"/>
      <c r="C24" s="613" t="s">
        <v>3055</v>
      </c>
      <c r="D24" s="445"/>
      <c r="E24" s="2590" t="s">
        <v>3055</v>
      </c>
      <c r="F24" s="445"/>
      <c r="G24" s="2589" t="s">
        <v>3055</v>
      </c>
      <c r="H24" s="445"/>
      <c r="I24" s="2589" t="s">
        <v>3055</v>
      </c>
      <c r="J24" s="445"/>
      <c r="K24" s="806"/>
      <c r="L24" s="1137"/>
      <c r="M24" s="1128"/>
      <c r="N24" s="1128"/>
      <c r="O24" s="1136"/>
      <c r="P24" s="3272"/>
      <c r="Q24" s="1804"/>
      <c r="R24" s="769"/>
      <c r="S24" s="770"/>
      <c r="T24" s="769"/>
      <c r="U24" s="770"/>
      <c r="V24" s="769"/>
      <c r="W24" s="770"/>
      <c r="X24" s="1807"/>
      <c r="Y24" s="3272"/>
      <c r="Z24" s="1808"/>
      <c r="AA24" s="1805"/>
      <c r="AB24" s="1805"/>
      <c r="AC24" s="1805"/>
    </row>
    <row r="25" spans="1:29" ht="27">
      <c r="A25" s="402"/>
      <c r="B25" s="1379" t="s">
        <v>2733</v>
      </c>
      <c r="C25" s="2649">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37"/>
      <c r="M25" s="1128"/>
      <c r="N25" s="1128"/>
      <c r="O25" s="1136"/>
      <c r="P25" s="3272"/>
      <c r="Q25" s="1804" t="str">
        <f t="shared" si="8"/>
        <v>自然及人文环境状况</v>
      </c>
      <c r="R25" s="769" t="s">
        <v>17</v>
      </c>
      <c r="S25" s="770">
        <f>F25</f>
        <v>100</v>
      </c>
      <c r="T25" s="769" t="s">
        <v>17</v>
      </c>
      <c r="U25" s="770">
        <f>H25</f>
        <v>100</v>
      </c>
      <c r="V25" s="769" t="s">
        <v>17</v>
      </c>
      <c r="W25" s="770">
        <f>J25</f>
        <v>100</v>
      </c>
      <c r="X25" s="1807"/>
      <c r="Y25" s="3272"/>
      <c r="Z25" s="1808" t="str">
        <f>Q25</f>
        <v>自然及人文环境状况</v>
      </c>
      <c r="AA25" s="1805">
        <f t="shared" si="3"/>
        <v>1</v>
      </c>
      <c r="AB25" s="1805">
        <f t="shared" si="4"/>
        <v>1</v>
      </c>
      <c r="AC25" s="1805">
        <f t="shared" si="5"/>
        <v>1</v>
      </c>
    </row>
    <row r="26" spans="1:29" ht="15">
      <c r="A26" s="402"/>
      <c r="B26" s="453"/>
      <c r="C26" s="444" t="s">
        <v>3055</v>
      </c>
      <c r="D26" s="445"/>
      <c r="E26" s="2596" t="s">
        <v>3055</v>
      </c>
      <c r="F26" s="445"/>
      <c r="G26" s="2596" t="s">
        <v>3055</v>
      </c>
      <c r="H26" s="445"/>
      <c r="I26" s="444" t="s">
        <v>3055</v>
      </c>
      <c r="J26" s="445"/>
      <c r="K26" s="669"/>
      <c r="L26" s="1137"/>
      <c r="M26" s="1128"/>
      <c r="N26" s="1128"/>
      <c r="O26" s="1136"/>
      <c r="P26" s="3272"/>
      <c r="Q26" s="1804"/>
      <c r="R26" s="769"/>
      <c r="S26" s="770"/>
      <c r="T26" s="769"/>
      <c r="U26" s="770"/>
      <c r="V26" s="769"/>
      <c r="W26" s="770"/>
      <c r="X26" s="1807"/>
      <c r="Y26" s="3272"/>
      <c r="Z26" s="1808"/>
      <c r="AA26" s="1805">
        <v>1</v>
      </c>
      <c r="AB26" s="1805">
        <v>1</v>
      </c>
      <c r="AC26" s="1805">
        <v>1</v>
      </c>
    </row>
    <row r="27" spans="1:29" s="116" customFormat="1" ht="15">
      <c r="A27" s="646"/>
      <c r="B27" s="1379" t="s">
        <v>2638</v>
      </c>
      <c r="C27" s="2592">
        <f>估价对象房地状况!C21</f>
        <v>0</v>
      </c>
      <c r="D27" s="447">
        <v>100</v>
      </c>
      <c r="E27" s="449"/>
      <c r="F27" s="447">
        <f>SUMIF(100:100,E28,101:101)-SUMIF(100:100,C28,101:101)+100</f>
        <v>102</v>
      </c>
      <c r="G27" s="449"/>
      <c r="H27" s="447">
        <f>SUMIF(100:100,G28,101:101)-SUMIF(100:100,C28,101:101)+100</f>
        <v>102</v>
      </c>
      <c r="I27" s="451"/>
      <c r="J27" s="447">
        <f>SUMIF(100:100,I28,101:101)-SUMIF(100:100,C28,101:101)+100</f>
        <v>102</v>
      </c>
      <c r="K27" s="670">
        <v>2</v>
      </c>
      <c r="L27" s="1129"/>
      <c r="M27" s="1130"/>
      <c r="N27" s="1130"/>
      <c r="O27" s="1131"/>
      <c r="P27" s="3272"/>
      <c r="Q27" s="1789" t="str">
        <f t="shared" si="8"/>
        <v>公共配套设施</v>
      </c>
      <c r="R27" s="765" t="s">
        <v>17</v>
      </c>
      <c r="S27" s="766">
        <f>F27</f>
        <v>102</v>
      </c>
      <c r="T27" s="765" t="s">
        <v>17</v>
      </c>
      <c r="U27" s="766">
        <f>H27</f>
        <v>102</v>
      </c>
      <c r="V27" s="765" t="s">
        <v>17</v>
      </c>
      <c r="W27" s="766">
        <f>J27</f>
        <v>102</v>
      </c>
      <c r="X27" s="767"/>
      <c r="Y27" s="3272"/>
      <c r="Z27" s="55" t="str">
        <f>Q27</f>
        <v>公共配套设施</v>
      </c>
      <c r="AA27" s="1805">
        <f>D27/F27</f>
        <v>0.98039215686274506</v>
      </c>
      <c r="AB27" s="1805">
        <f>D27/H27</f>
        <v>0.98039215686274506</v>
      </c>
      <c r="AC27" s="1805">
        <f>D27/J27</f>
        <v>0.98039215686274506</v>
      </c>
    </row>
    <row r="28" spans="1:29" s="116" customFormat="1" ht="15">
      <c r="A28" s="646"/>
      <c r="B28" s="453"/>
      <c r="C28" s="2685" t="s">
        <v>3276</v>
      </c>
      <c r="D28" s="445"/>
      <c r="E28" s="2596" t="s">
        <v>3055</v>
      </c>
      <c r="F28" s="445"/>
      <c r="G28" s="2596" t="s">
        <v>3055</v>
      </c>
      <c r="H28" s="445"/>
      <c r="I28" s="444" t="s">
        <v>3055</v>
      </c>
      <c r="J28" s="445"/>
      <c r="K28" s="669"/>
      <c r="L28" s="1129"/>
      <c r="M28" s="1130"/>
      <c r="N28" s="1130"/>
      <c r="O28" s="1131"/>
      <c r="P28" s="3272"/>
      <c r="Q28" s="1789"/>
      <c r="R28" s="765"/>
      <c r="S28" s="766"/>
      <c r="T28" s="765"/>
      <c r="U28" s="766"/>
      <c r="V28" s="765"/>
      <c r="W28" s="766"/>
      <c r="X28" s="767"/>
      <c r="Y28" s="3272"/>
      <c r="Z28" s="55"/>
      <c r="AA28" s="1805">
        <v>1</v>
      </c>
      <c r="AB28" s="1805">
        <v>1</v>
      </c>
      <c r="AC28" s="1805">
        <v>1</v>
      </c>
    </row>
    <row r="29" spans="1:29" s="116" customFormat="1" ht="15">
      <c r="A29" s="646"/>
      <c r="B29" s="1379" t="s">
        <v>2639</v>
      </c>
      <c r="C29" s="2592">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9"/>
      <c r="M29" s="1130"/>
      <c r="N29" s="1130"/>
      <c r="O29" s="1131"/>
      <c r="P29" s="3272"/>
      <c r="Q29" s="1789" t="str">
        <f t="shared" ref="Q29" si="9">B29</f>
        <v>基础设施水平</v>
      </c>
      <c r="R29" s="765" t="s">
        <v>17</v>
      </c>
      <c r="S29" s="766">
        <f>F29</f>
        <v>100</v>
      </c>
      <c r="T29" s="765" t="s">
        <v>17</v>
      </c>
      <c r="U29" s="766">
        <f>H29</f>
        <v>100</v>
      </c>
      <c r="V29" s="765" t="s">
        <v>17</v>
      </c>
      <c r="W29" s="766">
        <f>J29</f>
        <v>100</v>
      </c>
      <c r="X29" s="767"/>
      <c r="Y29" s="3272"/>
      <c r="Z29" s="55" t="str">
        <f>Q29</f>
        <v>基础设施水平</v>
      </c>
      <c r="AA29" s="1805">
        <f>D29/F29</f>
        <v>1</v>
      </c>
      <c r="AB29" s="1805">
        <f>D29/H29</f>
        <v>1</v>
      </c>
      <c r="AC29" s="1805">
        <f>D29/J29</f>
        <v>1</v>
      </c>
    </row>
    <row r="30" spans="1:29" s="116" customFormat="1" ht="15">
      <c r="A30" s="646"/>
      <c r="B30" s="453"/>
      <c r="C30" s="2685" t="s">
        <v>3052</v>
      </c>
      <c r="D30" s="445"/>
      <c r="E30" s="2686" t="s">
        <v>3052</v>
      </c>
      <c r="F30" s="445"/>
      <c r="G30" s="2686" t="s">
        <v>3052</v>
      </c>
      <c r="H30" s="445"/>
      <c r="I30" s="2686" t="s">
        <v>3052</v>
      </c>
      <c r="J30" s="445"/>
      <c r="K30" s="669"/>
      <c r="L30" s="1129"/>
      <c r="M30" s="1130"/>
      <c r="N30" s="1130"/>
      <c r="O30" s="1131"/>
      <c r="P30" s="3272"/>
      <c r="Q30" s="1789"/>
      <c r="R30" s="765"/>
      <c r="S30" s="766"/>
      <c r="T30" s="765"/>
      <c r="U30" s="766"/>
      <c r="V30" s="765"/>
      <c r="W30" s="766"/>
      <c r="X30" s="767"/>
      <c r="Y30" s="3272"/>
      <c r="Z30" s="55"/>
      <c r="AA30" s="1805">
        <v>1</v>
      </c>
      <c r="AB30" s="1805">
        <v>1</v>
      </c>
      <c r="AC30" s="1805">
        <v>1</v>
      </c>
    </row>
    <row r="31" spans="1:29" ht="15">
      <c r="A31" s="425"/>
      <c r="B31" s="3058" t="s">
        <v>2640</v>
      </c>
      <c r="C31" s="613" t="s">
        <v>3436</v>
      </c>
      <c r="D31" s="432">
        <v>100</v>
      </c>
      <c r="E31" s="631" t="s">
        <v>3436</v>
      </c>
      <c r="F31" s="432">
        <f>SUMIF(104:104,E31,105:105)-SUMIF(104:104,C31,105:105)+100</f>
        <v>100</v>
      </c>
      <c r="G31" s="631" t="s">
        <v>3436</v>
      </c>
      <c r="H31" s="432">
        <f>SUMIF(104:104,G31,105:105)-SUMIF(104:104,C31,105:105)+100</f>
        <v>100</v>
      </c>
      <c r="I31" s="631" t="s">
        <v>3436</v>
      </c>
      <c r="J31" s="432">
        <f>SUMIF(104:104,I31,105:105)-SUMIF(104:104,C31,105:105)+100</f>
        <v>100</v>
      </c>
      <c r="K31" s="670">
        <v>0</v>
      </c>
      <c r="L31" s="1137"/>
      <c r="M31" s="1128"/>
      <c r="N31" s="1128"/>
      <c r="O31" s="1136"/>
      <c r="P31" s="3272"/>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72"/>
      <c r="Z31" s="1808" t="str">
        <f t="shared" ref="Z31:Z45" si="13">Q31</f>
        <v>临街状况</v>
      </c>
      <c r="AA31" s="1805">
        <f t="shared" si="3"/>
        <v>1</v>
      </c>
      <c r="AB31" s="1805">
        <f t="shared" si="4"/>
        <v>1</v>
      </c>
      <c r="AC31" s="1805">
        <f t="shared" si="5"/>
        <v>1</v>
      </c>
    </row>
    <row r="32" spans="1:29" ht="27">
      <c r="A32" s="425"/>
      <c r="B32" s="1379" t="s">
        <v>2675</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2</v>
      </c>
      <c r="L32" s="1137"/>
      <c r="M32" s="1128"/>
      <c r="N32" s="1128"/>
      <c r="O32" s="1136"/>
      <c r="P32" s="3272"/>
      <c r="Q32" s="1804" t="str">
        <f t="shared" si="8"/>
        <v>毗邻道路的类型与等级</v>
      </c>
      <c r="R32" s="769" t="s">
        <v>17</v>
      </c>
      <c r="S32" s="770">
        <f t="shared" si="10"/>
        <v>100</v>
      </c>
      <c r="T32" s="769" t="s">
        <v>17</v>
      </c>
      <c r="U32" s="770">
        <f t="shared" si="11"/>
        <v>100</v>
      </c>
      <c r="V32" s="769" t="s">
        <v>17</v>
      </c>
      <c r="W32" s="770">
        <f t="shared" si="12"/>
        <v>100</v>
      </c>
      <c r="X32" s="1807"/>
      <c r="Y32" s="3272"/>
      <c r="Z32" s="1808" t="str">
        <f t="shared" si="13"/>
        <v>毗邻道路的类型与等级</v>
      </c>
      <c r="AA32" s="1805">
        <f t="shared" si="3"/>
        <v>1</v>
      </c>
      <c r="AB32" s="1805">
        <f t="shared" si="4"/>
        <v>1</v>
      </c>
      <c r="AC32" s="1805">
        <f t="shared" si="5"/>
        <v>1</v>
      </c>
    </row>
    <row r="33" spans="1:29" ht="15">
      <c r="A33" s="425"/>
      <c r="B33" s="453"/>
      <c r="C33" s="444" t="s">
        <v>3437</v>
      </c>
      <c r="D33" s="445"/>
      <c r="E33" s="2596" t="s">
        <v>3437</v>
      </c>
      <c r="F33" s="445"/>
      <c r="G33" s="2596" t="s">
        <v>3437</v>
      </c>
      <c r="H33" s="445"/>
      <c r="I33" s="444" t="s">
        <v>3437</v>
      </c>
      <c r="J33" s="445"/>
      <c r="K33" s="610"/>
      <c r="L33" s="1137"/>
      <c r="M33" s="1128"/>
      <c r="N33" s="1128"/>
      <c r="O33" s="1136"/>
      <c r="P33" s="3272"/>
      <c r="Q33" s="1804"/>
      <c r="R33" s="769"/>
      <c r="S33" s="770"/>
      <c r="T33" s="769"/>
      <c r="U33" s="770"/>
      <c r="V33" s="769"/>
      <c r="W33" s="770"/>
      <c r="X33" s="1807"/>
      <c r="Y33" s="3272"/>
      <c r="Z33" s="1808"/>
      <c r="AA33" s="1805">
        <v>1</v>
      </c>
      <c r="AB33" s="1805">
        <v>1</v>
      </c>
      <c r="AC33" s="1805">
        <v>1</v>
      </c>
    </row>
    <row r="34" spans="1:29" ht="15">
      <c r="A34" s="425"/>
      <c r="B34" s="419" t="s">
        <v>2734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v>0</v>
      </c>
      <c r="L34" s="1137"/>
      <c r="M34" s="1128"/>
      <c r="N34" s="1128"/>
      <c r="O34" s="1136"/>
      <c r="P34" s="3272"/>
      <c r="Q34" s="1804" t="str">
        <f t="shared" si="8"/>
        <v>土地级别</v>
      </c>
      <c r="R34" s="769" t="s">
        <v>17</v>
      </c>
      <c r="S34" s="770">
        <f t="shared" si="10"/>
        <v>100</v>
      </c>
      <c r="T34" s="769" t="s">
        <v>17</v>
      </c>
      <c r="U34" s="770">
        <f t="shared" si="11"/>
        <v>100</v>
      </c>
      <c r="V34" s="769" t="s">
        <v>17</v>
      </c>
      <c r="W34" s="770">
        <f t="shared" si="12"/>
        <v>100</v>
      </c>
      <c r="X34" s="1807"/>
      <c r="Y34" s="3272"/>
      <c r="Z34" s="1808" t="str">
        <f t="shared" si="13"/>
        <v>土地级别</v>
      </c>
      <c r="AA34" s="1805">
        <f t="shared" si="3"/>
        <v>1</v>
      </c>
      <c r="AB34" s="1805">
        <f t="shared" si="4"/>
        <v>1</v>
      </c>
      <c r="AC34" s="1805">
        <f t="shared" si="5"/>
        <v>1</v>
      </c>
    </row>
    <row r="35" spans="1:29" ht="15">
      <c r="A35" s="402"/>
      <c r="B35" s="1381">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72"/>
      <c r="Q35" s="1804">
        <f t="shared" si="8"/>
        <v>111</v>
      </c>
      <c r="R35" s="769" t="s">
        <v>17</v>
      </c>
      <c r="S35" s="770">
        <f t="shared" si="10"/>
        <v>100</v>
      </c>
      <c r="T35" s="769" t="s">
        <v>17</v>
      </c>
      <c r="U35" s="770">
        <f t="shared" si="11"/>
        <v>100</v>
      </c>
      <c r="V35" s="769" t="s">
        <v>17</v>
      </c>
      <c r="W35" s="770">
        <f t="shared" si="12"/>
        <v>100</v>
      </c>
      <c r="X35" s="1807"/>
      <c r="Y35" s="3272"/>
      <c r="Z35" s="1808">
        <f t="shared" si="13"/>
        <v>111</v>
      </c>
      <c r="AA35" s="1805">
        <f t="shared" si="3"/>
        <v>1</v>
      </c>
      <c r="AB35" s="1805">
        <f t="shared" si="4"/>
        <v>1</v>
      </c>
      <c r="AC35" s="1805">
        <f t="shared" si="5"/>
        <v>1</v>
      </c>
    </row>
    <row r="36" spans="1:29" ht="15">
      <c r="A36" s="672"/>
      <c r="B36" s="1382">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73" t="s">
        <v>2549</v>
      </c>
      <c r="Q36" s="1804">
        <f t="shared" si="8"/>
        <v>111</v>
      </c>
      <c r="R36" s="769" t="s">
        <v>17</v>
      </c>
      <c r="S36" s="770">
        <f t="shared" si="10"/>
        <v>100</v>
      </c>
      <c r="T36" s="769" t="s">
        <v>17</v>
      </c>
      <c r="U36" s="770">
        <f t="shared" si="11"/>
        <v>100</v>
      </c>
      <c r="V36" s="769" t="s">
        <v>17</v>
      </c>
      <c r="W36" s="770">
        <f t="shared" si="12"/>
        <v>100</v>
      </c>
      <c r="X36" s="1807"/>
      <c r="Y36" s="3274" t="s">
        <v>2549</v>
      </c>
      <c r="Z36" s="1808">
        <f t="shared" si="13"/>
        <v>111</v>
      </c>
      <c r="AA36" s="1805">
        <f t="shared" si="3"/>
        <v>1</v>
      </c>
      <c r="AB36" s="1805">
        <f t="shared" si="4"/>
        <v>1</v>
      </c>
      <c r="AC36" s="1805">
        <f t="shared" si="5"/>
        <v>1</v>
      </c>
    </row>
    <row r="37" spans="1:29" s="468" customFormat="1" ht="15.75" thickBot="1">
      <c r="A37" s="673"/>
      <c r="B37" s="1383">
        <v>111</v>
      </c>
      <c r="C37" s="675"/>
      <c r="D37" s="135">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74"/>
      <c r="Q37" s="1804">
        <f t="shared" si="8"/>
        <v>111</v>
      </c>
      <c r="R37" s="772" t="s">
        <v>17</v>
      </c>
      <c r="S37" s="773">
        <f t="shared" si="10"/>
        <v>100</v>
      </c>
      <c r="T37" s="772" t="s">
        <v>17</v>
      </c>
      <c r="U37" s="773">
        <f t="shared" si="11"/>
        <v>100</v>
      </c>
      <c r="V37" s="772" t="s">
        <v>17</v>
      </c>
      <c r="W37" s="773">
        <f t="shared" si="12"/>
        <v>100</v>
      </c>
      <c r="X37" s="774"/>
      <c r="Y37" s="3274"/>
      <c r="Z37" s="775">
        <f t="shared" si="13"/>
        <v>111</v>
      </c>
      <c r="AA37" s="1805">
        <f t="shared" si="3"/>
        <v>1</v>
      </c>
      <c r="AB37" s="1805">
        <f t="shared" si="4"/>
        <v>1</v>
      </c>
      <c r="AC37" s="1805">
        <f t="shared" si="5"/>
        <v>1</v>
      </c>
    </row>
    <row r="38" spans="1:29" ht="15">
      <c r="A38" s="469" t="s">
        <v>2547</v>
      </c>
      <c r="B38" s="453" t="s">
        <v>2735</v>
      </c>
      <c r="C38" s="676">
        <f>'数据-基础表'!A3</f>
        <v>123801</v>
      </c>
      <c r="D38" s="464">
        <v>100</v>
      </c>
      <c r="E38" s="676">
        <f>Sheet4!D7</f>
        <v>8484</v>
      </c>
      <c r="F38" s="464">
        <f>LOOKUP(E38,117:117,118:118)-LOOKUP(C38,117:117,118:118)+100</f>
        <v>98</v>
      </c>
      <c r="G38" s="676">
        <f>Sheet4!D10</f>
        <v>10961</v>
      </c>
      <c r="H38" s="464">
        <f>LOOKUP(G38,117:117,118:118)-LOOKUP(C38,117:117,118:118)+100</f>
        <v>98</v>
      </c>
      <c r="I38" s="527">
        <f>Sheet4!D13</f>
        <v>63085</v>
      </c>
      <c r="J38" s="464">
        <f>LOOKUP(I38,117:117,118:118)-LOOKUP(C38,117:117,118:118)+100</f>
        <v>99</v>
      </c>
      <c r="K38" s="610"/>
      <c r="L38" s="1137"/>
      <c r="M38" s="1128"/>
      <c r="N38" s="1128"/>
      <c r="O38" s="1136"/>
      <c r="P38" s="3274"/>
      <c r="Q38" s="1804" t="str">
        <f>B38</f>
        <v>宗地面积</v>
      </c>
      <c r="R38" s="769" t="s">
        <v>17</v>
      </c>
      <c r="S38" s="770">
        <f t="shared" si="10"/>
        <v>98</v>
      </c>
      <c r="T38" s="769" t="s">
        <v>17</v>
      </c>
      <c r="U38" s="770">
        <f t="shared" si="11"/>
        <v>98</v>
      </c>
      <c r="V38" s="769" t="s">
        <v>17</v>
      </c>
      <c r="W38" s="770">
        <f t="shared" si="12"/>
        <v>99</v>
      </c>
      <c r="X38" s="1807"/>
      <c r="Y38" s="3274"/>
      <c r="Z38" s="1808" t="str">
        <f t="shared" si="13"/>
        <v>宗地面积</v>
      </c>
      <c r="AA38" s="1805">
        <f t="shared" si="3"/>
        <v>1.0204081632653061</v>
      </c>
      <c r="AB38" s="1805">
        <f t="shared" si="4"/>
        <v>1.0204081632653061</v>
      </c>
      <c r="AC38" s="1805">
        <f t="shared" si="5"/>
        <v>1.0101010101010102</v>
      </c>
    </row>
    <row r="39" spans="1:29" ht="15">
      <c r="A39" s="469"/>
      <c r="B39" s="419" t="s">
        <v>2736</v>
      </c>
      <c r="C39" s="2598" t="s">
        <v>3438</v>
      </c>
      <c r="D39" s="432">
        <v>100</v>
      </c>
      <c r="E39" s="2598" t="s">
        <v>3438</v>
      </c>
      <c r="F39" s="432">
        <f>SUMIF(119:119,E39,120:120)-SUMIF(119:119,C39,120:120)+100</f>
        <v>100</v>
      </c>
      <c r="G39" s="2598" t="s">
        <v>3438</v>
      </c>
      <c r="H39" s="432">
        <f>SUMIF(119:119,G39,120:120)-SUMIF(119:119,C39,120:120)+100</f>
        <v>100</v>
      </c>
      <c r="I39" s="2598" t="s">
        <v>3438</v>
      </c>
      <c r="J39" s="432">
        <f>SUMIF(119:119,I39,120:120)-SUMIF(119:119,C39,120:120)+100</f>
        <v>100</v>
      </c>
      <c r="K39" s="609">
        <v>2</v>
      </c>
      <c r="L39" s="1137"/>
      <c r="M39" s="1128"/>
      <c r="N39" s="1128"/>
      <c r="O39" s="1136"/>
      <c r="P39" s="3274"/>
      <c r="Q39" s="1804" t="str">
        <f t="shared" ref="Q39:Q45" si="14">B39</f>
        <v>宗地形状</v>
      </c>
      <c r="R39" s="769" t="s">
        <v>17</v>
      </c>
      <c r="S39" s="770">
        <f t="shared" si="10"/>
        <v>100</v>
      </c>
      <c r="T39" s="769" t="s">
        <v>17</v>
      </c>
      <c r="U39" s="770">
        <f t="shared" si="11"/>
        <v>100</v>
      </c>
      <c r="V39" s="769" t="s">
        <v>17</v>
      </c>
      <c r="W39" s="770">
        <f t="shared" si="12"/>
        <v>100</v>
      </c>
      <c r="X39" s="1807"/>
      <c r="Y39" s="3274"/>
      <c r="Z39" s="1808" t="str">
        <f t="shared" si="13"/>
        <v>宗地形状</v>
      </c>
      <c r="AA39" s="1805">
        <f t="shared" si="3"/>
        <v>1</v>
      </c>
      <c r="AB39" s="1805">
        <f t="shared" si="4"/>
        <v>1</v>
      </c>
      <c r="AC39" s="1805">
        <f t="shared" si="5"/>
        <v>1</v>
      </c>
    </row>
    <row r="40" spans="1:29" ht="15">
      <c r="A40" s="469"/>
      <c r="B40" s="419" t="s">
        <v>2737</v>
      </c>
      <c r="C40" s="2598"/>
      <c r="D40" s="432">
        <v>100</v>
      </c>
      <c r="E40" s="2598"/>
      <c r="F40" s="432">
        <f>SUMIF(121:121,E40,122:122)-SUMIF(121:121,C40,122:122)+100</f>
        <v>100</v>
      </c>
      <c r="G40" s="2598"/>
      <c r="H40" s="432">
        <f>SUMIF(121:121,G40,122:122)-SUMIF(121:121,C40,122:122)+100</f>
        <v>100</v>
      </c>
      <c r="I40" s="2598"/>
      <c r="J40" s="432">
        <f>SUMIF(121:121,I40,122:122)-SUMIF(121:121,C40,122:122)+100</f>
        <v>100</v>
      </c>
      <c r="K40" s="609">
        <v>2</v>
      </c>
      <c r="L40" s="1137"/>
      <c r="M40" s="1128"/>
      <c r="N40" s="1128"/>
      <c r="O40" s="1136"/>
      <c r="P40" s="3274"/>
      <c r="Q40" s="1804" t="str">
        <f t="shared" si="14"/>
        <v>临街宽度及深度</v>
      </c>
      <c r="R40" s="769" t="s">
        <v>17</v>
      </c>
      <c r="S40" s="770">
        <f t="shared" si="10"/>
        <v>100</v>
      </c>
      <c r="T40" s="769" t="s">
        <v>17</v>
      </c>
      <c r="U40" s="770">
        <f t="shared" si="11"/>
        <v>100</v>
      </c>
      <c r="V40" s="769" t="s">
        <v>17</v>
      </c>
      <c r="W40" s="770">
        <f t="shared" si="12"/>
        <v>100</v>
      </c>
      <c r="X40" s="1807"/>
      <c r="Y40" s="3274"/>
      <c r="Z40" s="1808" t="str">
        <f t="shared" si="13"/>
        <v>临街宽度及深度</v>
      </c>
      <c r="AA40" s="1805">
        <f t="shared" si="3"/>
        <v>1</v>
      </c>
      <c r="AB40" s="1805">
        <f t="shared" si="4"/>
        <v>1</v>
      </c>
      <c r="AC40" s="1805">
        <f t="shared" si="5"/>
        <v>1</v>
      </c>
    </row>
    <row r="41" spans="1:29" s="116" customFormat="1" ht="15">
      <c r="A41" s="470"/>
      <c r="B41" s="419" t="s">
        <v>2738</v>
      </c>
      <c r="C41" s="2687" t="s">
        <v>3052</v>
      </c>
      <c r="D41" s="134">
        <v>100</v>
      </c>
      <c r="E41" s="2687" t="s">
        <v>3439</v>
      </c>
      <c r="F41" s="432">
        <f>SUMIF(123:123,E41,124:124)-SUMIF(123:123,C41,124:124)+100</f>
        <v>96</v>
      </c>
      <c r="G41" s="2687" t="s">
        <v>3439</v>
      </c>
      <c r="H41" s="432">
        <f>SUMIF(123:123,G41,124:124)-SUMIF(123:123,C41,124:124)+100</f>
        <v>96</v>
      </c>
      <c r="I41" s="2687" t="s">
        <v>3439</v>
      </c>
      <c r="J41" s="432">
        <f>SUMIF(123:123,I41,124:124)-SUMIF(123:123,C41,124:124)+100</f>
        <v>96</v>
      </c>
      <c r="K41" s="3066">
        <v>1</v>
      </c>
      <c r="L41" s="1129"/>
      <c r="M41" s="1130"/>
      <c r="N41" s="1130"/>
      <c r="O41" s="1131"/>
      <c r="P41" s="3274"/>
      <c r="Q41" s="1804" t="str">
        <f t="shared" si="14"/>
        <v>宗地开发程度</v>
      </c>
      <c r="R41" s="765" t="s">
        <v>17</v>
      </c>
      <c r="S41" s="766">
        <f t="shared" si="10"/>
        <v>96</v>
      </c>
      <c r="T41" s="765" t="s">
        <v>17</v>
      </c>
      <c r="U41" s="766">
        <f t="shared" si="11"/>
        <v>96</v>
      </c>
      <c r="V41" s="765" t="s">
        <v>17</v>
      </c>
      <c r="W41" s="766">
        <f t="shared" si="12"/>
        <v>96</v>
      </c>
      <c r="X41" s="767"/>
      <c r="Y41" s="3274"/>
      <c r="Z41" s="55" t="str">
        <f t="shared" si="13"/>
        <v>宗地开发程度</v>
      </c>
      <c r="AA41" s="768">
        <f t="shared" si="3"/>
        <v>1.0416666666666667</v>
      </c>
      <c r="AB41" s="768">
        <f t="shared" si="4"/>
        <v>1.0416666666666667</v>
      </c>
      <c r="AC41" s="768">
        <f t="shared" si="5"/>
        <v>1.0416666666666667</v>
      </c>
    </row>
    <row r="42" spans="1:29" ht="15">
      <c r="A42" s="469"/>
      <c r="B42" s="419" t="s">
        <v>2739</v>
      </c>
      <c r="C42" s="2598" t="s">
        <v>3055</v>
      </c>
      <c r="D42" s="432">
        <v>100</v>
      </c>
      <c r="E42" s="2598" t="s">
        <v>3055</v>
      </c>
      <c r="F42" s="432">
        <f>SUMIF(125:125,E42,126:126)-SUMIF(125:125,C42,126:126)+100</f>
        <v>100</v>
      </c>
      <c r="G42" s="2598" t="s">
        <v>3055</v>
      </c>
      <c r="H42" s="432">
        <f>SUMIF(125:125,G42,126:126)-SUMIF(125:125,C42,126:126)+100</f>
        <v>100</v>
      </c>
      <c r="I42" s="2598" t="s">
        <v>3055</v>
      </c>
      <c r="J42" s="432">
        <f>SUMIF(125:125,I42,126:126)-SUMIF(125:125,C42,126:126)+100</f>
        <v>100</v>
      </c>
      <c r="K42" s="609">
        <v>2</v>
      </c>
      <c r="L42" s="1137"/>
      <c r="M42" s="1128"/>
      <c r="N42" s="1128"/>
      <c r="O42" s="1136"/>
      <c r="P42" s="3274" t="s">
        <v>2549</v>
      </c>
      <c r="Q42" s="1804" t="str">
        <f t="shared" si="14"/>
        <v>工程地质条件</v>
      </c>
      <c r="R42" s="769" t="s">
        <v>17</v>
      </c>
      <c r="S42" s="770">
        <f t="shared" si="10"/>
        <v>100</v>
      </c>
      <c r="T42" s="769" t="s">
        <v>17</v>
      </c>
      <c r="U42" s="770">
        <f t="shared" si="11"/>
        <v>100</v>
      </c>
      <c r="V42" s="769" t="s">
        <v>17</v>
      </c>
      <c r="W42" s="770">
        <f t="shared" si="12"/>
        <v>100</v>
      </c>
      <c r="X42" s="1807"/>
      <c r="Y42" s="3274" t="s">
        <v>2549</v>
      </c>
      <c r="Z42" s="1808" t="str">
        <f t="shared" si="13"/>
        <v>工程地质条件</v>
      </c>
      <c r="AA42" s="1805">
        <f t="shared" si="3"/>
        <v>1</v>
      </c>
      <c r="AB42" s="1805">
        <f t="shared" si="4"/>
        <v>1</v>
      </c>
      <c r="AC42" s="1805">
        <f t="shared" si="5"/>
        <v>1</v>
      </c>
    </row>
    <row r="43" spans="1:29" ht="15">
      <c r="A43" s="469"/>
      <c r="B43" s="1382">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74"/>
      <c r="Q43" s="1804">
        <f t="shared" si="14"/>
        <v>111</v>
      </c>
      <c r="R43" s="769" t="s">
        <v>17</v>
      </c>
      <c r="S43" s="770">
        <f t="shared" si="10"/>
        <v>100</v>
      </c>
      <c r="T43" s="769" t="s">
        <v>17</v>
      </c>
      <c r="U43" s="770">
        <f t="shared" si="11"/>
        <v>100</v>
      </c>
      <c r="V43" s="769" t="s">
        <v>17</v>
      </c>
      <c r="W43" s="770">
        <f t="shared" si="12"/>
        <v>100</v>
      </c>
      <c r="X43" s="1807"/>
      <c r="Y43" s="3274"/>
      <c r="Z43" s="1808">
        <f t="shared" si="13"/>
        <v>111</v>
      </c>
      <c r="AA43" s="1805">
        <f t="shared" si="3"/>
        <v>1</v>
      </c>
      <c r="AB43" s="1805">
        <f t="shared" si="4"/>
        <v>1</v>
      </c>
      <c r="AC43" s="1805">
        <f t="shared" si="5"/>
        <v>1</v>
      </c>
    </row>
    <row r="44" spans="1:29" ht="15">
      <c r="A44" s="469"/>
      <c r="B44" s="1382">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74"/>
      <c r="Q44" s="1804">
        <f t="shared" si="14"/>
        <v>111</v>
      </c>
      <c r="R44" s="769" t="s">
        <v>17</v>
      </c>
      <c r="S44" s="770">
        <f t="shared" si="10"/>
        <v>100</v>
      </c>
      <c r="T44" s="769" t="s">
        <v>17</v>
      </c>
      <c r="U44" s="770">
        <f t="shared" si="11"/>
        <v>100</v>
      </c>
      <c r="V44" s="769" t="s">
        <v>17</v>
      </c>
      <c r="W44" s="770">
        <f t="shared" si="12"/>
        <v>100</v>
      </c>
      <c r="X44" s="1807"/>
      <c r="Y44" s="3274"/>
      <c r="Z44" s="1808">
        <f t="shared" si="13"/>
        <v>111</v>
      </c>
      <c r="AA44" s="1805">
        <f t="shared" si="3"/>
        <v>1</v>
      </c>
      <c r="AB44" s="1805">
        <f t="shared" si="4"/>
        <v>1</v>
      </c>
      <c r="AC44" s="1805">
        <f t="shared" si="5"/>
        <v>1</v>
      </c>
    </row>
    <row r="45" spans="1:29" s="468" customFormat="1" ht="15.75" thickBot="1">
      <c r="A45" s="465"/>
      <c r="B45" s="1382">
        <v>111</v>
      </c>
      <c r="C45" s="2688"/>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74"/>
      <c r="Q45" s="1804">
        <f t="shared" si="14"/>
        <v>111</v>
      </c>
      <c r="R45" s="772" t="s">
        <v>17</v>
      </c>
      <c r="S45" s="773">
        <f t="shared" si="10"/>
        <v>100</v>
      </c>
      <c r="T45" s="772" t="s">
        <v>17</v>
      </c>
      <c r="U45" s="773">
        <f t="shared" si="11"/>
        <v>100</v>
      </c>
      <c r="V45" s="772" t="s">
        <v>17</v>
      </c>
      <c r="W45" s="773">
        <f t="shared" si="12"/>
        <v>100</v>
      </c>
      <c r="X45" s="774"/>
      <c r="Y45" s="3274"/>
      <c r="Z45" s="775">
        <f t="shared" si="13"/>
        <v>111</v>
      </c>
      <c r="AA45" s="1805">
        <f t="shared" si="3"/>
        <v>1</v>
      </c>
      <c r="AB45" s="1805">
        <f t="shared" si="4"/>
        <v>1</v>
      </c>
      <c r="AC45" s="1805">
        <f t="shared" si="5"/>
        <v>1</v>
      </c>
    </row>
    <row r="46" spans="1:29" ht="15">
      <c r="A46" s="476" t="s">
        <v>2704</v>
      </c>
      <c r="B46" s="2689" t="s">
        <v>2740</v>
      </c>
      <c r="C46" s="679" t="s">
        <v>1</v>
      </c>
      <c r="D46" s="478"/>
      <c r="E46" s="479">
        <f>ROUND(Sheet4!K7,0)</f>
        <v>2215</v>
      </c>
      <c r="F46" s="480"/>
      <c r="G46" s="479">
        <f>ROUND(Sheet4!K10,0)</f>
        <v>2857</v>
      </c>
      <c r="H46" s="482"/>
      <c r="I46" s="479">
        <f>ROUND(Sheet4!K13,0)</f>
        <v>2438</v>
      </c>
      <c r="J46" s="482"/>
      <c r="K46" s="778"/>
      <c r="L46" s="1140"/>
      <c r="M46" s="1141"/>
      <c r="N46" s="1128"/>
      <c r="O46" s="1141"/>
      <c r="P46" s="3269" t="str">
        <f>A46</f>
        <v>成交单价</v>
      </c>
      <c r="Q46" s="3269"/>
      <c r="R46" s="3275">
        <f>E46</f>
        <v>2215</v>
      </c>
      <c r="S46" s="3275"/>
      <c r="T46" s="3275">
        <f>G46</f>
        <v>2857</v>
      </c>
      <c r="U46" s="3275"/>
      <c r="V46" s="3275">
        <f>I46</f>
        <v>2438</v>
      </c>
      <c r="W46" s="3275"/>
      <c r="X46" s="754"/>
      <c r="Y46" s="776"/>
      <c r="Z46" s="754"/>
      <c r="AA46" s="754"/>
      <c r="AB46" s="754"/>
      <c r="AC46" s="754"/>
    </row>
    <row r="47" spans="1:29" ht="15.75" thickBot="1">
      <c r="A47" s="483" t="s">
        <v>2653</v>
      </c>
      <c r="B47" s="680"/>
      <c r="C47" s="487">
        <f>R48</f>
        <v>2578</v>
      </c>
      <c r="D47" s="486"/>
      <c r="E47" s="487">
        <f>R47</f>
        <v>2372</v>
      </c>
      <c r="F47" s="488"/>
      <c r="G47" s="485">
        <f>T47</f>
        <v>2899</v>
      </c>
      <c r="H47" s="486"/>
      <c r="I47" s="487">
        <f>V47</f>
        <v>2462</v>
      </c>
      <c r="J47" s="486"/>
      <c r="K47" s="779"/>
      <c r="L47" s="1140"/>
      <c r="M47" s="1141"/>
      <c r="N47" s="1141"/>
      <c r="O47" s="1141"/>
      <c r="P47" s="3269" t="str">
        <f>A47</f>
        <v>比较价值（元/平方米）</v>
      </c>
      <c r="Q47" s="3269"/>
      <c r="R47" s="3262">
        <f>ROUND(PRODUCT(R46,AA7:AA45),0)</f>
        <v>2372</v>
      </c>
      <c r="S47" s="3262"/>
      <c r="T47" s="3262">
        <f>ROUND(PRODUCT(T46,AB7:AB45),0)</f>
        <v>2899</v>
      </c>
      <c r="U47" s="3262"/>
      <c r="V47" s="3262">
        <f>ROUND(PRODUCT(V46,AC7:AC45),0)</f>
        <v>2462</v>
      </c>
      <c r="W47" s="3262"/>
      <c r="X47" s="754"/>
      <c r="Y47" s="754"/>
      <c r="Z47" s="754"/>
      <c r="AA47" s="754"/>
      <c r="AB47" s="754"/>
      <c r="AC47" s="754"/>
    </row>
    <row r="48" spans="1:29" ht="15.75" thickBot="1">
      <c r="A48" s="489" t="s">
        <v>2741</v>
      </c>
      <c r="B48" s="490"/>
      <c r="C48" s="491">
        <f>R48</f>
        <v>2578</v>
      </c>
      <c r="D48" s="491"/>
      <c r="E48" s="491"/>
      <c r="F48" s="491"/>
      <c r="G48" s="491"/>
      <c r="H48" s="491"/>
      <c r="I48" s="491"/>
      <c r="J48" s="491"/>
      <c r="K48" s="780"/>
      <c r="L48" s="1140"/>
      <c r="M48" s="1141"/>
      <c r="N48" s="1141"/>
      <c r="O48" s="1141"/>
      <c r="P48" s="3263" t="str">
        <f>A48</f>
        <v>估价对象XX用房的比较价值（楼面单价，元/平方米）</v>
      </c>
      <c r="Q48" s="3264"/>
      <c r="R48" s="3265">
        <f>ROUND(AVERAGE(R47:V47),0)</f>
        <v>2578</v>
      </c>
      <c r="S48" s="3265"/>
      <c r="T48" s="3265"/>
      <c r="U48" s="3265"/>
      <c r="V48" s="3265"/>
      <c r="W48" s="3265"/>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2655</v>
      </c>
      <c r="D51" s="495"/>
      <c r="E51" s="496">
        <f>IF(E46&lt;E47,E47/E46-1,E46/E47-1)</f>
        <v>7.088036117381491E-2</v>
      </c>
      <c r="F51" s="497" t="str">
        <f>IF(OR(E51&gt;=0.3,E51&lt;=-0.3),"超过30%","")</f>
        <v/>
      </c>
      <c r="G51" s="496">
        <f>IF(G46&lt;G47,G47/G46-1,G46/G47-1)</f>
        <v>1.4700735036751844E-2</v>
      </c>
      <c r="H51" s="497" t="str">
        <f>IF(OR(G51&gt;=0.3,G51&lt;=-0.3),"超过30%","")</f>
        <v/>
      </c>
      <c r="I51" s="496">
        <f>IF(I46&lt;I47,I47/I46-1,I46/I47-1)</f>
        <v>9.8441345365052335E-3</v>
      </c>
      <c r="J51" s="497" t="str">
        <f>IF(OR(I51&gt;=0.3,I51&lt;=-0.3),"超过30%","")</f>
        <v/>
      </c>
      <c r="K51" s="1102"/>
      <c r="L51" s="1103"/>
      <c r="M51" s="1141"/>
      <c r="N51" s="1141"/>
      <c r="O51" s="1141"/>
    </row>
    <row r="52" spans="1:15" ht="13.5" customHeight="1">
      <c r="A52" s="1141"/>
      <c r="B52" s="1141"/>
      <c r="C52" s="494" t="s">
        <v>2656</v>
      </c>
      <c r="D52" s="498"/>
      <c r="E52" s="496">
        <f>IF(E47&lt;G47,G47/E47-1,E47/G47-1)</f>
        <v>0.22217537942664412</v>
      </c>
      <c r="F52" s="497" t="str">
        <f>IF(OR(E52&gt;=0.2,E52&lt;=-0.2),"超过20%","")</f>
        <v>超过20%</v>
      </c>
      <c r="G52" s="496">
        <f>IF(G47&lt;I47,I47/G47-1,G47/I47-1)</f>
        <v>0.17749796913078808</v>
      </c>
      <c r="H52" s="497" t="str">
        <f>IF(OR(G52&gt;=0.2,G52&lt;=-0.2),"超过20%","")</f>
        <v/>
      </c>
      <c r="I52" s="496">
        <f>IF(I47&lt;E47,E47/I47-1,I47/E47-1)</f>
        <v>3.7942664418212368E-2</v>
      </c>
      <c r="J52" s="497" t="str">
        <f>IF(OR(I52&gt;=0.2,I52&lt;=-0.2),"超过20%","")</f>
        <v/>
      </c>
      <c r="K52" s="1102"/>
      <c r="L52" s="1103"/>
      <c r="M52" s="1141"/>
      <c r="N52" s="1141"/>
      <c r="O52" s="1141"/>
    </row>
    <row r="53" spans="1:15" s="499" customFormat="1" ht="13.5" customHeight="1">
      <c r="A53" s="1142"/>
      <c r="B53" s="1142"/>
      <c r="C53" s="494" t="s">
        <v>2657</v>
      </c>
      <c r="D53" s="498"/>
      <c r="E53" s="496">
        <f>IF(E46&lt;G46,G46/E46-1,E46/G46-1)</f>
        <v>0.28984198645598203</v>
      </c>
      <c r="F53" s="497" t="str">
        <f>IF(OR(E53&gt;=0.3,E53&lt;=-0.3),"超过30%","")</f>
        <v/>
      </c>
      <c r="G53" s="496">
        <f>IF(G46&lt;I46,I46/G46-1,G46/I46-1)</f>
        <v>0.17186218211648896</v>
      </c>
      <c r="H53" s="497" t="str">
        <f>IF(OR(G53&gt;=0.3,G53&lt;=-0.3),"超过30%","")</f>
        <v/>
      </c>
      <c r="I53" s="496">
        <f>IF(I46&lt;E46,E46/I46-1,I46/E46-1)</f>
        <v>0.10067720090293464</v>
      </c>
      <c r="J53" s="497" t="str">
        <f>IF(OR(I53&gt;=0.3,I53&lt;=-0.3),"超过30%","")</f>
        <v/>
      </c>
      <c r="K53" s="1145"/>
      <c r="L53" s="1146"/>
      <c r="M53" s="1142"/>
      <c r="N53" s="1142"/>
      <c r="O53" s="1142"/>
    </row>
    <row r="54" spans="1:15" s="499" customFormat="1" ht="15" thickBot="1">
      <c r="A54" s="1142"/>
      <c r="B54" s="1143"/>
      <c r="C54" s="757"/>
      <c r="D54" s="755"/>
      <c r="E54" s="755"/>
      <c r="F54" s="755"/>
      <c r="G54" s="755"/>
      <c r="H54" s="755"/>
      <c r="I54" s="755"/>
      <c r="J54" s="755"/>
      <c r="K54" s="1145"/>
      <c r="L54" s="1146"/>
      <c r="M54" s="1142"/>
      <c r="N54" s="1142"/>
      <c r="O54" s="1142"/>
    </row>
    <row r="55" spans="1:15" ht="27" customHeight="1">
      <c r="A55" s="681" t="s">
        <v>2742</v>
      </c>
      <c r="B55" s="682" t="s">
        <v>2743</v>
      </c>
      <c r="C55" s="2690" t="s">
        <v>3531</v>
      </c>
      <c r="D55" s="2691" t="s">
        <v>2745</v>
      </c>
      <c r="E55" s="683" t="s">
        <v>2746</v>
      </c>
      <c r="F55" s="1104" t="s">
        <v>2747</v>
      </c>
      <c r="G55" s="3266" t="s">
        <v>2748</v>
      </c>
      <c r="H55" s="3267"/>
      <c r="I55" s="142" t="s">
        <v>2749</v>
      </c>
      <c r="J55" s="2692" t="str">
        <f>项目基本情况!F35</f>
        <v>山东省</v>
      </c>
      <c r="K55" s="2693" t="s">
        <v>2750</v>
      </c>
      <c r="L55" s="1103"/>
      <c r="M55" s="1141"/>
      <c r="N55" s="1141"/>
      <c r="O55" s="1141"/>
    </row>
    <row r="56" spans="1:15" s="689" customFormat="1">
      <c r="A56" s="685" t="s">
        <v>2751</v>
      </c>
      <c r="B56" s="686">
        <f>C48</f>
        <v>2578</v>
      </c>
      <c r="C56" s="687">
        <v>1</v>
      </c>
      <c r="D56" s="1160">
        <v>1</v>
      </c>
      <c r="E56" s="687">
        <f>'数据-汇总表'!E8+'数据-汇总表'!E9</f>
        <v>49166.119999999995</v>
      </c>
      <c r="F56" s="1100">
        <f t="shared" ref="F56:F65" si="15">ROUND(B56*E56/10000,0)</f>
        <v>12675</v>
      </c>
      <c r="G56" s="3268"/>
      <c r="H56" s="3269"/>
      <c r="I56" s="1105">
        <v>1</v>
      </c>
      <c r="J56" s="1108">
        <v>1</v>
      </c>
      <c r="K56" s="1142"/>
      <c r="L56" s="938"/>
      <c r="M56" s="938"/>
      <c r="N56" s="938"/>
      <c r="O56" s="938"/>
    </row>
    <row r="57" spans="1:15" s="689" customFormat="1">
      <c r="A57" s="690" t="s">
        <v>2752</v>
      </c>
      <c r="B57" s="260">
        <f>ROUND($C$48*C57*D57,0)</f>
        <v>0</v>
      </c>
      <c r="C57" s="198">
        <f t="shared" ref="C57:C65" si="16">IF($C$55="北京市系数",I57,J57)</f>
        <v>0</v>
      </c>
      <c r="D57" s="1161">
        <v>0.25</v>
      </c>
      <c r="E57" s="691"/>
      <c r="F57" s="1100">
        <f t="shared" si="15"/>
        <v>0</v>
      </c>
      <c r="G57" s="3270" t="s">
        <v>2753</v>
      </c>
      <c r="H57" s="1101">
        <f>项目基本情况!B37</f>
        <v>0</v>
      </c>
      <c r="I57" s="1105">
        <f>SUMIF(修正!A45:A56,H57,修正!B45:B56)</f>
        <v>0</v>
      </c>
      <c r="J57" s="1109"/>
      <c r="K57" s="1141"/>
      <c r="L57" s="938"/>
      <c r="M57" s="938"/>
      <c r="N57" s="938"/>
      <c r="O57" s="938"/>
    </row>
    <row r="58" spans="1:15" s="689" customFormat="1">
      <c r="A58" s="690" t="s">
        <v>2754</v>
      </c>
      <c r="B58" s="260">
        <f t="shared" ref="B58:B65" si="17">ROUND($C$48*C58*D58,0)</f>
        <v>0</v>
      </c>
      <c r="C58" s="198">
        <f t="shared" si="16"/>
        <v>0</v>
      </c>
      <c r="D58" s="1161">
        <v>0.25</v>
      </c>
      <c r="E58" s="691"/>
      <c r="F58" s="1100">
        <f t="shared" si="15"/>
        <v>0</v>
      </c>
      <c r="G58" s="3270"/>
      <c r="H58" s="1101">
        <f>项目基本情况!B37</f>
        <v>0</v>
      </c>
      <c r="I58" s="1105">
        <f>SUMIF(修正!A45:A56,H58,修正!C45:C56)</f>
        <v>0</v>
      </c>
      <c r="J58" s="1109"/>
      <c r="K58" s="1142"/>
      <c r="L58" s="938"/>
      <c r="M58" s="938"/>
      <c r="N58" s="938"/>
      <c r="O58" s="938"/>
    </row>
    <row r="59" spans="1:15" s="689" customFormat="1">
      <c r="A59" s="690" t="s">
        <v>2755</v>
      </c>
      <c r="B59" s="260">
        <f t="shared" si="17"/>
        <v>0</v>
      </c>
      <c r="C59" s="198">
        <f t="shared" si="16"/>
        <v>0</v>
      </c>
      <c r="D59" s="1161">
        <v>0.25</v>
      </c>
      <c r="E59" s="691"/>
      <c r="F59" s="1100">
        <f t="shared" si="15"/>
        <v>0</v>
      </c>
      <c r="G59" s="3270"/>
      <c r="H59" s="1101">
        <f>项目基本情况!B37</f>
        <v>0</v>
      </c>
      <c r="I59" s="1105">
        <f>SUMIF(修正!A45:A56,H59,修正!D45:D56)</f>
        <v>0</v>
      </c>
      <c r="J59" s="1109"/>
      <c r="K59" s="1141"/>
      <c r="L59" s="938"/>
      <c r="M59" s="938"/>
      <c r="N59" s="938"/>
      <c r="O59" s="938"/>
    </row>
    <row r="60" spans="1:15" s="689" customFormat="1">
      <c r="A60" s="690" t="s">
        <v>2756</v>
      </c>
      <c r="B60" s="260">
        <f t="shared" si="17"/>
        <v>0</v>
      </c>
      <c r="C60" s="198">
        <f t="shared" si="16"/>
        <v>0</v>
      </c>
      <c r="D60" s="1161">
        <v>0.25</v>
      </c>
      <c r="E60" s="691"/>
      <c r="F60" s="1100">
        <f t="shared" si="15"/>
        <v>0</v>
      </c>
      <c r="G60" s="3270"/>
      <c r="H60" s="1101">
        <f>项目基本情况!B37</f>
        <v>0</v>
      </c>
      <c r="I60" s="1105">
        <f>SUMIF(修正!A45:A56,H60,修正!E45:E56)</f>
        <v>0</v>
      </c>
      <c r="J60" s="1109"/>
      <c r="K60" s="1142"/>
      <c r="L60" s="938"/>
      <c r="M60" s="938"/>
      <c r="N60" s="938"/>
      <c r="O60" s="938"/>
    </row>
    <row r="61" spans="1:15" s="689" customFormat="1">
      <c r="A61" s="690" t="s">
        <v>2757</v>
      </c>
      <c r="B61" s="260">
        <f t="shared" si="17"/>
        <v>0</v>
      </c>
      <c r="C61" s="198">
        <f t="shared" si="16"/>
        <v>0</v>
      </c>
      <c r="D61" s="1161">
        <v>0.25</v>
      </c>
      <c r="E61" s="259">
        <f>'数据-汇总表'!E11</f>
        <v>457.04</v>
      </c>
      <c r="F61" s="1100">
        <f t="shared" si="15"/>
        <v>0</v>
      </c>
      <c r="G61" s="2694" t="s">
        <v>2758</v>
      </c>
      <c r="H61" s="1101">
        <f>项目基本情况!C37</f>
        <v>0</v>
      </c>
      <c r="I61" s="1105">
        <f>SUMIF(修正!A45:A56,H61,修正!F45:F56)</f>
        <v>0</v>
      </c>
      <c r="J61" s="1109"/>
      <c r="K61" s="1141"/>
      <c r="L61" s="938"/>
      <c r="M61" s="938"/>
      <c r="N61" s="938"/>
      <c r="O61" s="938"/>
    </row>
    <row r="62" spans="1:15" s="689" customFormat="1">
      <c r="A62" s="690" t="s">
        <v>2759</v>
      </c>
      <c r="B62" s="260">
        <f t="shared" si="17"/>
        <v>0</v>
      </c>
      <c r="C62" s="198">
        <f t="shared" si="16"/>
        <v>0</v>
      </c>
      <c r="D62" s="1161">
        <v>0.25</v>
      </c>
      <c r="E62" s="259">
        <f>'数据-汇总表'!E12</f>
        <v>5366.96</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2761</v>
      </c>
      <c r="B63" s="260">
        <f t="shared" si="17"/>
        <v>0</v>
      </c>
      <c r="C63" s="198">
        <f t="shared" si="16"/>
        <v>0</v>
      </c>
      <c r="D63" s="1161">
        <v>0.25</v>
      </c>
      <c r="E63" s="259">
        <f>'数据-汇总表'!E13</f>
        <v>9125.51</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2763</v>
      </c>
      <c r="B64" s="260">
        <f t="shared" si="17"/>
        <v>0</v>
      </c>
      <c r="C64" s="198">
        <f t="shared" si="16"/>
        <v>0</v>
      </c>
      <c r="D64" s="1161">
        <v>0.25</v>
      </c>
      <c r="E64" s="259">
        <f>'数据-汇总表'!E14</f>
        <v>0</v>
      </c>
      <c r="F64" s="1100">
        <f t="shared" si="15"/>
        <v>0</v>
      </c>
      <c r="G64" s="2694" t="s">
        <v>2753</v>
      </c>
      <c r="H64" s="1101">
        <f>项目基本情况!B37</f>
        <v>0</v>
      </c>
      <c r="I64" s="1105">
        <f>SUMIF(修正!A45:A56,H64,修正!H45:H56)</f>
        <v>0</v>
      </c>
      <c r="J64" s="1109"/>
      <c r="K64" s="1142"/>
      <c r="L64" s="938"/>
      <c r="M64" s="938"/>
      <c r="N64" s="938"/>
      <c r="O64" s="938"/>
    </row>
    <row r="65" spans="1:17" s="689" customFormat="1" ht="15" thickBot="1">
      <c r="A65" s="690" t="s">
        <v>2764</v>
      </c>
      <c r="B65" s="260">
        <f t="shared" si="17"/>
        <v>0</v>
      </c>
      <c r="C65" s="198">
        <f t="shared" si="16"/>
        <v>0</v>
      </c>
      <c r="D65" s="1161">
        <v>0.25</v>
      </c>
      <c r="E65" s="259">
        <f>'数据-汇总表'!E15</f>
        <v>0</v>
      </c>
      <c r="F65" s="1100">
        <f t="shared" si="15"/>
        <v>0</v>
      </c>
      <c r="G65" s="2695" t="s">
        <v>2758</v>
      </c>
      <c r="H65" s="1111">
        <f>项目基本情况!C37</f>
        <v>0</v>
      </c>
      <c r="I65" s="1107">
        <f>SUMIF(修正!A45:A56,H65,修正!H45:H56)</f>
        <v>0</v>
      </c>
      <c r="J65" s="1110"/>
      <c r="K65" s="1141"/>
      <c r="L65" s="938"/>
      <c r="M65" s="938"/>
      <c r="N65" s="938"/>
      <c r="O65" s="938"/>
    </row>
    <row r="66" spans="1:17" s="689" customFormat="1" ht="13.5" thickBot="1">
      <c r="A66" s="692" t="s">
        <v>2765</v>
      </c>
      <c r="B66" s="693" t="s">
        <v>28</v>
      </c>
      <c r="C66" s="693" t="s">
        <v>29</v>
      </c>
      <c r="D66" s="693" t="s">
        <v>1029</v>
      </c>
      <c r="E66" s="693">
        <f>IF(B46="楼面地价",SUM(E56:E65),'数据-汇总表'!D3)</f>
        <v>64115.63</v>
      </c>
      <c r="F66" s="694">
        <f>IF(B46="楼面地价",SUM(F56:F65),ROUND(C48*E66/10000,0))</f>
        <v>12675</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2018-4-1</v>
      </c>
      <c r="D68" s="756">
        <f>EDATE(C68,-3)</f>
        <v>43101</v>
      </c>
      <c r="E68" s="756">
        <f>EDATE(D68,-3)</f>
        <v>43009</v>
      </c>
      <c r="F68" s="756">
        <f t="shared" ref="F68:O68" si="18">EDATE(E68,-3)</f>
        <v>42917</v>
      </c>
      <c r="G68" s="756">
        <f t="shared" si="18"/>
        <v>42826</v>
      </c>
      <c r="H68" s="756">
        <f t="shared" si="18"/>
        <v>42736</v>
      </c>
      <c r="I68" s="756">
        <f t="shared" si="18"/>
        <v>42644</v>
      </c>
      <c r="J68" s="756">
        <f t="shared" si="18"/>
        <v>42552</v>
      </c>
      <c r="K68" s="756">
        <f t="shared" si="18"/>
        <v>42461</v>
      </c>
      <c r="L68" s="756">
        <f t="shared" si="18"/>
        <v>42370</v>
      </c>
      <c r="M68" s="756">
        <f t="shared" si="18"/>
        <v>42278</v>
      </c>
      <c r="N68" s="756">
        <f t="shared" si="18"/>
        <v>42186</v>
      </c>
      <c r="O68" s="756">
        <f t="shared" si="18"/>
        <v>42095</v>
      </c>
    </row>
    <row r="69" spans="1:17" ht="21.75" thickBot="1">
      <c r="A69" s="758" t="s">
        <v>2658</v>
      </c>
      <c r="B69" s="754"/>
      <c r="C69" s="759"/>
      <c r="D69" s="759"/>
      <c r="E69" s="759"/>
      <c r="F69" s="760"/>
      <c r="G69" s="760"/>
      <c r="H69" s="759"/>
      <c r="I69" s="759"/>
      <c r="J69" s="1156"/>
      <c r="K69" s="1157"/>
      <c r="L69" s="1158"/>
      <c r="M69" s="1156"/>
      <c r="N69" s="1156"/>
      <c r="O69" s="1156"/>
      <c r="P69" s="500"/>
      <c r="Q69" s="501"/>
    </row>
    <row r="70" spans="1:17" s="505" customFormat="1" ht="15">
      <c r="A70" s="2696" t="s">
        <v>2766</v>
      </c>
      <c r="B70" s="1354"/>
      <c r="C70" s="1566" t="str">
        <f>YEAR(C68)&amp;"-"&amp;ROUNDUP(MONTH(C68)/3,0)</f>
        <v>2018-2</v>
      </c>
      <c r="D70" s="1566" t="str">
        <f>YEAR(D68)&amp;"-"&amp;ROUNDUP(MONTH(D68)/3,0)</f>
        <v>2018-1</v>
      </c>
      <c r="E70" s="1566" t="str">
        <f t="shared" ref="E70:O70" si="19">YEAR(E68)&amp;"-"&amp;ROUNDUP(MONTH(E68)/3,0)</f>
        <v>2017-4</v>
      </c>
      <c r="F70" s="1566" t="str">
        <f t="shared" si="19"/>
        <v>2017-3</v>
      </c>
      <c r="G70" s="1566" t="str">
        <f t="shared" si="19"/>
        <v>2017-2</v>
      </c>
      <c r="H70" s="1566" t="str">
        <f t="shared" si="19"/>
        <v>2017-1</v>
      </c>
      <c r="I70" s="1566" t="str">
        <f t="shared" si="19"/>
        <v>2016-4</v>
      </c>
      <c r="J70" s="1566" t="str">
        <f t="shared" si="19"/>
        <v>2016-3</v>
      </c>
      <c r="K70" s="1566" t="str">
        <f t="shared" si="19"/>
        <v>2016-2</v>
      </c>
      <c r="L70" s="1566" t="str">
        <f t="shared" si="19"/>
        <v>2016-1</v>
      </c>
      <c r="M70" s="1566" t="str">
        <f t="shared" si="19"/>
        <v>2015-4</v>
      </c>
      <c r="N70" s="1566" t="str">
        <f t="shared" si="19"/>
        <v>2015-3</v>
      </c>
      <c r="O70" s="1566" t="str">
        <f t="shared" si="19"/>
        <v>2015-2</v>
      </c>
      <c r="P70" s="504"/>
    </row>
    <row r="71" spans="1:17" s="116" customFormat="1" ht="30" customHeight="1">
      <c r="A71" s="2697" t="s">
        <v>2767</v>
      </c>
      <c r="B71" s="330" t="str">
        <f>"北京市平均增长率"&amp;TEXT(SUMIF(基准地价修正!N21:N25,A71,基准地价修正!P21:P25),"0.00%")</f>
        <v>北京市平均增长率0.00%</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6" customFormat="1" ht="15.75" thickBot="1">
      <c r="A72" s="512" t="s">
        <v>2569</v>
      </c>
      <c r="B72" s="513"/>
      <c r="C72" s="514"/>
      <c r="D72" s="515"/>
      <c r="E72" s="515"/>
      <c r="F72" s="515"/>
      <c r="G72" s="515"/>
      <c r="H72" s="515"/>
      <c r="I72" s="515"/>
      <c r="J72" s="515"/>
      <c r="K72" s="515"/>
      <c r="L72" s="515"/>
      <c r="M72" s="516"/>
      <c r="N72" s="515"/>
      <c r="O72" s="1159"/>
      <c r="P72" s="501"/>
      <c r="Q72" s="501"/>
    </row>
    <row r="73" spans="1:17" s="116" customFormat="1" ht="15">
      <c r="A73" s="518" t="s">
        <v>2534</v>
      </c>
      <c r="B73" s="507"/>
      <c r="C73" s="519" t="s">
        <v>2636</v>
      </c>
      <c r="D73" s="520"/>
      <c r="E73" s="520"/>
      <c r="F73" s="520"/>
      <c r="G73" s="520"/>
      <c r="H73" s="520"/>
      <c r="I73" s="520"/>
      <c r="J73" s="520"/>
      <c r="K73" s="520"/>
      <c r="L73" s="521"/>
      <c r="M73" s="522"/>
      <c r="N73" s="1148"/>
      <c r="O73" s="1148"/>
      <c r="P73" s="523"/>
      <c r="Q73" s="501"/>
    </row>
    <row r="74" spans="1:17" s="116"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2572</v>
      </c>
      <c r="B75" s="525" t="s">
        <v>2538</v>
      </c>
      <c r="C75" s="2942" t="s">
        <v>3412</v>
      </c>
      <c r="D75" s="2942" t="s">
        <v>3414</v>
      </c>
      <c r="E75" s="527"/>
      <c r="F75" s="527"/>
      <c r="G75" s="527"/>
      <c r="H75" s="527"/>
      <c r="I75" s="527"/>
      <c r="J75" s="527"/>
      <c r="K75" s="528"/>
      <c r="L75" s="529"/>
      <c r="M75" s="530"/>
      <c r="N75" s="1149"/>
      <c r="O75" s="1149"/>
      <c r="P75" s="45"/>
      <c r="Q75" s="501"/>
    </row>
    <row r="76" spans="1:17" ht="15.75" thickBot="1">
      <c r="A76" s="531"/>
      <c r="B76" s="532"/>
      <c r="C76" s="533">
        <v>100</v>
      </c>
      <c r="D76" s="533">
        <v>105</v>
      </c>
      <c r="E76" s="533"/>
      <c r="F76" s="533"/>
      <c r="G76" s="533"/>
      <c r="H76" s="533"/>
      <c r="I76" s="533"/>
      <c r="J76" s="533"/>
      <c r="K76" s="533"/>
      <c r="L76" s="533"/>
      <c r="M76" s="534"/>
      <c r="N76" s="1150"/>
      <c r="O76" s="1150"/>
      <c r="P76" s="45"/>
      <c r="Q76" s="501"/>
    </row>
    <row r="77" spans="1:17" ht="27.75" thickTop="1">
      <c r="A77" s="531"/>
      <c r="B77" s="535" t="s">
        <v>2541</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2542</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ht="15">
      <c r="A80" s="531"/>
      <c r="B80" s="545"/>
      <c r="C80" s="546">
        <v>0</v>
      </c>
      <c r="D80" s="546">
        <v>1</v>
      </c>
      <c r="E80" s="546">
        <v>2</v>
      </c>
      <c r="F80" s="546">
        <v>3</v>
      </c>
      <c r="G80" s="546">
        <v>4</v>
      </c>
      <c r="H80" s="546"/>
      <c r="I80" s="546"/>
      <c r="J80" s="546"/>
      <c r="K80" s="547"/>
      <c r="L80" s="548"/>
      <c r="M80" s="549"/>
      <c r="N80" s="1149"/>
      <c r="O80" s="1149"/>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9"/>
      <c r="O88" s="1149"/>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50"/>
      <c r="O89" s="1150"/>
      <c r="P89" s="45"/>
      <c r="Q89" s="501"/>
    </row>
    <row r="90" spans="1:17" ht="15.75" thickTop="1">
      <c r="A90" s="531"/>
      <c r="B90" s="535" t="s">
        <v>2768</v>
      </c>
      <c r="C90" s="575" t="s">
        <v>2581</v>
      </c>
      <c r="D90" s="575" t="s">
        <v>2582</v>
      </c>
      <c r="E90" s="575" t="s">
        <v>2583</v>
      </c>
      <c r="F90" s="575" t="s">
        <v>2584</v>
      </c>
      <c r="G90" s="575" t="s">
        <v>2585</v>
      </c>
      <c r="H90" s="536"/>
      <c r="I90" s="536"/>
      <c r="J90" s="536"/>
      <c r="K90" s="537"/>
      <c r="L90" s="538"/>
      <c r="M90" s="539"/>
      <c r="N90" s="1149"/>
      <c r="O90" s="1149"/>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9"/>
      <c r="O94" s="1149"/>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50"/>
      <c r="O95" s="1150"/>
      <c r="P95" s="45"/>
      <c r="Q95" s="501"/>
    </row>
    <row r="96" spans="1:17" s="116" customFormat="1" ht="15.75" thickTop="1">
      <c r="A96" s="576"/>
      <c r="B96" s="535" t="s">
        <v>2769</v>
      </c>
      <c r="C96" s="575" t="s">
        <v>2581</v>
      </c>
      <c r="D96" s="575" t="s">
        <v>2582</v>
      </c>
      <c r="E96" s="575" t="s">
        <v>2583</v>
      </c>
      <c r="F96" s="575" t="s">
        <v>2584</v>
      </c>
      <c r="G96" s="575" t="s">
        <v>2585</v>
      </c>
      <c r="H96" s="575"/>
      <c r="I96" s="575"/>
      <c r="J96" s="575"/>
      <c r="K96" s="575"/>
      <c r="L96" s="695"/>
      <c r="M96" s="619"/>
      <c r="N96" s="1148"/>
      <c r="O96" s="1148"/>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6" customFormat="1" ht="27.75" thickTop="1">
      <c r="A98" s="576"/>
      <c r="B98" s="535" t="s">
        <v>2770</v>
      </c>
      <c r="C98" s="570" t="s">
        <v>2581</v>
      </c>
      <c r="D98" s="570" t="s">
        <v>2582</v>
      </c>
      <c r="E98" s="570" t="s">
        <v>2583</v>
      </c>
      <c r="F98" s="570" t="s">
        <v>2584</v>
      </c>
      <c r="G98" s="570" t="s">
        <v>2585</v>
      </c>
      <c r="H98" s="575"/>
      <c r="I98" s="575"/>
      <c r="J98" s="575"/>
      <c r="K98" s="575"/>
      <c r="L98" s="575"/>
      <c r="M98" s="619"/>
      <c r="N98" s="1148"/>
      <c r="O98" s="1148"/>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50"/>
      <c r="O99" s="1150"/>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1"/>
      <c r="O100" s="1151"/>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1"/>
      <c r="O101" s="1151"/>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0"/>
      <c r="N102" s="1151"/>
      <c r="O102" s="1151"/>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51"/>
      <c r="O103" s="1151"/>
      <c r="P103" s="555"/>
      <c r="Q103" s="556"/>
    </row>
    <row r="104" spans="1:17" ht="15.75" thickTop="1">
      <c r="A104" s="531"/>
      <c r="B104" s="535" t="str">
        <f>B31</f>
        <v>临街状况</v>
      </c>
      <c r="C104" s="536" t="s">
        <v>2771</v>
      </c>
      <c r="D104" s="536" t="s">
        <v>2772</v>
      </c>
      <c r="E104" s="536" t="s">
        <v>2773</v>
      </c>
      <c r="F104" s="536" t="s">
        <v>2774</v>
      </c>
      <c r="G104" s="536"/>
      <c r="H104" s="536"/>
      <c r="I104" s="536"/>
      <c r="J104" s="536"/>
      <c r="K104" s="537"/>
      <c r="L104" s="538"/>
      <c r="M104" s="539"/>
      <c r="N104" s="1149"/>
      <c r="O104" s="1149"/>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7.75" thickTop="1">
      <c r="A106" s="531"/>
      <c r="B106" s="535" t="s">
        <v>2675</v>
      </c>
      <c r="C106" s="2940" t="s">
        <v>3415</v>
      </c>
      <c r="D106" s="2940" t="s">
        <v>3416</v>
      </c>
      <c r="E106" s="2940" t="s">
        <v>3417</v>
      </c>
      <c r="F106" s="2940" t="s">
        <v>3418</v>
      </c>
      <c r="G106" s="2940" t="s">
        <v>3419</v>
      </c>
      <c r="H106" s="580"/>
      <c r="I106" s="580"/>
      <c r="J106" s="580"/>
      <c r="K106" s="581"/>
      <c r="L106" s="582"/>
      <c r="M106" s="583"/>
      <c r="N106" s="1149"/>
      <c r="O106" s="1149"/>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0"/>
      <c r="O107" s="1150"/>
      <c r="P107" s="45"/>
      <c r="Q107" s="501"/>
    </row>
    <row r="108" spans="1:17" ht="15.75" thickTop="1">
      <c r="A108" s="531"/>
      <c r="B108" s="535" t="s">
        <v>2734</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5.75" thickTop="1">
      <c r="A110" s="531"/>
      <c r="B110" s="543">
        <f>B35</f>
        <v>111</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111</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8.5">
      <c r="A116" s="524" t="s">
        <v>2547</v>
      </c>
      <c r="B116" s="525" t="s">
        <v>2775</v>
      </c>
      <c r="C116" s="526" t="str">
        <f>C117&amp;"(含)"&amp;"-"&amp;D117</f>
        <v>0(含)-50000</v>
      </c>
      <c r="D116" s="526" t="str">
        <f t="shared" ref="D116:M116" si="25">D117&amp;"(含)"&amp;"-"&amp;E117</f>
        <v>50000(含)-100000</v>
      </c>
      <c r="E116" s="526" t="str">
        <f t="shared" si="25"/>
        <v>100000(含)-150000</v>
      </c>
      <c r="F116" s="526" t="str">
        <f t="shared" si="25"/>
        <v>150000(含)-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ht="15">
      <c r="A117" s="531"/>
      <c r="B117" s="543"/>
      <c r="C117" s="3067">
        <v>0</v>
      </c>
      <c r="D117" s="3067">
        <v>50000</v>
      </c>
      <c r="E117" s="3067">
        <v>100000</v>
      </c>
      <c r="F117" s="3067">
        <v>150000</v>
      </c>
      <c r="G117" s="592"/>
      <c r="H117" s="592"/>
      <c r="I117" s="592"/>
      <c r="J117" s="593"/>
      <c r="K117" s="593"/>
      <c r="L117" s="594"/>
      <c r="M117" s="595"/>
      <c r="N117" s="1149"/>
      <c r="O117" s="1149"/>
      <c r="P117" s="45"/>
      <c r="Q117" s="501"/>
    </row>
    <row r="118" spans="1:17" ht="15.75" thickBot="1">
      <c r="A118" s="531"/>
      <c r="B118" s="540"/>
      <c r="C118" s="3068">
        <v>100</v>
      </c>
      <c r="D118" s="3069">
        <v>101</v>
      </c>
      <c r="E118" s="3069">
        <v>102</v>
      </c>
      <c r="F118" s="3069">
        <v>103</v>
      </c>
      <c r="G118" s="588"/>
      <c r="H118" s="588"/>
      <c r="I118" s="588"/>
      <c r="J118" s="588"/>
      <c r="K118" s="588"/>
      <c r="L118" s="588"/>
      <c r="M118" s="589"/>
      <c r="N118" s="1150"/>
      <c r="O118" s="1150"/>
      <c r="P118" s="45"/>
      <c r="Q118" s="501"/>
    </row>
    <row r="119" spans="1:17" ht="15" thickTop="1">
      <c r="A119" s="596"/>
      <c r="B119" s="535" t="s">
        <v>2776</v>
      </c>
      <c r="C119" s="2941" t="s">
        <v>3421</v>
      </c>
      <c r="D119" s="2941" t="s">
        <v>3420</v>
      </c>
      <c r="E119" s="2941" t="s">
        <v>3422</v>
      </c>
      <c r="F119" s="2941" t="s">
        <v>3423</v>
      </c>
      <c r="G119" s="580"/>
      <c r="H119" s="580"/>
      <c r="I119" s="580"/>
      <c r="J119" s="580"/>
      <c r="K119" s="581"/>
      <c r="L119" s="582"/>
      <c r="M119" s="583"/>
      <c r="N119" s="1149"/>
      <c r="O119" s="1149"/>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0"/>
      <c r="O120" s="1150"/>
      <c r="P120" s="45"/>
      <c r="Q120" s="501"/>
    </row>
    <row r="121" spans="1:17" ht="15" thickTop="1">
      <c r="A121" s="596"/>
      <c r="B121" s="535" t="s">
        <v>2777</v>
      </c>
      <c r="C121" s="551"/>
      <c r="D121" s="551"/>
      <c r="E121" s="551"/>
      <c r="F121" s="580"/>
      <c r="G121" s="580"/>
      <c r="H121" s="580"/>
      <c r="I121" s="580"/>
      <c r="J121" s="580"/>
      <c r="K121" s="581"/>
      <c r="L121" s="582"/>
      <c r="M121" s="583"/>
      <c r="N121" s="1149"/>
      <c r="O121" s="1149"/>
      <c r="P121" s="45"/>
      <c r="Q121" s="501"/>
    </row>
    <row r="122" spans="1:17" ht="15.75" thickBot="1">
      <c r="A122" s="531"/>
      <c r="B122" s="540"/>
      <c r="C122" s="541">
        <v>100</v>
      </c>
      <c r="D122" s="541">
        <f t="shared" ref="D122:M122" si="27">C122-$K40</f>
        <v>98</v>
      </c>
      <c r="E122" s="541">
        <f t="shared" si="27"/>
        <v>96</v>
      </c>
      <c r="F122" s="541">
        <f t="shared" si="27"/>
        <v>94</v>
      </c>
      <c r="G122" s="541">
        <f t="shared" si="27"/>
        <v>92</v>
      </c>
      <c r="H122" s="541">
        <f t="shared" si="27"/>
        <v>90</v>
      </c>
      <c r="I122" s="541">
        <f t="shared" si="27"/>
        <v>88</v>
      </c>
      <c r="J122" s="541">
        <f t="shared" si="27"/>
        <v>86</v>
      </c>
      <c r="K122" s="541">
        <f t="shared" si="27"/>
        <v>84</v>
      </c>
      <c r="L122" s="541">
        <f t="shared" si="27"/>
        <v>82</v>
      </c>
      <c r="M122" s="542">
        <f t="shared" si="27"/>
        <v>80</v>
      </c>
      <c r="N122" s="1150"/>
      <c r="O122" s="1150"/>
      <c r="P122" s="45"/>
      <c r="Q122" s="501"/>
    </row>
    <row r="123" spans="1:17" s="468" customFormat="1" ht="15" thickTop="1">
      <c r="A123" s="590"/>
      <c r="B123" s="535" t="s">
        <v>2778</v>
      </c>
      <c r="C123" s="2940" t="s">
        <v>3424</v>
      </c>
      <c r="D123" s="2940" t="s">
        <v>3425</v>
      </c>
      <c r="E123" s="2940" t="s">
        <v>3426</v>
      </c>
      <c r="F123" s="2940" t="s">
        <v>3427</v>
      </c>
      <c r="G123" s="2940" t="s">
        <v>3428</v>
      </c>
      <c r="H123" s="580"/>
      <c r="I123" s="580"/>
      <c r="J123" s="580"/>
      <c r="K123" s="581"/>
      <c r="L123" s="582"/>
      <c r="M123" s="583"/>
      <c r="N123" s="1151"/>
      <c r="O123" s="1151"/>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2779</v>
      </c>
      <c r="C125" s="2940" t="s">
        <v>3429</v>
      </c>
      <c r="D125" s="2940" t="s">
        <v>3430</v>
      </c>
      <c r="E125" s="2941" t="s">
        <v>3431</v>
      </c>
      <c r="F125" s="2941" t="s">
        <v>3432</v>
      </c>
      <c r="G125" s="2941" t="s">
        <v>3433</v>
      </c>
      <c r="H125" s="580"/>
      <c r="I125" s="580"/>
      <c r="J125" s="580"/>
      <c r="K125" s="581"/>
      <c r="L125" s="582"/>
      <c r="M125" s="583"/>
      <c r="N125" s="1149"/>
      <c r="O125" s="1149"/>
      <c r="P125" s="45"/>
      <c r="Q125" s="501"/>
    </row>
    <row r="126" spans="1:17" ht="15.75" thickBot="1">
      <c r="A126" s="531"/>
      <c r="B126" s="540"/>
      <c r="C126" s="541">
        <v>100</v>
      </c>
      <c r="D126" s="541">
        <f t="shared" ref="D126:M126" si="29">C126-$K42</f>
        <v>98</v>
      </c>
      <c r="E126" s="541">
        <f t="shared" si="29"/>
        <v>96</v>
      </c>
      <c r="F126" s="541">
        <f t="shared" si="29"/>
        <v>94</v>
      </c>
      <c r="G126" s="541">
        <f t="shared" si="29"/>
        <v>92</v>
      </c>
      <c r="H126" s="541">
        <f t="shared" si="29"/>
        <v>90</v>
      </c>
      <c r="I126" s="541">
        <f t="shared" si="29"/>
        <v>88</v>
      </c>
      <c r="J126" s="541">
        <f t="shared" si="29"/>
        <v>86</v>
      </c>
      <c r="K126" s="541">
        <f t="shared" si="29"/>
        <v>84</v>
      </c>
      <c r="L126" s="541">
        <f t="shared" si="29"/>
        <v>82</v>
      </c>
      <c r="M126" s="542">
        <f t="shared" si="29"/>
        <v>80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6" sqref="N26"/>
    </sheetView>
  </sheetViews>
  <sheetFormatPr defaultColWidth="6.625" defaultRowHeight="12.75"/>
  <cols>
    <col min="1" max="1" width="9.75" style="793" customWidth="1"/>
    <col min="2" max="2" width="25.75" style="949" customWidth="1"/>
    <col min="3" max="3" width="10.375" style="992" customWidth="1"/>
    <col min="4" max="4" width="9.875" style="949" customWidth="1"/>
    <col min="5" max="5" width="9.5" style="793"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2446</v>
      </c>
      <c r="B1" s="1575"/>
      <c r="C1" s="1576"/>
      <c r="D1" s="1574"/>
      <c r="E1" s="318"/>
      <c r="F1" s="318"/>
      <c r="G1" s="1575"/>
      <c r="H1" s="318"/>
      <c r="I1" s="318"/>
      <c r="J1" s="318"/>
      <c r="K1" s="318">
        <f>MATCH(C1,'数据-取费表'!A6:A16,0)+5</f>
        <v>9</v>
      </c>
    </row>
    <row r="2" spans="1:33" ht="18" customHeight="1">
      <c r="A2" s="243" t="s">
        <v>2314</v>
      </c>
      <c r="B2" s="246">
        <f ca="1">C32</f>
        <v>13791</v>
      </c>
      <c r="C2" s="318" t="s">
        <v>2447</v>
      </c>
      <c r="D2" s="318"/>
      <c r="E2" s="318"/>
      <c r="F2" s="318"/>
      <c r="G2" s="318"/>
      <c r="H2" s="318"/>
      <c r="I2" s="318"/>
      <c r="J2" s="318"/>
      <c r="K2" s="318"/>
    </row>
    <row r="3" spans="1:33" ht="18" customHeight="1" thickBot="1">
      <c r="A3" s="245" t="s">
        <v>2316</v>
      </c>
      <c r="B3" s="246">
        <f ca="1">ROUND(B2*10000/IF(C1="",'数据-汇总表'!E3,INDIRECT("'数据-取费表'!K"&amp;$K$1)),0)</f>
        <v>2149</v>
      </c>
      <c r="C3" s="318" t="s">
        <v>2448</v>
      </c>
      <c r="D3" s="318"/>
      <c r="E3" s="318"/>
      <c r="F3" s="318"/>
      <c r="G3" s="318"/>
      <c r="H3" s="318"/>
      <c r="I3" s="318"/>
      <c r="J3" s="318"/>
      <c r="K3" s="318"/>
    </row>
    <row r="4" spans="1:33" s="953" customFormat="1" ht="16.5" customHeight="1">
      <c r="A4" s="950" t="s">
        <v>2449</v>
      </c>
      <c r="B4" s="951"/>
      <c r="C4" s="993">
        <f ca="1">SUM(C8:K8)</f>
        <v>46114</v>
      </c>
      <c r="D4" s="951"/>
      <c r="E4" s="951"/>
      <c r="F4" s="951"/>
      <c r="G4" s="951"/>
      <c r="H4" s="951"/>
      <c r="I4" s="951"/>
      <c r="J4" s="951"/>
      <c r="K4" s="952"/>
    </row>
    <row r="5" spans="1:33" s="957" customFormat="1" ht="15">
      <c r="A5" s="954" t="s">
        <v>2450</v>
      </c>
      <c r="B5" s="955" t="s">
        <v>2451</v>
      </c>
      <c r="C5" s="2539" t="s">
        <v>3167</v>
      </c>
      <c r="D5" s="2539" t="s">
        <v>3173</v>
      </c>
      <c r="E5" s="2539" t="s">
        <v>3175</v>
      </c>
      <c r="F5" s="2539"/>
      <c r="G5" s="2539"/>
      <c r="H5" s="2539"/>
      <c r="I5" s="2539"/>
      <c r="J5" s="2539"/>
      <c r="K5" s="253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2452</v>
      </c>
      <c r="C6" s="959">
        <f>'比较法-住宅'!B3</f>
        <v>8220</v>
      </c>
      <c r="D6" s="959">
        <f ca="1">收益法!B3</f>
        <v>4636</v>
      </c>
      <c r="E6" s="959">
        <f ca="1">'收益法 (2)'!B3</f>
        <v>3519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8" t="s">
        <v>2454</v>
      </c>
      <c r="C7" s="319">
        <f>SUMIF('数据-汇总表'!$C19:$C33,假设开发法!C5,'数据-汇总表'!$E19:$E33)</f>
        <v>49166.119999999995</v>
      </c>
      <c r="D7" s="319">
        <f>SUMIF('数据-汇总表'!$C19:$C33,假设开发法!D5,'数据-汇总表'!$E19:$E33)</f>
        <v>5366.96</v>
      </c>
      <c r="E7" s="319">
        <f>SUMIF('数据-汇总表'!$C19:$C33,假设开发法!E5,'数据-汇总表'!$E19:$E33)</f>
        <v>9125.51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0" t="s">
        <v>2455</v>
      </c>
      <c r="B8" s="175" t="s">
        <v>2456</v>
      </c>
      <c r="C8" s="994">
        <f>'比较法-住宅'!B2</f>
        <v>40415</v>
      </c>
      <c r="D8" s="994">
        <f ca="1">收益法!B2</f>
        <v>2488</v>
      </c>
      <c r="E8" s="994">
        <f ca="1">'收益法 (2)'!B2</f>
        <v>3211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21">
        <f ca="1">IF(C1="",'数据-取费表'!P16,INDIRECT("'数据-取费表'!p"&amp;$K$1)+INDIRECT("'数据-取费表'!ar"&amp;$K$1))</f>
        <v>15983</v>
      </c>
      <c r="D11" s="970"/>
      <c r="E11" s="373"/>
      <c r="F11" s="971">
        <f ca="1">1-IF('数据-取费表'!B24=0,1,IF(C1="",'数据-取费表'!N16,INDIRECT("'数据-取费表'!n"&amp;$K$1)))</f>
        <v>1</v>
      </c>
      <c r="G11" s="8"/>
      <c r="H11" s="965"/>
      <c r="I11" s="965"/>
      <c r="J11" s="965"/>
      <c r="K11" s="966"/>
    </row>
    <row r="12" spans="1:33" s="972" customFormat="1" ht="13.5" customHeight="1">
      <c r="A12" s="968" t="s">
        <v>1335</v>
      </c>
      <c r="B12" s="969" t="s">
        <v>2465</v>
      </c>
      <c r="C12" s="24">
        <f ca="1">ROUND(C11*F12,0)</f>
        <v>479</v>
      </c>
      <c r="D12" s="970"/>
      <c r="E12" s="373"/>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639</v>
      </c>
      <c r="D13" s="1030"/>
      <c r="E13" s="373"/>
      <c r="F13" s="973">
        <f>'数据-取费表'!B34</f>
        <v>0.05</v>
      </c>
      <c r="G13" s="8" t="s">
        <v>2468</v>
      </c>
      <c r="H13" s="965"/>
      <c r="I13" s="965"/>
      <c r="J13" s="965"/>
      <c r="K13" s="966"/>
    </row>
    <row r="14" spans="1:33" s="974" customFormat="1" ht="13.5" customHeight="1">
      <c r="A14" s="968" t="s">
        <v>1337</v>
      </c>
      <c r="B14" s="969" t="s">
        <v>2469</v>
      </c>
      <c r="C14" s="24">
        <f ca="1">ROUND(D14*E14*F11/10000,0)</f>
        <v>1283</v>
      </c>
      <c r="D14" s="1030">
        <f ca="1">IF(C1="",'数据-汇总表'!E3,INDIRECT("'数据-取费表'!K"&amp;$K$1)+INDIRECT("'数据-取费表'!S"&amp;$K$1))</f>
        <v>64165.63</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240</v>
      </c>
      <c r="D15" s="975"/>
      <c r="E15" s="980"/>
      <c r="F15" s="981">
        <f>'数据-取费表'!B36</f>
        <v>1.4999999999999999E-2</v>
      </c>
      <c r="G15" s="138"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18624</v>
      </c>
      <c r="D16" s="975"/>
      <c r="E16" s="980"/>
      <c r="F16" s="981"/>
      <c r="G16" s="138"/>
      <c r="H16" s="1572"/>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64165.63</v>
      </c>
      <c r="E17" s="24">
        <f>'数据-取费表'!B32</f>
        <v>0</v>
      </c>
      <c r="F17" s="975"/>
      <c r="G17" s="138" t="s">
        <v>2475</v>
      </c>
      <c r="H17" s="1572"/>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3072">
        <f ca="1">C19+C20-IF(C1="",'数据-取费表'!B29,IF(G18="已全部缴纳",C19+C20,H18))</f>
        <v>44</v>
      </c>
      <c r="D18" s="1030"/>
      <c r="E18" s="24"/>
      <c r="F18" s="973"/>
      <c r="G18" s="2541"/>
      <c r="H18" s="1571"/>
      <c r="I18" s="2542" t="s">
        <v>2477</v>
      </c>
      <c r="J18" s="976"/>
      <c r="K18" s="977"/>
    </row>
    <row r="19" spans="1:33" s="972" customFormat="1" ht="13.5" customHeight="1">
      <c r="A19" s="968" t="s">
        <v>805</v>
      </c>
      <c r="B19" s="969" t="s">
        <v>2478</v>
      </c>
      <c r="C19" s="24">
        <f ca="1">ROUND(D19*E19/10000,0)</f>
        <v>639</v>
      </c>
      <c r="D19" s="1030">
        <f ca="1">IF(C1="",'数据-汇总表'!E5,IF(INDIRECT("'数据-取费表'!c"&amp;$K$1)="住宅",INDIRECT("'数据-取费表'!k"&amp;$K$1),0))</f>
        <v>49166.119999999995</v>
      </c>
      <c r="E19" s="24">
        <f>'数据-取费表'!B27</f>
        <v>130</v>
      </c>
      <c r="F19" s="973"/>
      <c r="G19" s="15"/>
      <c r="H19" s="1573"/>
      <c r="I19" s="978"/>
      <c r="J19" s="978"/>
      <c r="K19" s="979"/>
    </row>
    <row r="20" spans="1:33" s="972" customFormat="1" ht="13.5" customHeight="1">
      <c r="A20" s="968" t="s">
        <v>806</v>
      </c>
      <c r="B20" s="969" t="s">
        <v>2479</v>
      </c>
      <c r="C20" s="24">
        <f ca="1">ROUND(D20*E20/10000,0)</f>
        <v>195</v>
      </c>
      <c r="D20" s="1030">
        <f ca="1">IF(C1="",'数据-汇总表'!E6,IF(INDIRECT("'数据-取费表'!c"&amp;$K$1)="住宅",INDIRECT("'数据-取费表'!s"&amp;$K$1),INDIRECT("'数据-取费表'!k"&amp;$K$1)+INDIRECT("'数据-取费表'!s"&amp;$K$1)))</f>
        <v>14999.510000000002</v>
      </c>
      <c r="E20" s="24">
        <f>'数据-取费表'!B28</f>
        <v>130</v>
      </c>
      <c r="F20" s="973"/>
      <c r="G20" s="15"/>
      <c r="H20" s="978"/>
      <c r="I20" s="978"/>
      <c r="J20" s="978"/>
      <c r="K20" s="979"/>
    </row>
    <row r="21" spans="1:33" s="972" customFormat="1" ht="13.5" customHeight="1">
      <c r="A21" s="958" t="s">
        <v>802</v>
      </c>
      <c r="B21" s="982" t="s">
        <v>2480</v>
      </c>
      <c r="C21" s="983">
        <f ca="1">C16+C17+C18</f>
        <v>18668</v>
      </c>
      <c r="D21" s="984"/>
      <c r="E21" s="323"/>
      <c r="F21" s="323"/>
      <c r="G21" s="138" t="s">
        <v>2481</v>
      </c>
      <c r="H21" s="976"/>
      <c r="I21" s="976"/>
      <c r="J21" s="976"/>
      <c r="K21" s="977"/>
    </row>
    <row r="22" spans="1:33" s="972" customFormat="1" ht="13.5" customHeight="1">
      <c r="A22" s="958" t="s">
        <v>2453</v>
      </c>
      <c r="B22" s="982" t="s">
        <v>2482</v>
      </c>
      <c r="C22" s="983">
        <f ca="1">ROUND(C21*F22,0)</f>
        <v>373</v>
      </c>
      <c r="D22" s="323"/>
      <c r="E22" s="323"/>
      <c r="F22" s="985">
        <f>'数据-取费表'!B37</f>
        <v>0.02</v>
      </c>
      <c r="G22" s="8" t="s">
        <v>2483</v>
      </c>
      <c r="H22" s="965"/>
      <c r="I22" s="965"/>
      <c r="J22" s="965"/>
      <c r="K22" s="966"/>
    </row>
    <row r="23" spans="1:33" s="972" customFormat="1" ht="13.5" customHeight="1">
      <c r="A23" s="958" t="s">
        <v>2455</v>
      </c>
      <c r="B23" s="982" t="s">
        <v>2484</v>
      </c>
      <c r="C23" s="983">
        <f ca="1">ROUND(C4*F23*F11,0)</f>
        <v>922</v>
      </c>
      <c r="D23" s="323"/>
      <c r="E23" s="323"/>
      <c r="F23" s="985">
        <f>'数据-取费表'!B38</f>
        <v>0.02</v>
      </c>
      <c r="G23" s="8" t="s">
        <v>2485</v>
      </c>
      <c r="H23" s="965"/>
      <c r="I23" s="965"/>
      <c r="J23" s="965"/>
      <c r="K23" s="966"/>
    </row>
    <row r="24" spans="1:33" s="972" customFormat="1" ht="13.5" customHeight="1">
      <c r="A24" s="958" t="s">
        <v>2486</v>
      </c>
      <c r="B24" s="982" t="s">
        <v>2487</v>
      </c>
      <c r="C24" s="322">
        <f>ROUND(F24/(1+'数据-取费表'!C42),4)</f>
        <v>2.9000000000000001E-2</v>
      </c>
      <c r="D24" s="323" t="s">
        <v>15</v>
      </c>
      <c r="E24" s="323"/>
      <c r="F24" s="985">
        <f>'数据-取费表'!B48+'数据-取费表'!B49</f>
        <v>3.0499999999999999E-2</v>
      </c>
      <c r="G24" s="8" t="s">
        <v>2488</v>
      </c>
      <c r="H24" s="987"/>
      <c r="I24" s="987"/>
      <c r="J24" s="987"/>
      <c r="K24" s="988"/>
    </row>
    <row r="25" spans="1:33" s="972" customFormat="1" ht="13.5" customHeight="1">
      <c r="A25" s="958" t="s">
        <v>2489</v>
      </c>
      <c r="B25" s="984" t="s">
        <v>2490</v>
      </c>
      <c r="C25" s="1351">
        <f ca="1">C27</f>
        <v>948</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2">
        <f ca="1">ROUND(IF('数据-取费表'!B22&lt;=1,(1+C24)*F25*'数据-取费表'!B24,(1+C24)*(POWER((1+F25),'数据-取费表'!B24)-1)),4)</f>
        <v>0.10009999999999999</v>
      </c>
      <c r="D26" s="326"/>
      <c r="E26" s="327"/>
      <c r="F26" s="328"/>
      <c r="G26" s="254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3">
        <f ca="1">ROUND(IF('数据-取费表'!B22&lt;=1,(C21+C22+C23)*F25*'数据-取费表'!B24/2,(C21+C22+C23)*(POWER((1+F25),'数据-取费表'!B24/2)-1)),0)</f>
        <v>948</v>
      </c>
      <c r="D27" s="326"/>
      <c r="E27" s="327"/>
      <c r="F27" s="328"/>
      <c r="G27" s="2543" t="str">
        <f>IF('数据-取费表'!B22&lt;=1,"（1）-（3）项×年利率×建设期÷2","（1）-（3）项×((1+年利率)^(建设期÷2)-1)")</f>
        <v>（1）-（3）项×((1+年利率)^(建设期÷2)-1)</v>
      </c>
      <c r="H27" s="976"/>
      <c r="I27" s="976"/>
      <c r="J27" s="976"/>
      <c r="K27" s="977"/>
    </row>
    <row r="28" spans="1:33" s="331" customFormat="1" ht="13.5" customHeight="1">
      <c r="A28" s="958" t="s">
        <v>2493</v>
      </c>
      <c r="B28" s="2544" t="s">
        <v>2494</v>
      </c>
      <c r="C28" s="329">
        <f ca="1">C30</f>
        <v>4192</v>
      </c>
      <c r="D28" s="322">
        <f ca="1">C29</f>
        <v>0.21609999999999999</v>
      </c>
      <c r="E28" s="324" t="s">
        <v>15</v>
      </c>
      <c r="F28" s="330">
        <f ca="1">IF(C1="",'数据-取费表'!Q16,INDIRECT("'数据-取费表'!q"&amp;$K$1))</f>
        <v>0.21</v>
      </c>
      <c r="G28" s="986"/>
      <c r="H28" s="987"/>
      <c r="I28" s="987"/>
      <c r="J28" s="987"/>
      <c r="K28" s="988"/>
    </row>
    <row r="29" spans="1:33" s="333" customFormat="1" ht="13.5" customHeight="1">
      <c r="A29" s="968" t="s">
        <v>803</v>
      </c>
      <c r="B29" s="991" t="s">
        <v>2495</v>
      </c>
      <c r="C29" s="326">
        <f ca="1">ROUND((1+C24)*F28*'数据-取费表'!B24/'数据-取费表'!B20,4)</f>
        <v>0.21609999999999999</v>
      </c>
      <c r="D29" s="326"/>
      <c r="E29" s="327"/>
      <c r="F29" s="332"/>
      <c r="G29" s="138" t="s">
        <v>2496</v>
      </c>
      <c r="H29" s="976"/>
      <c r="I29" s="976"/>
      <c r="J29" s="976"/>
      <c r="K29" s="977"/>
    </row>
    <row r="30" spans="1:33" s="333" customFormat="1" ht="13.5" customHeight="1">
      <c r="A30" s="968" t="s">
        <v>804</v>
      </c>
      <c r="B30" s="991" t="s">
        <v>2497</v>
      </c>
      <c r="C30" s="334">
        <f ca="1">ROUND((C21+C22+C23)*F28,0)</f>
        <v>4192</v>
      </c>
      <c r="D30" s="326"/>
      <c r="E30" s="327"/>
      <c r="F30" s="332"/>
      <c r="G30" s="138"/>
      <c r="H30" s="976"/>
      <c r="I30" s="976"/>
      <c r="J30" s="976"/>
      <c r="K30" s="977"/>
    </row>
    <row r="31" spans="1:33" s="972" customFormat="1" ht="13.5" customHeight="1" thickBot="1">
      <c r="A31" s="2545" t="s">
        <v>2498</v>
      </c>
      <c r="B31" s="1002" t="s">
        <v>2499</v>
      </c>
      <c r="C31" s="1003">
        <f ca="1">ROUND(C4*F31/(1+'数据-取费表'!C42),0)</f>
        <v>2459</v>
      </c>
      <c r="D31" s="1004"/>
      <c r="E31" s="1005"/>
      <c r="F31" s="1006">
        <f>'数据-取费表'!B41</f>
        <v>5.6000000000000001E-2</v>
      </c>
      <c r="G31" s="1007" t="s">
        <v>2500</v>
      </c>
      <c r="H31" s="1008"/>
      <c r="I31" s="1008"/>
      <c r="J31" s="1008"/>
      <c r="K31" s="1009"/>
    </row>
    <row r="32" spans="1:33" s="967" customFormat="1" ht="13.5" customHeight="1" thickBot="1">
      <c r="A32" s="997" t="s">
        <v>2501</v>
      </c>
      <c r="B32" s="998"/>
      <c r="C32" s="999">
        <f ca="1">ROUND((C4-C21-C22-C23-C25-C28-C31)/(1+C24+D25+D28),0)</f>
        <v>13791</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2316</v>
      </c>
      <c r="B3" s="606" t="e">
        <f>IF(C2="——",C43,ROUND(B2*10000/D3,0))</f>
        <v>#DIV/0!</v>
      </c>
      <c r="C3" s="398" t="s">
        <v>2628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2933" t="s">
        <v>3047</v>
      </c>
      <c r="F7" s="411">
        <f>SUMIF(52:52,YEAR(E7)&amp;"-"&amp;MONTH(E7),53:53)</f>
        <v>0</v>
      </c>
      <c r="G7" s="410"/>
      <c r="H7" s="409">
        <f>SUMIF(52:52,YEAR(G7)&amp;"-"&amp;MONTH(G7),53:53)</f>
        <v>0</v>
      </c>
      <c r="I7" s="410"/>
      <c r="J7" s="409">
        <f>SUMIF(52:52,YEAR(I7)&amp;"-"&amp;MONTH(I7),53:53)</f>
        <v>0</v>
      </c>
      <c r="K7" s="608"/>
      <c r="L7" s="1129"/>
      <c r="M7" s="1130"/>
      <c r="N7" s="1130"/>
      <c r="O7" s="1130"/>
      <c r="P7" s="329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768"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8"/>
      <c r="L8" s="1129"/>
      <c r="M8" s="1130"/>
      <c r="N8" s="1130"/>
      <c r="O8" s="1130"/>
      <c r="P8" s="3298" t="s">
        <v>2536</v>
      </c>
      <c r="Q8" s="3299"/>
      <c r="R8" s="765" t="s">
        <v>17</v>
      </c>
      <c r="S8" s="766">
        <f t="shared" si="0"/>
        <v>100</v>
      </c>
      <c r="T8" s="765" t="s">
        <v>17</v>
      </c>
      <c r="U8" s="766">
        <f t="shared" si="1"/>
        <v>0</v>
      </c>
      <c r="V8" s="765" t="s">
        <v>17</v>
      </c>
      <c r="W8" s="766">
        <f t="shared" si="2"/>
        <v>0</v>
      </c>
      <c r="X8" s="767"/>
      <c r="Y8" s="3298" t="s">
        <v>2536</v>
      </c>
      <c r="Z8" s="3299"/>
      <c r="AA8" s="768">
        <f t="shared" ref="AA8:AA40" si="3">D8/F8</f>
        <v>1</v>
      </c>
      <c r="AB8" s="768" t="e">
        <f t="shared" ref="AB8:AB40" si="4">D8/H8</f>
        <v>#DIV/0!</v>
      </c>
      <c r="AC8" s="768" t="e">
        <f t="shared" ref="AC8:AC40" si="5">D8/J8</f>
        <v>#DIV/0!</v>
      </c>
    </row>
    <row r="9" spans="1:29" s="116" customFormat="1">
      <c r="A9" s="413" t="s">
        <v>2537</v>
      </c>
      <c r="B9" s="71" t="s">
        <v>2538</v>
      </c>
      <c r="C9" s="2934" t="s">
        <v>3049</v>
      </c>
      <c r="D9" s="133">
        <v>100</v>
      </c>
      <c r="E9" s="417"/>
      <c r="F9" s="133">
        <f>SUMIF(57:57,E9,58:58)-SUMIF(57:57,C9,58:58)+100</f>
        <v>0</v>
      </c>
      <c r="G9" s="415"/>
      <c r="H9" s="133">
        <f>SUMIF(57:57,G9,58:58)-SUMIF(57:57,C9,58:58)+100</f>
        <v>0</v>
      </c>
      <c r="I9" s="415"/>
      <c r="J9" s="133">
        <f>SUMIF(57:57,I9,58:58)-SUMIF(57:57,C9,58:58)+100</f>
        <v>0</v>
      </c>
      <c r="K9" s="608"/>
      <c r="L9" s="1129"/>
      <c r="M9" s="1130"/>
      <c r="N9" s="1130"/>
      <c r="O9" s="1131"/>
      <c r="P9" s="3269" t="s">
        <v>2539</v>
      </c>
      <c r="Q9" s="1789" t="str">
        <f t="shared" ref="Q9:Q15" si="6">B9</f>
        <v>用途</v>
      </c>
      <c r="R9" s="765" t="s">
        <v>17</v>
      </c>
      <c r="S9" s="766">
        <f t="shared" si="0"/>
        <v>0</v>
      </c>
      <c r="T9" s="765" t="s">
        <v>17</v>
      </c>
      <c r="U9" s="766">
        <f t="shared" si="1"/>
        <v>0</v>
      </c>
      <c r="V9" s="765" t="s">
        <v>17</v>
      </c>
      <c r="W9" s="766">
        <f t="shared" si="2"/>
        <v>0</v>
      </c>
      <c r="X9" s="767"/>
      <c r="Y9" s="3117" t="s">
        <v>2540</v>
      </c>
      <c r="Z9" s="55" t="str">
        <f t="shared" ref="Z9:Z15" si="7">Q9</f>
        <v>用途</v>
      </c>
      <c r="AA9" s="768" t="e">
        <f t="shared" si="3"/>
        <v>#DIV/0!</v>
      </c>
      <c r="AB9" s="768" t="e">
        <f t="shared" si="4"/>
        <v>#DIV/0!</v>
      </c>
      <c r="AC9" s="768" t="e">
        <f t="shared" si="5"/>
        <v>#DIV/0!</v>
      </c>
    </row>
    <row r="10" spans="1:29" s="424" customFormat="1" ht="27">
      <c r="A10" s="418"/>
      <c r="B10" s="419" t="s">
        <v>2541</v>
      </c>
      <c r="C10" s="420" t="s">
        <v>3051</v>
      </c>
      <c r="D10" s="134">
        <v>100</v>
      </c>
      <c r="E10" s="420"/>
      <c r="F10" s="134">
        <f>SUMIF(59:59,E10,60:60)-SUMIF(59:59,C10,60:60)+100</f>
        <v>100</v>
      </c>
      <c r="G10" s="421"/>
      <c r="H10" s="134">
        <f>SUMIF(59:59,G10,60:60)-SUMIF(59:59,C10,60:60)+100</f>
        <v>100</v>
      </c>
      <c r="I10" s="420"/>
      <c r="J10" s="134">
        <f>SUMIF(59:59,I10,60:60)-SUMIF(59:59,C10,60:60)+100</f>
        <v>100</v>
      </c>
      <c r="K10" s="609"/>
      <c r="L10" s="1132"/>
      <c r="M10" s="1133"/>
      <c r="N10" s="1133"/>
      <c r="O10" s="1134"/>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419" t="s">
        <v>2542</v>
      </c>
      <c r="C11" s="426">
        <f>'数据-汇总表'!I3</f>
        <v>1.26</v>
      </c>
      <c r="D11" s="134">
        <v>100</v>
      </c>
      <c r="E11" s="426"/>
      <c r="F11" s="134" t="e">
        <f>LOOKUP(E11,62:62,63:63)-LOOKUP(C11,62:62,63:63)+100</f>
        <v>#N/A</v>
      </c>
      <c r="G11" s="427"/>
      <c r="H11" s="134" t="e">
        <f>LOOKUP(G11,62:62,63:63)-LOOKUP(C11,62:62,63:63)+100</f>
        <v>#N/A</v>
      </c>
      <c r="I11" s="426"/>
      <c r="J11" s="134" t="e">
        <f>LOOKUP(I11,62:62,63:63)-LOOKUP(C11,62:62,63:63)+100</f>
        <v>#N/A</v>
      </c>
      <c r="K11" s="609"/>
      <c r="L11" s="1135"/>
      <c r="M11" s="1128"/>
      <c r="N11" s="1128"/>
      <c r="O11" s="1136"/>
      <c r="P11" s="3269"/>
      <c r="Q11" s="1789" t="str">
        <f t="shared" si="6"/>
        <v>容积率</v>
      </c>
      <c r="R11" s="765" t="s">
        <v>17</v>
      </c>
      <c r="S11" s="766" t="e">
        <f t="shared" si="0"/>
        <v>#N/A</v>
      </c>
      <c r="T11" s="765" t="s">
        <v>17</v>
      </c>
      <c r="U11" s="766" t="e">
        <f t="shared" si="1"/>
        <v>#N/A</v>
      </c>
      <c r="V11" s="765" t="s">
        <v>17</v>
      </c>
      <c r="W11" s="766" t="e">
        <f t="shared" si="2"/>
        <v>#N/A</v>
      </c>
      <c r="X11" s="767"/>
      <c r="Y11" s="3117"/>
      <c r="Z11" s="5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57" customHeight="1">
      <c r="A15" s="437" t="s">
        <v>2543</v>
      </c>
      <c r="B15" s="69" t="s">
        <v>2687</v>
      </c>
      <c r="C15" s="2678">
        <f>估价对象房地状况!G3</f>
        <v>0</v>
      </c>
      <c r="D15" s="438">
        <v>100</v>
      </c>
      <c r="E15" s="2935" t="s">
        <v>3059</v>
      </c>
      <c r="F15" s="440">
        <f>SUMIF(70:70,E16,71:71)-SUMIF(70:70,C16,71:71)+100</f>
        <v>100</v>
      </c>
      <c r="G15" s="441"/>
      <c r="H15" s="438">
        <f>SUMIF(70:70,G16,71:71)-SUMIF(70:70,C16,71:71)+100</f>
        <v>100</v>
      </c>
      <c r="I15" s="439"/>
      <c r="J15" s="438">
        <f>SUMIF(70:70,I16,71:71)-SUMIF(70:70,C16,71:71)+100</f>
        <v>100</v>
      </c>
      <c r="K15" s="611"/>
      <c r="L15" s="1137"/>
      <c r="M15" s="1128"/>
      <c r="N15" s="1128"/>
      <c r="O15" s="1136"/>
      <c r="P15" s="3271" t="s">
        <v>2544</v>
      </c>
      <c r="Q15" s="1804" t="str">
        <f t="shared" si="6"/>
        <v>产业集聚程度</v>
      </c>
      <c r="R15" s="769" t="s">
        <v>17</v>
      </c>
      <c r="S15" s="770">
        <f t="shared" si="0"/>
        <v>100</v>
      </c>
      <c r="T15" s="769" t="s">
        <v>17</v>
      </c>
      <c r="U15" s="770">
        <f t="shared" si="1"/>
        <v>100</v>
      </c>
      <c r="V15" s="769" t="s">
        <v>17</v>
      </c>
      <c r="W15" s="770">
        <f t="shared" si="2"/>
        <v>100</v>
      </c>
      <c r="X15" s="1807"/>
      <c r="Y15" s="3271" t="s">
        <v>2544</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7"/>
      <c r="M16" s="1128"/>
      <c r="N16" s="1128"/>
      <c r="O16" s="1136"/>
      <c r="P16" s="3272"/>
      <c r="Q16" s="1804"/>
      <c r="R16" s="769"/>
      <c r="S16" s="770"/>
      <c r="T16" s="769"/>
      <c r="U16" s="770"/>
      <c r="V16" s="769"/>
      <c r="W16" s="770"/>
      <c r="X16" s="1807"/>
      <c r="Y16" s="3272"/>
      <c r="Z16" s="1808"/>
      <c r="AA16" s="1805">
        <v>1</v>
      </c>
      <c r="AB16" s="1805">
        <v>1</v>
      </c>
      <c r="AC16" s="1805">
        <v>1</v>
      </c>
    </row>
    <row r="17" spans="1:29" ht="81">
      <c r="A17" s="425"/>
      <c r="B17" s="448" t="s">
        <v>2089</v>
      </c>
      <c r="C17" s="2592">
        <f>估价对象房地状况!G4</f>
        <v>0</v>
      </c>
      <c r="D17" s="447">
        <v>100</v>
      </c>
      <c r="E17" s="2937" t="s">
        <v>3060</v>
      </c>
      <c r="F17" s="450">
        <f>SUMIF(72:72,E18,73:73)-SUMIF(72:72,C18,73:73)+100</f>
        <v>100</v>
      </c>
      <c r="G17" s="451"/>
      <c r="H17" s="452">
        <f>SUMIF(72:72,G18,73:73)-SUMIF(72:72,C18,73:73)+100</f>
        <v>100</v>
      </c>
      <c r="I17" s="449"/>
      <c r="J17" s="452">
        <f>SUMIF(72:72,I18,73:73)-SUMIF(72:72,C18,73:73)+100</f>
        <v>100</v>
      </c>
      <c r="K17" s="611"/>
      <c r="L17" s="1137"/>
      <c r="M17" s="1128"/>
      <c r="N17" s="1128"/>
      <c r="O17" s="1136"/>
      <c r="P17" s="3272"/>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1805">
        <f t="shared" si="5"/>
        <v>1</v>
      </c>
    </row>
    <row r="18" spans="1:29" ht="15">
      <c r="A18" s="425"/>
      <c r="B18" s="453"/>
      <c r="C18" s="2593"/>
      <c r="D18" s="447"/>
      <c r="E18" s="2595"/>
      <c r="F18" s="450"/>
      <c r="G18" s="2594"/>
      <c r="H18" s="445"/>
      <c r="I18" s="2595"/>
      <c r="J18" s="445"/>
      <c r="K18" s="612"/>
      <c r="L18" s="1137"/>
      <c r="M18" s="1128"/>
      <c r="N18" s="1128"/>
      <c r="O18" s="1136"/>
      <c r="P18" s="3272"/>
      <c r="Q18" s="1804"/>
      <c r="R18" s="769"/>
      <c r="S18" s="770"/>
      <c r="T18" s="769"/>
      <c r="U18" s="770"/>
      <c r="V18" s="769"/>
      <c r="W18" s="770"/>
      <c r="X18" s="1807"/>
      <c r="Y18" s="3272"/>
      <c r="Z18" s="1808"/>
      <c r="AA18" s="1805">
        <v>1</v>
      </c>
      <c r="AB18" s="1805">
        <v>1</v>
      </c>
      <c r="AC18" s="1805">
        <v>1</v>
      </c>
    </row>
    <row r="19" spans="1:29" ht="40.5">
      <c r="A19" s="425"/>
      <c r="B19" s="448" t="s">
        <v>2672</v>
      </c>
      <c r="C19" s="2592">
        <f>估价对象房地状况!G5</f>
        <v>0</v>
      </c>
      <c r="D19" s="452">
        <v>100</v>
      </c>
      <c r="E19" s="2938" t="s">
        <v>3061</v>
      </c>
      <c r="F19" s="455">
        <f>SUMIF(74:74,E20,75:75)-SUMIF(74:74,C20,75:75)+100</f>
        <v>100</v>
      </c>
      <c r="G19" s="456"/>
      <c r="H19" s="447">
        <f>SUMIF(74:74,G20,75:75)-SUMIF(74:74,C20,75:75)+100</f>
        <v>100</v>
      </c>
      <c r="I19" s="454"/>
      <c r="J19" s="447">
        <f>SUMIF(74:74,I20,75:75)-SUMIF(74:74,C20,75:75)+100</f>
        <v>100</v>
      </c>
      <c r="K19" s="611"/>
      <c r="L19" s="1137"/>
      <c r="M19" s="1128"/>
      <c r="N19" s="1128"/>
      <c r="O19" s="1136"/>
      <c r="P19" s="3272"/>
      <c r="Q19" s="1804" t="str">
        <f>B19</f>
        <v>公共配套设施</v>
      </c>
      <c r="R19" s="769" t="s">
        <v>17</v>
      </c>
      <c r="S19" s="770">
        <f>F19</f>
        <v>100</v>
      </c>
      <c r="T19" s="769" t="s">
        <v>17</v>
      </c>
      <c r="U19" s="770">
        <f>H19</f>
        <v>100</v>
      </c>
      <c r="V19" s="769" t="s">
        <v>17</v>
      </c>
      <c r="W19" s="770">
        <f>J19</f>
        <v>100</v>
      </c>
      <c r="X19" s="1807"/>
      <c r="Y19" s="3272"/>
      <c r="Z19" s="1808" t="str">
        <f>Q19</f>
        <v>公共配套设施</v>
      </c>
      <c r="AA19" s="1805">
        <f t="shared" si="3"/>
        <v>1</v>
      </c>
      <c r="AB19" s="1805">
        <f t="shared" si="4"/>
        <v>1</v>
      </c>
      <c r="AC19" s="1805">
        <f t="shared" si="5"/>
        <v>1</v>
      </c>
    </row>
    <row r="20" spans="1:29" ht="15">
      <c r="A20" s="425"/>
      <c r="B20" s="453"/>
      <c r="C20" s="444"/>
      <c r="D20" s="445"/>
      <c r="E20" s="2590"/>
      <c r="F20" s="446"/>
      <c r="G20" s="2589"/>
      <c r="H20" s="445"/>
      <c r="I20" s="2590"/>
      <c r="J20" s="445"/>
      <c r="K20" s="612"/>
      <c r="L20" s="1137"/>
      <c r="M20" s="1128"/>
      <c r="N20" s="1128"/>
      <c r="O20" s="1136"/>
      <c r="P20" s="3272"/>
      <c r="Q20" s="1804"/>
      <c r="R20" s="769"/>
      <c r="S20" s="770"/>
      <c r="T20" s="769"/>
      <c r="U20" s="770"/>
      <c r="V20" s="769"/>
      <c r="W20" s="770"/>
      <c r="X20" s="1807"/>
      <c r="Y20" s="3272"/>
      <c r="Z20" s="1808"/>
      <c r="AA20" s="1805">
        <v>1</v>
      </c>
      <c r="AB20" s="1805">
        <v>1</v>
      </c>
      <c r="AC20" s="1805">
        <v>1</v>
      </c>
    </row>
    <row r="21" spans="1:29" ht="27">
      <c r="A21" s="425"/>
      <c r="B21" s="1379" t="s">
        <v>2673</v>
      </c>
      <c r="C21" s="2592">
        <f>估价对象房地状况!G6</f>
        <v>0</v>
      </c>
      <c r="D21" s="447">
        <v>100</v>
      </c>
      <c r="E21" s="2938" t="s">
        <v>3062</v>
      </c>
      <c r="F21" s="455">
        <f>SUMIF(76:76,E22,77:77)-SUMIF(76:76,C22,77:77)+100</f>
        <v>100</v>
      </c>
      <c r="G21" s="456"/>
      <c r="H21" s="447">
        <f>SUMIF(76:76,G22,77:77)-SUMIF(76:76,C22,77:77)+100</f>
        <v>100</v>
      </c>
      <c r="I21" s="454"/>
      <c r="J21" s="447">
        <f>SUMIF(76:76,I22,77:77)-SUMIF(76:76,C22,77:77)+100</f>
        <v>100</v>
      </c>
      <c r="K21" s="611"/>
      <c r="L21" s="1137"/>
      <c r="M21" s="1128"/>
      <c r="N21" s="1128"/>
      <c r="O21" s="1136"/>
      <c r="P21" s="3272"/>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c r="D22" s="445"/>
      <c r="E22" s="444"/>
      <c r="F22" s="446"/>
      <c r="G22" s="444"/>
      <c r="H22" s="445"/>
      <c r="I22" s="444"/>
      <c r="J22" s="445"/>
      <c r="K22" s="1378"/>
      <c r="L22" s="1137"/>
      <c r="M22" s="1128"/>
      <c r="N22" s="1128"/>
      <c r="O22" s="1136"/>
      <c r="P22" s="3272"/>
      <c r="Q22" s="1804"/>
      <c r="R22" s="769"/>
      <c r="S22" s="770"/>
      <c r="T22" s="769"/>
      <c r="U22" s="770"/>
      <c r="V22" s="769"/>
      <c r="W22" s="770"/>
      <c r="X22" s="1807"/>
      <c r="Y22" s="3272"/>
      <c r="Z22" s="1808"/>
      <c r="AA22" s="1805">
        <v>1</v>
      </c>
      <c r="AB22" s="1805">
        <v>1</v>
      </c>
      <c r="AC22" s="1805">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72"/>
      <c r="Q23" s="1804" t="str">
        <f>B23</f>
        <v>环境质量</v>
      </c>
      <c r="R23" s="769" t="s">
        <v>17</v>
      </c>
      <c r="S23" s="770">
        <f>F23</f>
        <v>100</v>
      </c>
      <c r="T23" s="769" t="s">
        <v>17</v>
      </c>
      <c r="U23" s="770">
        <f>H23</f>
        <v>100</v>
      </c>
      <c r="V23" s="769" t="s">
        <v>17</v>
      </c>
      <c r="W23" s="770">
        <f>J23</f>
        <v>100</v>
      </c>
      <c r="X23" s="1807"/>
      <c r="Y23" s="3272"/>
      <c r="Z23" s="1808" t="str">
        <f>Q23</f>
        <v>环境质量</v>
      </c>
      <c r="AA23" s="1805">
        <f t="shared" si="3"/>
        <v>1</v>
      </c>
      <c r="AB23" s="1805">
        <f t="shared" si="4"/>
        <v>1</v>
      </c>
      <c r="AC23" s="1805">
        <f t="shared" si="5"/>
        <v>1</v>
      </c>
    </row>
    <row r="24" spans="1:29" ht="15">
      <c r="A24" s="425"/>
      <c r="B24" s="1379"/>
      <c r="C24" s="444"/>
      <c r="D24" s="445"/>
      <c r="E24" s="2590"/>
      <c r="F24" s="446"/>
      <c r="G24" s="2589"/>
      <c r="H24" s="445"/>
      <c r="I24" s="2590"/>
      <c r="J24" s="445"/>
      <c r="K24" s="612"/>
      <c r="L24" s="1137"/>
      <c r="M24" s="1128"/>
      <c r="N24" s="1128"/>
      <c r="O24" s="1136"/>
      <c r="P24" s="3272"/>
      <c r="Q24" s="1804"/>
      <c r="R24" s="769"/>
      <c r="S24" s="770"/>
      <c r="T24" s="769"/>
      <c r="U24" s="770"/>
      <c r="V24" s="769"/>
      <c r="W24" s="770"/>
      <c r="X24" s="1807"/>
      <c r="Y24" s="3272"/>
      <c r="Z24" s="1808"/>
      <c r="AA24" s="1805">
        <v>1</v>
      </c>
      <c r="AB24" s="1805">
        <v>1</v>
      </c>
      <c r="AC24" s="1805">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72"/>
      <c r="Q25" s="1804">
        <f>B25</f>
        <v>111</v>
      </c>
      <c r="R25" s="769" t="s">
        <v>17</v>
      </c>
      <c r="S25" s="770">
        <f>F25</f>
        <v>100</v>
      </c>
      <c r="T25" s="769" t="s">
        <v>17</v>
      </c>
      <c r="U25" s="770">
        <f>H25</f>
        <v>100</v>
      </c>
      <c r="V25" s="769" t="s">
        <v>17</v>
      </c>
      <c r="W25" s="770">
        <f>J25</f>
        <v>100</v>
      </c>
      <c r="X25" s="1807"/>
      <c r="Y25" s="3272"/>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72"/>
      <c r="Q26" s="1804">
        <f t="shared" ref="Q26:Q40" si="11">B26</f>
        <v>111</v>
      </c>
      <c r="R26" s="769" t="s">
        <v>17</v>
      </c>
      <c r="S26" s="770">
        <f>F26</f>
        <v>100</v>
      </c>
      <c r="T26" s="769" t="s">
        <v>17</v>
      </c>
      <c r="U26" s="770">
        <f>H26</f>
        <v>100</v>
      </c>
      <c r="V26" s="769" t="s">
        <v>17</v>
      </c>
      <c r="W26" s="770">
        <f>J26</f>
        <v>100</v>
      </c>
      <c r="X26" s="1807"/>
      <c r="Y26" s="3272"/>
      <c r="Z26" s="1808">
        <f>Q26</f>
        <v>111</v>
      </c>
      <c r="AA26" s="1805">
        <f t="shared" si="3"/>
        <v>1</v>
      </c>
      <c r="AB26" s="1805">
        <f t="shared" si="4"/>
        <v>1</v>
      </c>
      <c r="AC26" s="1805">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72"/>
      <c r="Q27" s="1789">
        <f t="shared" si="11"/>
        <v>111</v>
      </c>
      <c r="R27" s="765" t="s">
        <v>17</v>
      </c>
      <c r="S27" s="766">
        <f>F27</f>
        <v>100</v>
      </c>
      <c r="T27" s="765" t="s">
        <v>17</v>
      </c>
      <c r="U27" s="766">
        <f>H27</f>
        <v>100</v>
      </c>
      <c r="V27" s="765" t="s">
        <v>17</v>
      </c>
      <c r="W27" s="766">
        <f>J27</f>
        <v>100</v>
      </c>
      <c r="X27" s="767"/>
      <c r="Y27" s="3272"/>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72"/>
      <c r="Q28" s="1804">
        <f t="shared" si="11"/>
        <v>111</v>
      </c>
      <c r="R28" s="769" t="s">
        <v>17</v>
      </c>
      <c r="S28" s="770">
        <f t="shared" ref="S28:S40" si="12">F28</f>
        <v>100</v>
      </c>
      <c r="T28" s="769" t="s">
        <v>17</v>
      </c>
      <c r="U28" s="770">
        <f t="shared" ref="U28:U40" si="13">H28</f>
        <v>100</v>
      </c>
      <c r="V28" s="769" t="s">
        <v>17</v>
      </c>
      <c r="W28" s="770">
        <f t="shared" ref="W28:W40" si="14">J28</f>
        <v>100</v>
      </c>
      <c r="X28" s="1807"/>
      <c r="Y28" s="3272"/>
      <c r="Z28" s="1808">
        <f t="shared" ref="Z28:Z40" si="15">Q28</f>
        <v>111</v>
      </c>
      <c r="AA28" s="1805">
        <f t="shared" si="3"/>
        <v>1</v>
      </c>
      <c r="AB28" s="1805">
        <f t="shared" si="4"/>
        <v>1</v>
      </c>
      <c r="AC28" s="1805">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c r="L29" s="1137"/>
      <c r="M29" s="1128"/>
      <c r="N29" s="1128"/>
      <c r="O29" s="1136"/>
      <c r="P29" s="3273" t="s">
        <v>2549</v>
      </c>
      <c r="Q29" s="1804" t="str">
        <f t="shared" si="11"/>
        <v>建筑类型</v>
      </c>
      <c r="R29" s="769" t="s">
        <v>17</v>
      </c>
      <c r="S29" s="770">
        <f t="shared" si="12"/>
        <v>100</v>
      </c>
      <c r="T29" s="769" t="s">
        <v>17</v>
      </c>
      <c r="U29" s="770">
        <f t="shared" si="13"/>
        <v>100</v>
      </c>
      <c r="V29" s="769" t="s">
        <v>17</v>
      </c>
      <c r="W29" s="770">
        <f t="shared" si="14"/>
        <v>100</v>
      </c>
      <c r="X29" s="1807"/>
      <c r="Y29" s="3274" t="s">
        <v>2549</v>
      </c>
      <c r="Z29" s="1808" t="str">
        <f t="shared" si="15"/>
        <v>建筑类型</v>
      </c>
      <c r="AA29" s="1805">
        <f t="shared" si="3"/>
        <v>1</v>
      </c>
      <c r="AB29" s="1805">
        <f t="shared" si="4"/>
        <v>1</v>
      </c>
      <c r="AC29" s="1805">
        <f t="shared" si="5"/>
        <v>1</v>
      </c>
    </row>
    <row r="30" spans="1:29" s="468" customFormat="1" ht="15">
      <c r="A30" s="465"/>
      <c r="B30" s="419" t="s">
        <v>2550</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35"/>
      <c r="M30" s="1138"/>
      <c r="N30" s="1138"/>
      <c r="O30" s="1139"/>
      <c r="P30" s="3274"/>
      <c r="Q30" s="771" t="str">
        <f t="shared" si="11"/>
        <v>项目建筑规模</v>
      </c>
      <c r="R30" s="772" t="s">
        <v>17</v>
      </c>
      <c r="S30" s="773" t="e">
        <f t="shared" si="12"/>
        <v>#N/A</v>
      </c>
      <c r="T30" s="772" t="s">
        <v>17</v>
      </c>
      <c r="U30" s="773" t="e">
        <f t="shared" si="13"/>
        <v>#N/A</v>
      </c>
      <c r="V30" s="772" t="s">
        <v>17</v>
      </c>
      <c r="W30" s="773" t="e">
        <f t="shared" si="14"/>
        <v>#N/A</v>
      </c>
      <c r="X30" s="774"/>
      <c r="Y30" s="3274"/>
      <c r="Z30" s="775" t="str">
        <f t="shared" si="15"/>
        <v>项目建筑规模</v>
      </c>
      <c r="AA30" s="1805" t="e">
        <f t="shared" si="3"/>
        <v>#N/A</v>
      </c>
      <c r="AB30" s="1805" t="e">
        <f t="shared" si="4"/>
        <v>#N/A</v>
      </c>
      <c r="AC30" s="1805"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74"/>
      <c r="Q31" s="1804" t="str">
        <f t="shared" si="11"/>
        <v>建筑结构</v>
      </c>
      <c r="R31" s="769" t="s">
        <v>17</v>
      </c>
      <c r="S31" s="770">
        <f t="shared" si="12"/>
        <v>100</v>
      </c>
      <c r="T31" s="769" t="s">
        <v>17</v>
      </c>
      <c r="U31" s="770">
        <f t="shared" si="13"/>
        <v>100</v>
      </c>
      <c r="V31" s="769" t="s">
        <v>17</v>
      </c>
      <c r="W31" s="770">
        <f t="shared" si="14"/>
        <v>100</v>
      </c>
      <c r="X31" s="1807"/>
      <c r="Y31" s="3274"/>
      <c r="Z31" s="1808" t="str">
        <f t="shared" si="15"/>
        <v>建筑结构</v>
      </c>
      <c r="AA31" s="1805">
        <f t="shared" si="3"/>
        <v>1</v>
      </c>
      <c r="AB31" s="1805">
        <f t="shared" si="4"/>
        <v>1</v>
      </c>
      <c r="AC31" s="1805">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74"/>
      <c r="Q32" s="1804" t="str">
        <f t="shared" si="11"/>
        <v>公共部分装修</v>
      </c>
      <c r="R32" s="769" t="s">
        <v>17</v>
      </c>
      <c r="S32" s="770">
        <f t="shared" si="12"/>
        <v>100</v>
      </c>
      <c r="T32" s="769" t="s">
        <v>17</v>
      </c>
      <c r="U32" s="770">
        <f t="shared" si="13"/>
        <v>100</v>
      </c>
      <c r="V32" s="769" t="s">
        <v>17</v>
      </c>
      <c r="W32" s="770">
        <f t="shared" si="14"/>
        <v>100</v>
      </c>
      <c r="X32" s="1807"/>
      <c r="Y32" s="3274"/>
      <c r="Z32" s="1808" t="str">
        <f t="shared" si="15"/>
        <v>公共部分装修</v>
      </c>
      <c r="AA32" s="1805">
        <f t="shared" si="3"/>
        <v>1</v>
      </c>
      <c r="AB32" s="1805">
        <f t="shared" si="4"/>
        <v>1</v>
      </c>
      <c r="AC32" s="1805">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74"/>
      <c r="Q33" s="1804" t="str">
        <f t="shared" si="11"/>
        <v>成新度</v>
      </c>
      <c r="R33" s="769" t="s">
        <v>17</v>
      </c>
      <c r="S33" s="770" t="e">
        <f t="shared" si="12"/>
        <v>#N/A</v>
      </c>
      <c r="T33" s="769" t="s">
        <v>17</v>
      </c>
      <c r="U33" s="770" t="e">
        <f t="shared" si="13"/>
        <v>#N/A</v>
      </c>
      <c r="V33" s="769" t="s">
        <v>17</v>
      </c>
      <c r="W33" s="770" t="e">
        <f t="shared" si="14"/>
        <v>#N/A</v>
      </c>
      <c r="X33" s="1807"/>
      <c r="Y33" s="3274"/>
      <c r="Z33" s="1808" t="str">
        <f t="shared" si="15"/>
        <v>成新度</v>
      </c>
      <c r="AA33" s="1805" t="e">
        <f t="shared" si="3"/>
        <v>#N/A</v>
      </c>
      <c r="AB33" s="1805" t="e">
        <f t="shared" si="4"/>
        <v>#N/A</v>
      </c>
      <c r="AC33" s="1805" t="e">
        <f t="shared" si="5"/>
        <v>#N/A</v>
      </c>
    </row>
    <row r="34" spans="1:29" s="116" customFormat="1" ht="15">
      <c r="A34" s="470"/>
      <c r="B34" s="419"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74"/>
      <c r="Q34" s="1789" t="str">
        <f t="shared" si="11"/>
        <v>物业管理</v>
      </c>
      <c r="R34" s="765" t="s">
        <v>17</v>
      </c>
      <c r="S34" s="766">
        <f t="shared" si="12"/>
        <v>100</v>
      </c>
      <c r="T34" s="765" t="s">
        <v>17</v>
      </c>
      <c r="U34" s="766">
        <f t="shared" si="13"/>
        <v>100</v>
      </c>
      <c r="V34" s="765" t="s">
        <v>17</v>
      </c>
      <c r="W34" s="766">
        <f t="shared" si="14"/>
        <v>100</v>
      </c>
      <c r="X34" s="767"/>
      <c r="Y34" s="3274"/>
      <c r="Z34" s="55" t="str">
        <f t="shared" si="15"/>
        <v>物业管理</v>
      </c>
      <c r="AA34" s="768">
        <f t="shared" si="3"/>
        <v>1</v>
      </c>
      <c r="AB34" s="768">
        <f t="shared" si="4"/>
        <v>1</v>
      </c>
      <c r="AC34" s="768">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74" t="s">
        <v>2549</v>
      </c>
      <c r="Q35" s="1804" t="str">
        <f t="shared" si="11"/>
        <v>市政基础设施</v>
      </c>
      <c r="R35" s="769" t="s">
        <v>17</v>
      </c>
      <c r="S35" s="770">
        <f t="shared" si="12"/>
        <v>100</v>
      </c>
      <c r="T35" s="769" t="s">
        <v>17</v>
      </c>
      <c r="U35" s="770">
        <f t="shared" si="13"/>
        <v>100</v>
      </c>
      <c r="V35" s="769" t="s">
        <v>17</v>
      </c>
      <c r="W35" s="770">
        <f t="shared" si="14"/>
        <v>100</v>
      </c>
      <c r="X35" s="1807"/>
      <c r="Y35" s="3274" t="s">
        <v>2549</v>
      </c>
      <c r="Z35" s="1808" t="str">
        <f t="shared" si="15"/>
        <v>市政基础设施</v>
      </c>
      <c r="AA35" s="1805">
        <f t="shared" si="3"/>
        <v>1</v>
      </c>
      <c r="AB35" s="1805">
        <f t="shared" si="4"/>
        <v>1</v>
      </c>
      <c r="AC35" s="1805">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74"/>
      <c r="Q36" s="1804" t="str">
        <f t="shared" si="11"/>
        <v>内部装修</v>
      </c>
      <c r="R36" s="769" t="s">
        <v>17</v>
      </c>
      <c r="S36" s="770">
        <f t="shared" si="12"/>
        <v>100</v>
      </c>
      <c r="T36" s="769" t="s">
        <v>17</v>
      </c>
      <c r="U36" s="770">
        <f t="shared" si="13"/>
        <v>100</v>
      </c>
      <c r="V36" s="769" t="s">
        <v>17</v>
      </c>
      <c r="W36" s="770">
        <f t="shared" si="14"/>
        <v>100</v>
      </c>
      <c r="X36" s="1807"/>
      <c r="Y36" s="3274"/>
      <c r="Z36" s="1808" t="str">
        <f t="shared" si="15"/>
        <v>内部装修</v>
      </c>
      <c r="AA36" s="1805">
        <f t="shared" si="3"/>
        <v>1</v>
      </c>
      <c r="AB36" s="1805">
        <f t="shared" si="4"/>
        <v>1</v>
      </c>
      <c r="AC36" s="1805">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74"/>
      <c r="Q37" s="1804" t="str">
        <f t="shared" si="11"/>
        <v>内部装修状况</v>
      </c>
      <c r="R37" s="769" t="s">
        <v>17</v>
      </c>
      <c r="S37" s="770">
        <f t="shared" si="12"/>
        <v>100</v>
      </c>
      <c r="T37" s="769" t="s">
        <v>17</v>
      </c>
      <c r="U37" s="770">
        <f t="shared" si="13"/>
        <v>100</v>
      </c>
      <c r="V37" s="769" t="s">
        <v>17</v>
      </c>
      <c r="W37" s="770">
        <f t="shared" si="14"/>
        <v>100</v>
      </c>
      <c r="X37" s="1807"/>
      <c r="Y37" s="3274"/>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74"/>
      <c r="Q38" s="771">
        <f t="shared" si="11"/>
        <v>111</v>
      </c>
      <c r="R38" s="772" t="s">
        <v>17</v>
      </c>
      <c r="S38" s="773">
        <f t="shared" si="12"/>
        <v>100</v>
      </c>
      <c r="T38" s="772" t="s">
        <v>17</v>
      </c>
      <c r="U38" s="773">
        <f t="shared" si="13"/>
        <v>100</v>
      </c>
      <c r="V38" s="772" t="s">
        <v>17</v>
      </c>
      <c r="W38" s="773">
        <f t="shared" si="14"/>
        <v>100</v>
      </c>
      <c r="X38" s="774"/>
      <c r="Y38" s="3274"/>
      <c r="Z38" s="775">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74"/>
      <c r="Q39" s="1804">
        <f t="shared" si="11"/>
        <v>111</v>
      </c>
      <c r="R39" s="769" t="s">
        <v>17</v>
      </c>
      <c r="S39" s="770">
        <f t="shared" si="12"/>
        <v>100</v>
      </c>
      <c r="T39" s="769" t="s">
        <v>17</v>
      </c>
      <c r="U39" s="770">
        <f t="shared" si="13"/>
        <v>100</v>
      </c>
      <c r="V39" s="769" t="s">
        <v>17</v>
      </c>
      <c r="W39" s="770">
        <f t="shared" si="14"/>
        <v>100</v>
      </c>
      <c r="X39" s="1807"/>
      <c r="Y39" s="3274"/>
      <c r="Z39" s="1808">
        <f t="shared" si="15"/>
        <v>111</v>
      </c>
      <c r="AA39" s="1805">
        <f t="shared" si="3"/>
        <v>1</v>
      </c>
      <c r="AB39" s="1805">
        <f t="shared" si="4"/>
        <v>1</v>
      </c>
      <c r="AC39" s="1805">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7"/>
      <c r="Q40" s="1804">
        <f t="shared" si="11"/>
        <v>111</v>
      </c>
      <c r="R40" s="769" t="s">
        <v>17</v>
      </c>
      <c r="S40" s="770">
        <f t="shared" si="12"/>
        <v>100</v>
      </c>
      <c r="T40" s="769" t="s">
        <v>17</v>
      </c>
      <c r="U40" s="770">
        <f t="shared" si="13"/>
        <v>100</v>
      </c>
      <c r="V40" s="769" t="s">
        <v>17</v>
      </c>
      <c r="W40" s="770">
        <f t="shared" si="14"/>
        <v>100</v>
      </c>
      <c r="X40" s="1807"/>
      <c r="Y40" s="3307"/>
      <c r="Z40" s="1808">
        <f t="shared" si="15"/>
        <v>111</v>
      </c>
      <c r="AA40" s="1805">
        <f t="shared" si="3"/>
        <v>1</v>
      </c>
      <c r="AB40" s="1805">
        <f t="shared" si="4"/>
        <v>1</v>
      </c>
      <c r="AC40" s="1805">
        <f t="shared" si="5"/>
        <v>1</v>
      </c>
    </row>
    <row r="41" spans="1:29" ht="15">
      <c r="A41" s="476" t="s">
        <v>2561</v>
      </c>
      <c r="B41" s="477"/>
      <c r="C41" s="1402" t="s">
        <v>1</v>
      </c>
      <c r="D41" s="1403"/>
      <c r="E41" s="1404">
        <v>40000</v>
      </c>
      <c r="F41" s="1405"/>
      <c r="G41" s="1406">
        <v>35000</v>
      </c>
      <c r="H41" s="1407"/>
      <c r="I41" s="1404">
        <v>38000</v>
      </c>
      <c r="J41" s="1407"/>
      <c r="K41" s="778"/>
      <c r="L41" s="1140"/>
      <c r="M41" s="1141"/>
      <c r="N41" s="1128"/>
      <c r="O41" s="1141"/>
      <c r="P41" s="3269" t="str">
        <f>A41</f>
        <v>成交单价（元/平方米）</v>
      </c>
      <c r="Q41" s="3269"/>
      <c r="R41" s="3305">
        <f>E41</f>
        <v>40000</v>
      </c>
      <c r="S41" s="3305"/>
      <c r="T41" s="3305">
        <f>G41</f>
        <v>35000</v>
      </c>
      <c r="U41" s="3305"/>
      <c r="V41" s="3305">
        <f>I41</f>
        <v>38000</v>
      </c>
      <c r="W41" s="3305"/>
      <c r="X41" s="754"/>
      <c r="Y41" s="776"/>
      <c r="Z41" s="754"/>
      <c r="AA41" s="754"/>
      <c r="AB41" s="754"/>
      <c r="AC41" s="754"/>
    </row>
    <row r="42" spans="1:29" ht="15.75" thickBot="1">
      <c r="A42" s="483" t="s">
        <v>2653</v>
      </c>
      <c r="B42" s="484"/>
      <c r="C42" s="1408" t="e">
        <f>R43</f>
        <v>#DIV/0!</v>
      </c>
      <c r="D42" s="1409"/>
      <c r="E42" s="1410" t="e">
        <f>R42</f>
        <v>#DIV/0!</v>
      </c>
      <c r="F42" s="1410"/>
      <c r="G42" s="1408" t="e">
        <f>T42</f>
        <v>#DIV/0!</v>
      </c>
      <c r="H42" s="1409"/>
      <c r="I42" s="1410" t="e">
        <f>V42</f>
        <v>#DIV/0!</v>
      </c>
      <c r="J42" s="1409"/>
      <c r="K42" s="779"/>
      <c r="L42" s="1140"/>
      <c r="M42" s="1141"/>
      <c r="N42" s="1128"/>
      <c r="O42" s="1141"/>
      <c r="P42" s="3269" t="str">
        <f>A42</f>
        <v>比较价值（元/平方米）</v>
      </c>
      <c r="Q42" s="3269"/>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754"/>
      <c r="Y42" s="754"/>
      <c r="Z42" s="754"/>
      <c r="AA42" s="754"/>
      <c r="AB42" s="754"/>
      <c r="AC42" s="754"/>
    </row>
    <row r="43" spans="1:29" ht="15.75" thickBot="1">
      <c r="A43" s="489" t="s">
        <v>2654</v>
      </c>
      <c r="B43" s="490"/>
      <c r="C43" s="1412" t="e">
        <f>R43</f>
        <v>#DIV/0!</v>
      </c>
      <c r="D43" s="1412"/>
      <c r="E43" s="1412"/>
      <c r="F43" s="1412"/>
      <c r="G43" s="1412"/>
      <c r="H43" s="1412"/>
      <c r="I43" s="1412"/>
      <c r="J43" s="1412"/>
      <c r="K43" s="780"/>
      <c r="L43" s="1140"/>
      <c r="M43" s="1141"/>
      <c r="N43" s="1141"/>
      <c r="O43" s="1141"/>
      <c r="P43" s="3263" t="str">
        <f>A43</f>
        <v>估价对象XX用房的比较价值（楼面单价，元/平方米）</v>
      </c>
      <c r="Q43" s="3264"/>
      <c r="R43" s="3306" t="e">
        <f>IF(F1="售价",ROUND(AVERAGE(R42:V42),0),ROUND(AVERAGE(R42:V42),1))</f>
        <v>#DIV/0!</v>
      </c>
      <c r="S43" s="3306"/>
      <c r="T43" s="3306"/>
      <c r="U43" s="3306"/>
      <c r="V43" s="3306"/>
      <c r="W43" s="3306"/>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f>IF(E41&lt;G41,G41/E41-1,E41/G41-1)</f>
        <v>0.14285714285714279</v>
      </c>
      <c r="F48" s="497" t="str">
        <f>IF(OR(E48&gt;=0.3,E48&lt;=-0.3),"超过30%","")</f>
        <v/>
      </c>
      <c r="G48" s="496">
        <f>IF(G41&lt;I41,I41/G41-1,G41/I41-1)</f>
        <v>8.5714285714285632E-2</v>
      </c>
      <c r="H48" s="497" t="str">
        <f>IF(OR(G48&gt;=0.3,G48&lt;=-0.3),"超过30%","")</f>
        <v/>
      </c>
      <c r="I48" s="496">
        <f>IF(I41&lt;E41,E41/I41-1,I41/E41-1)</f>
        <v>5.2631578947368363E-2</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2658</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2636</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2600</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2601</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2602</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2604</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1395</v>
      </c>
      <c r="B3" s="606" t="e">
        <f>IF(C2="——",C43,ROUND(B2*10000/D3,0))</f>
        <v>#DIV/0!</v>
      </c>
      <c r="C3" s="398" t="s">
        <v>2518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2519</v>
      </c>
      <c r="B4" s="400"/>
      <c r="C4" s="3266" t="s">
        <v>2520</v>
      </c>
      <c r="D4" s="3279"/>
      <c r="E4" s="3280" t="s">
        <v>2521</v>
      </c>
      <c r="F4" s="3281"/>
      <c r="G4" s="3266" t="s">
        <v>2522</v>
      </c>
      <c r="H4" s="3279"/>
      <c r="I4" s="3266" t="s">
        <v>2523</v>
      </c>
      <c r="J4" s="3279"/>
      <c r="K4" s="607" t="s">
        <v>2524</v>
      </c>
      <c r="L4" s="1127"/>
      <c r="M4" s="1128"/>
      <c r="N4" s="1128"/>
      <c r="O4" s="1128"/>
      <c r="P4" s="3282" t="s">
        <v>2525</v>
      </c>
      <c r="Q4" s="3283"/>
      <c r="R4" s="3288" t="s">
        <v>2521</v>
      </c>
      <c r="S4" s="3289"/>
      <c r="T4" s="3288" t="s">
        <v>2522</v>
      </c>
      <c r="U4" s="3289"/>
      <c r="V4" s="3275" t="s">
        <v>2523</v>
      </c>
      <c r="W4" s="3275"/>
      <c r="X4" s="2930"/>
      <c r="Y4" s="3288" t="s">
        <v>2525</v>
      </c>
      <c r="Z4" s="3289"/>
      <c r="AA4" s="3276" t="s">
        <v>2521</v>
      </c>
      <c r="AB4" s="3277" t="s">
        <v>2522</v>
      </c>
      <c r="AC4" s="3276" t="s">
        <v>2523</v>
      </c>
    </row>
    <row r="5" spans="1:29" ht="15">
      <c r="A5" s="402"/>
      <c r="B5" s="403"/>
      <c r="C5" s="3296" t="s">
        <v>2526</v>
      </c>
      <c r="D5" s="3297"/>
      <c r="E5" s="3308" t="s">
        <v>3054</v>
      </c>
      <c r="F5" s="3304"/>
      <c r="G5" s="3309" t="s">
        <v>3056</v>
      </c>
      <c r="H5" s="3297"/>
      <c r="I5" s="3309" t="s">
        <v>3058</v>
      </c>
      <c r="J5" s="3297"/>
      <c r="K5" s="607"/>
      <c r="L5" s="1127"/>
      <c r="M5" s="1128"/>
      <c r="N5" s="1128"/>
      <c r="O5" s="1128"/>
      <c r="P5" s="3284"/>
      <c r="Q5" s="3285"/>
      <c r="R5" s="3290"/>
      <c r="S5" s="3291"/>
      <c r="T5" s="3290"/>
      <c r="U5" s="3291"/>
      <c r="V5" s="3275"/>
      <c r="W5" s="3275"/>
      <c r="X5" s="2930"/>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2930"/>
      <c r="Y6" s="3292"/>
      <c r="Z6" s="3293"/>
      <c r="AA6" s="3278"/>
      <c r="AB6" s="3278"/>
      <c r="AC6" s="3278"/>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8"/>
      <c r="L7" s="1129"/>
      <c r="M7" s="1130"/>
      <c r="N7" s="1130"/>
      <c r="O7" s="1130"/>
      <c r="P7" s="329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768">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8"/>
      <c r="L8" s="1129"/>
      <c r="M8" s="1130"/>
      <c r="N8" s="1130"/>
      <c r="O8" s="1130"/>
      <c r="P8" s="3298" t="s">
        <v>2536</v>
      </c>
      <c r="Q8" s="3299"/>
      <c r="R8" s="765" t="s">
        <v>17</v>
      </c>
      <c r="S8" s="766">
        <f t="shared" si="0"/>
        <v>100</v>
      </c>
      <c r="T8" s="765" t="s">
        <v>17</v>
      </c>
      <c r="U8" s="766">
        <f t="shared" si="1"/>
        <v>100</v>
      </c>
      <c r="V8" s="765" t="s">
        <v>17</v>
      </c>
      <c r="W8" s="766">
        <f t="shared" si="2"/>
        <v>0</v>
      </c>
      <c r="X8" s="767"/>
      <c r="Y8" s="3298" t="s">
        <v>2536</v>
      </c>
      <c r="Z8" s="3299"/>
      <c r="AA8" s="768">
        <f t="shared" ref="AA8:AA40" si="3">D8/F8</f>
        <v>1</v>
      </c>
      <c r="AB8" s="768">
        <f t="shared" ref="AB8:AB40" si="4">D8/H8</f>
        <v>1</v>
      </c>
      <c r="AC8" s="768" t="e">
        <f t="shared" ref="AC8:AC40" si="5">D8/J8</f>
        <v>#DIV/0!</v>
      </c>
    </row>
    <row r="9" spans="1:29" s="116" customFormat="1">
      <c r="A9" s="413" t="s">
        <v>2537</v>
      </c>
      <c r="B9" s="71" t="s">
        <v>2538</v>
      </c>
      <c r="C9" s="2934" t="s">
        <v>3057</v>
      </c>
      <c r="D9" s="133">
        <v>100</v>
      </c>
      <c r="E9" s="417">
        <v>0</v>
      </c>
      <c r="F9" s="133">
        <f>SUMIF(57:57,E9,58:58)-SUMIF(57:57,C9,58:58)+100</f>
        <v>0</v>
      </c>
      <c r="G9" s="415">
        <v>0</v>
      </c>
      <c r="H9" s="133">
        <f>SUMIF(57:57,G9,58:58)-SUMIF(57:57,C9,58:58)+100</f>
        <v>0</v>
      </c>
      <c r="I9" s="415"/>
      <c r="J9" s="133">
        <f>SUMIF(57:57,I9,58:58)-SUMIF(57:57,C9,58:58)+100</f>
        <v>0</v>
      </c>
      <c r="K9" s="608"/>
      <c r="L9" s="1129"/>
      <c r="M9" s="1130"/>
      <c r="N9" s="1130"/>
      <c r="O9" s="1131"/>
      <c r="P9" s="3269" t="s">
        <v>2539</v>
      </c>
      <c r="Q9" s="2924" t="str">
        <f t="shared" ref="Q9:Q15" si="6">B9</f>
        <v>用途</v>
      </c>
      <c r="R9" s="765" t="s">
        <v>17</v>
      </c>
      <c r="S9" s="766">
        <f t="shared" si="0"/>
        <v>0</v>
      </c>
      <c r="T9" s="765" t="s">
        <v>17</v>
      </c>
      <c r="U9" s="766">
        <f t="shared" si="1"/>
        <v>0</v>
      </c>
      <c r="V9" s="765" t="s">
        <v>17</v>
      </c>
      <c r="W9" s="766">
        <f t="shared" si="2"/>
        <v>0</v>
      </c>
      <c r="X9" s="767"/>
      <c r="Y9" s="3117" t="s">
        <v>2540</v>
      </c>
      <c r="Z9" s="2925" t="str">
        <f t="shared" ref="Z9:Z15" si="7">Q9</f>
        <v>用途</v>
      </c>
      <c r="AA9" s="768" t="e">
        <f t="shared" si="3"/>
        <v>#DIV/0!</v>
      </c>
      <c r="AB9" s="768" t="e">
        <f t="shared" si="4"/>
        <v>#DIV/0!</v>
      </c>
      <c r="AC9" s="768" t="e">
        <f t="shared" si="5"/>
        <v>#DIV/0!</v>
      </c>
    </row>
    <row r="10" spans="1:29" s="424" customFormat="1" ht="27">
      <c r="A10" s="418"/>
      <c r="B10" s="2926" t="s">
        <v>2541</v>
      </c>
      <c r="C10" s="420" t="s">
        <v>3050</v>
      </c>
      <c r="D10" s="134">
        <v>100</v>
      </c>
      <c r="E10" s="420"/>
      <c r="F10" s="134">
        <f>SUMIF(59:59,E10,60:60)-SUMIF(59:59,C10,60:60)+100</f>
        <v>2</v>
      </c>
      <c r="G10" s="421"/>
      <c r="H10" s="134">
        <f>SUMIF(59:59,G10,60:60)-SUMIF(59:59,C10,60:60)+100</f>
        <v>2</v>
      </c>
      <c r="I10" s="420"/>
      <c r="J10" s="134">
        <f>SUMIF(59:59,I10,60:60)-SUMIF(59:59,C10,60:60)+100</f>
        <v>2</v>
      </c>
      <c r="K10" s="609">
        <v>2</v>
      </c>
      <c r="L10" s="1132"/>
      <c r="M10" s="1133"/>
      <c r="N10" s="1133"/>
      <c r="O10" s="1134"/>
      <c r="P10" s="3269"/>
      <c r="Q10" s="2924" t="str">
        <f t="shared" si="6"/>
        <v>土地使用年限（年）</v>
      </c>
      <c r="R10" s="765" t="s">
        <v>17</v>
      </c>
      <c r="S10" s="766">
        <f t="shared" si="0"/>
        <v>2</v>
      </c>
      <c r="T10" s="765" t="s">
        <v>17</v>
      </c>
      <c r="U10" s="766">
        <f t="shared" si="1"/>
        <v>2</v>
      </c>
      <c r="V10" s="765" t="s">
        <v>17</v>
      </c>
      <c r="W10" s="766">
        <f t="shared" si="2"/>
        <v>2</v>
      </c>
      <c r="X10" s="767"/>
      <c r="Y10" s="3117"/>
      <c r="Z10" s="2925" t="str">
        <f t="shared" si="7"/>
        <v>土地使用年限（年）</v>
      </c>
      <c r="AA10" s="768">
        <f t="shared" si="3"/>
        <v>50</v>
      </c>
      <c r="AB10" s="768">
        <f t="shared" si="4"/>
        <v>50</v>
      </c>
      <c r="AC10" s="768">
        <f t="shared" si="5"/>
        <v>50</v>
      </c>
    </row>
    <row r="11" spans="1:29" ht="15">
      <c r="A11" s="425"/>
      <c r="B11" s="2926" t="s">
        <v>2542</v>
      </c>
      <c r="C11" s="426"/>
      <c r="D11" s="134">
        <v>100</v>
      </c>
      <c r="E11" s="426"/>
      <c r="F11" s="134" t="e">
        <f>LOOKUP(E11,62:62,63:63)-LOOKUP(C11,62:62,63:63)+100</f>
        <v>#N/A</v>
      </c>
      <c r="G11" s="427"/>
      <c r="H11" s="134" t="e">
        <f>LOOKUP(G11,62:62,63:63)-LOOKUP(C11,62:62,63:63)+100</f>
        <v>#N/A</v>
      </c>
      <c r="I11" s="426"/>
      <c r="J11" s="134" t="e">
        <f>LOOKUP(I11,62:62,63:63)-LOOKUP(C11,62:62,63:63)+100</f>
        <v>#N/A</v>
      </c>
      <c r="K11" s="609">
        <v>2</v>
      </c>
      <c r="L11" s="1135"/>
      <c r="M11" s="1128"/>
      <c r="N11" s="1128"/>
      <c r="O11" s="1136"/>
      <c r="P11" s="3269"/>
      <c r="Q11" s="2924" t="str">
        <f t="shared" si="6"/>
        <v>容积率</v>
      </c>
      <c r="R11" s="765" t="s">
        <v>17</v>
      </c>
      <c r="S11" s="766" t="e">
        <f t="shared" si="0"/>
        <v>#N/A</v>
      </c>
      <c r="T11" s="765" t="s">
        <v>17</v>
      </c>
      <c r="U11" s="766" t="e">
        <f t="shared" si="1"/>
        <v>#N/A</v>
      </c>
      <c r="V11" s="765" t="s">
        <v>17</v>
      </c>
      <c r="W11" s="766" t="e">
        <f t="shared" si="2"/>
        <v>#N/A</v>
      </c>
      <c r="X11" s="767"/>
      <c r="Y11" s="3117"/>
      <c r="Z11" s="292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69"/>
      <c r="Q12" s="2924">
        <f t="shared" si="6"/>
        <v>111</v>
      </c>
      <c r="R12" s="765" t="s">
        <v>17</v>
      </c>
      <c r="S12" s="766">
        <f t="shared" si="0"/>
        <v>100</v>
      </c>
      <c r="T12" s="765" t="s">
        <v>17</v>
      </c>
      <c r="U12" s="766">
        <f t="shared" si="1"/>
        <v>100</v>
      </c>
      <c r="V12" s="765" t="s">
        <v>17</v>
      </c>
      <c r="W12" s="766">
        <f t="shared" si="2"/>
        <v>100</v>
      </c>
      <c r="X12" s="767"/>
      <c r="Y12" s="3117"/>
      <c r="Z12" s="292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69"/>
      <c r="Q13" s="2924">
        <f t="shared" si="6"/>
        <v>111</v>
      </c>
      <c r="R13" s="765" t="s">
        <v>17</v>
      </c>
      <c r="S13" s="766">
        <f t="shared" si="0"/>
        <v>100</v>
      </c>
      <c r="T13" s="765" t="s">
        <v>17</v>
      </c>
      <c r="U13" s="766">
        <f t="shared" si="1"/>
        <v>100</v>
      </c>
      <c r="V13" s="765" t="s">
        <v>17</v>
      </c>
      <c r="W13" s="766">
        <f t="shared" si="2"/>
        <v>100</v>
      </c>
      <c r="X13" s="767"/>
      <c r="Y13" s="3117"/>
      <c r="Z13" s="292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69"/>
      <c r="Q14" s="2924">
        <f t="shared" si="6"/>
        <v>111</v>
      </c>
      <c r="R14" s="765" t="s">
        <v>17</v>
      </c>
      <c r="S14" s="766">
        <f t="shared" si="0"/>
        <v>100</v>
      </c>
      <c r="T14" s="765" t="s">
        <v>17</v>
      </c>
      <c r="U14" s="766">
        <f t="shared" si="1"/>
        <v>100</v>
      </c>
      <c r="V14" s="765" t="s">
        <v>17</v>
      </c>
      <c r="W14" s="766">
        <f t="shared" si="2"/>
        <v>100</v>
      </c>
      <c r="X14" s="767"/>
      <c r="Y14" s="3117"/>
      <c r="Z14" s="2925">
        <f t="shared" si="7"/>
        <v>111</v>
      </c>
      <c r="AA14" s="768">
        <f t="shared" si="3"/>
        <v>1</v>
      </c>
      <c r="AB14" s="768">
        <f t="shared" si="4"/>
        <v>1</v>
      </c>
      <c r="AC14" s="768">
        <f t="shared" si="5"/>
        <v>1</v>
      </c>
    </row>
    <row r="15" spans="1:29" ht="15">
      <c r="A15" s="437" t="s">
        <v>2543</v>
      </c>
      <c r="B15" s="69" t="s">
        <v>2687</v>
      </c>
      <c r="C15" s="2678">
        <f>估价对象房地状况!G3</f>
        <v>0</v>
      </c>
      <c r="D15" s="438">
        <v>100</v>
      </c>
      <c r="E15" s="439"/>
      <c r="F15" s="440">
        <f>SUMIF(70:70,E16,71:71)-SUMIF(70:70,C16,71:71)+100</f>
        <v>100</v>
      </c>
      <c r="G15" s="441"/>
      <c r="H15" s="438">
        <f>SUMIF(70:70,G16,71:71)-SUMIF(70:70,C16,71:71)+100</f>
        <v>100</v>
      </c>
      <c r="I15" s="439"/>
      <c r="J15" s="438">
        <f>SUMIF(70:70,I16,71:71)-SUMIF(70:70,C16,71:71)+100</f>
        <v>100</v>
      </c>
      <c r="K15" s="611">
        <v>2</v>
      </c>
      <c r="L15" s="1137"/>
      <c r="M15" s="1128"/>
      <c r="N15" s="1128"/>
      <c r="O15" s="1136"/>
      <c r="P15" s="3271" t="s">
        <v>2544</v>
      </c>
      <c r="Q15" s="2928" t="str">
        <f t="shared" si="6"/>
        <v>产业集聚程度</v>
      </c>
      <c r="R15" s="769" t="s">
        <v>17</v>
      </c>
      <c r="S15" s="770">
        <f t="shared" si="0"/>
        <v>100</v>
      </c>
      <c r="T15" s="769" t="s">
        <v>17</v>
      </c>
      <c r="U15" s="770">
        <f t="shared" si="1"/>
        <v>100</v>
      </c>
      <c r="V15" s="769" t="s">
        <v>17</v>
      </c>
      <c r="W15" s="770">
        <f t="shared" si="2"/>
        <v>100</v>
      </c>
      <c r="X15" s="2930"/>
      <c r="Y15" s="3271" t="s">
        <v>2544</v>
      </c>
      <c r="Z15" s="2931" t="str">
        <f t="shared" si="7"/>
        <v>产业集聚程度</v>
      </c>
      <c r="AA15" s="2929">
        <f t="shared" si="3"/>
        <v>1</v>
      </c>
      <c r="AB15" s="2929">
        <f t="shared" si="4"/>
        <v>1</v>
      </c>
      <c r="AC15" s="2929">
        <f t="shared" si="5"/>
        <v>1</v>
      </c>
    </row>
    <row r="16" spans="1:29" ht="15">
      <c r="A16" s="425"/>
      <c r="B16" s="443"/>
      <c r="C16" s="444" t="s">
        <v>3055</v>
      </c>
      <c r="D16" s="445"/>
      <c r="E16" s="444" t="s">
        <v>3055</v>
      </c>
      <c r="F16" s="446"/>
      <c r="G16" s="444" t="s">
        <v>3055</v>
      </c>
      <c r="H16" s="447"/>
      <c r="I16" s="444" t="s">
        <v>3055</v>
      </c>
      <c r="J16" s="445"/>
      <c r="K16" s="612"/>
      <c r="L16" s="1137"/>
      <c r="M16" s="1128"/>
      <c r="N16" s="1128"/>
      <c r="O16" s="1136"/>
      <c r="P16" s="3272"/>
      <c r="Q16" s="2928"/>
      <c r="R16" s="769"/>
      <c r="S16" s="770"/>
      <c r="T16" s="769"/>
      <c r="U16" s="770"/>
      <c r="V16" s="769"/>
      <c r="W16" s="770"/>
      <c r="X16" s="2930"/>
      <c r="Y16" s="3272"/>
      <c r="Z16" s="2931"/>
      <c r="AA16" s="2929">
        <v>1</v>
      </c>
      <c r="AB16" s="2929">
        <v>1</v>
      </c>
      <c r="AC16" s="2929">
        <v>1</v>
      </c>
    </row>
    <row r="17" spans="1:29" ht="15">
      <c r="A17" s="425"/>
      <c r="B17" s="448" t="s">
        <v>2089</v>
      </c>
      <c r="C17" s="2592">
        <f>估价对象房地状况!G4</f>
        <v>0</v>
      </c>
      <c r="D17" s="447">
        <v>100</v>
      </c>
      <c r="E17" s="449"/>
      <c r="F17" s="450">
        <f>SUMIF(72:72,E18,73:73)-SUMIF(72:72,C18,73:73)+100</f>
        <v>100</v>
      </c>
      <c r="G17" s="451"/>
      <c r="H17" s="452">
        <f>SUMIF(72:72,G18,73:73)-SUMIF(72:72,C18,73:73)+100</f>
        <v>100</v>
      </c>
      <c r="I17" s="449"/>
      <c r="J17" s="452">
        <f>SUMIF(72:72,I18,73:73)-SUMIF(72:72,C18,73:73)+100</f>
        <v>94</v>
      </c>
      <c r="K17" s="611">
        <v>2</v>
      </c>
      <c r="L17" s="1137"/>
      <c r="M17" s="1128"/>
      <c r="N17" s="1128"/>
      <c r="O17" s="1136"/>
      <c r="P17" s="3272"/>
      <c r="Q17" s="2928" t="str">
        <f>B17</f>
        <v>交通便捷度</v>
      </c>
      <c r="R17" s="769" t="s">
        <v>17</v>
      </c>
      <c r="S17" s="770">
        <f>F17</f>
        <v>100</v>
      </c>
      <c r="T17" s="769" t="s">
        <v>17</v>
      </c>
      <c r="U17" s="770">
        <f>H17</f>
        <v>100</v>
      </c>
      <c r="V17" s="769" t="s">
        <v>17</v>
      </c>
      <c r="W17" s="770">
        <f>J17</f>
        <v>94</v>
      </c>
      <c r="X17" s="2930"/>
      <c r="Y17" s="3272"/>
      <c r="Z17" s="2931" t="str">
        <f>Q17</f>
        <v>交通便捷度</v>
      </c>
      <c r="AA17" s="2929">
        <f t="shared" si="3"/>
        <v>1</v>
      </c>
      <c r="AB17" s="2929">
        <f t="shared" si="4"/>
        <v>1</v>
      </c>
      <c r="AC17" s="2929">
        <f t="shared" si="5"/>
        <v>1.0638297872340425</v>
      </c>
    </row>
    <row r="18" spans="1:29" ht="15">
      <c r="A18" s="425"/>
      <c r="B18" s="453"/>
      <c r="C18" s="2593" t="s">
        <v>3055</v>
      </c>
      <c r="D18" s="447"/>
      <c r="E18" s="2595" t="s">
        <v>3055</v>
      </c>
      <c r="F18" s="450"/>
      <c r="G18" s="2594" t="s">
        <v>3055</v>
      </c>
      <c r="H18" s="445"/>
      <c r="I18" s="2595" t="s">
        <v>3064</v>
      </c>
      <c r="J18" s="445"/>
      <c r="K18" s="612"/>
      <c r="L18" s="1137"/>
      <c r="M18" s="1128"/>
      <c r="N18" s="1128"/>
      <c r="O18" s="1136"/>
      <c r="P18" s="3272"/>
      <c r="Q18" s="2928"/>
      <c r="R18" s="769"/>
      <c r="S18" s="770"/>
      <c r="T18" s="769"/>
      <c r="U18" s="770"/>
      <c r="V18" s="769"/>
      <c r="W18" s="770"/>
      <c r="X18" s="2930"/>
      <c r="Y18" s="3272"/>
      <c r="Z18" s="2931"/>
      <c r="AA18" s="2929">
        <v>1</v>
      </c>
      <c r="AB18" s="2929">
        <v>1</v>
      </c>
      <c r="AC18" s="2929">
        <v>1</v>
      </c>
    </row>
    <row r="19" spans="1:29" ht="15">
      <c r="A19" s="425"/>
      <c r="B19" s="448" t="s">
        <v>2672</v>
      </c>
      <c r="C19" s="2592">
        <f>估价对象房地状况!G5</f>
        <v>0</v>
      </c>
      <c r="D19" s="452">
        <v>100</v>
      </c>
      <c r="E19" s="454"/>
      <c r="F19" s="455">
        <f>SUMIF(74:74,E20,75:75)-SUMIF(74:74,C20,75:75)+100</f>
        <v>100</v>
      </c>
      <c r="G19" s="456"/>
      <c r="H19" s="447">
        <f>SUMIF(74:74,G20,75:75)-SUMIF(74:74,C20,75:75)+100</f>
        <v>100</v>
      </c>
      <c r="I19" s="454"/>
      <c r="J19" s="447">
        <f>SUMIF(74:74,I20,75:75)-SUMIF(74:74,C20,75:75)+100</f>
        <v>100</v>
      </c>
      <c r="K19" s="611">
        <v>2</v>
      </c>
      <c r="L19" s="1137"/>
      <c r="M19" s="1128"/>
      <c r="N19" s="1128"/>
      <c r="O19" s="1136"/>
      <c r="P19" s="3272"/>
      <c r="Q19" s="2928" t="str">
        <f>B19</f>
        <v>公共配套设施</v>
      </c>
      <c r="R19" s="769" t="s">
        <v>17</v>
      </c>
      <c r="S19" s="770">
        <f>F19</f>
        <v>100</v>
      </c>
      <c r="T19" s="769" t="s">
        <v>17</v>
      </c>
      <c r="U19" s="770">
        <f>H19</f>
        <v>100</v>
      </c>
      <c r="V19" s="769" t="s">
        <v>17</v>
      </c>
      <c r="W19" s="770">
        <f>J19</f>
        <v>100</v>
      </c>
      <c r="X19" s="2930"/>
      <c r="Y19" s="3272"/>
      <c r="Z19" s="2931" t="str">
        <f>Q19</f>
        <v>公共配套设施</v>
      </c>
      <c r="AA19" s="2929">
        <f t="shared" si="3"/>
        <v>1</v>
      </c>
      <c r="AB19" s="2929">
        <f t="shared" si="4"/>
        <v>1</v>
      </c>
      <c r="AC19" s="2929">
        <f t="shared" si="5"/>
        <v>1</v>
      </c>
    </row>
    <row r="20" spans="1:29" ht="15">
      <c r="A20" s="425"/>
      <c r="B20" s="453"/>
      <c r="C20" s="444"/>
      <c r="D20" s="445"/>
      <c r="E20" s="2590"/>
      <c r="F20" s="446"/>
      <c r="G20" s="2589"/>
      <c r="H20" s="445"/>
      <c r="I20" s="2590"/>
      <c r="J20" s="445"/>
      <c r="K20" s="612"/>
      <c r="L20" s="1137"/>
      <c r="M20" s="1128"/>
      <c r="N20" s="1128"/>
      <c r="O20" s="1136"/>
      <c r="P20" s="3272"/>
      <c r="Q20" s="2928"/>
      <c r="R20" s="769"/>
      <c r="S20" s="770"/>
      <c r="T20" s="769"/>
      <c r="U20" s="770"/>
      <c r="V20" s="769"/>
      <c r="W20" s="770"/>
      <c r="X20" s="2930"/>
      <c r="Y20" s="3272"/>
      <c r="Z20" s="2931"/>
      <c r="AA20" s="2929">
        <v>1</v>
      </c>
      <c r="AB20" s="2929">
        <v>1</v>
      </c>
      <c r="AC20" s="2929">
        <v>1</v>
      </c>
    </row>
    <row r="21" spans="1:29" ht="15">
      <c r="A21" s="425"/>
      <c r="B21" s="1379" t="s">
        <v>2673</v>
      </c>
      <c r="C21" s="2592">
        <f>估价对象房地状况!G6</f>
        <v>0</v>
      </c>
      <c r="D21" s="447">
        <v>100</v>
      </c>
      <c r="E21" s="454"/>
      <c r="F21" s="455">
        <f>SUMIF(76:76,E22,77:77)-SUMIF(76:76,C22,77:77)+100</f>
        <v>100</v>
      </c>
      <c r="G21" s="456"/>
      <c r="H21" s="447">
        <f>SUMIF(76:76,G22,77:77)-SUMIF(76:76,C22,77:77)+100</f>
        <v>100</v>
      </c>
      <c r="I21" s="454"/>
      <c r="J21" s="447">
        <f>SUMIF(76:76,I22,77:77)-SUMIF(76:76,C22,77:77)+100</f>
        <v>100</v>
      </c>
      <c r="K21" s="611">
        <v>2</v>
      </c>
      <c r="L21" s="1137"/>
      <c r="M21" s="1128"/>
      <c r="N21" s="1128"/>
      <c r="O21" s="1136"/>
      <c r="P21" s="3272"/>
      <c r="Q21" s="2928" t="str">
        <f>B21</f>
        <v>基础设施水平</v>
      </c>
      <c r="R21" s="769" t="s">
        <v>17</v>
      </c>
      <c r="S21" s="770">
        <f>F21</f>
        <v>100</v>
      </c>
      <c r="T21" s="769" t="s">
        <v>17</v>
      </c>
      <c r="U21" s="770">
        <f>H21</f>
        <v>100</v>
      </c>
      <c r="V21" s="769" t="s">
        <v>17</v>
      </c>
      <c r="W21" s="770">
        <f>J21</f>
        <v>100</v>
      </c>
      <c r="X21" s="2930"/>
      <c r="Y21" s="3272"/>
      <c r="Z21" s="2931" t="str">
        <f>Q21</f>
        <v>基础设施水平</v>
      </c>
      <c r="AA21" s="2929">
        <f t="shared" ref="AA21" si="8">D21/F21</f>
        <v>1</v>
      </c>
      <c r="AB21" s="2929">
        <f t="shared" ref="AB21" si="9">D21/H21</f>
        <v>1</v>
      </c>
      <c r="AC21" s="2929">
        <f t="shared" ref="AC21" si="10">D21/J21</f>
        <v>1</v>
      </c>
    </row>
    <row r="22" spans="1:29" ht="15">
      <c r="A22" s="425"/>
      <c r="B22" s="1379"/>
      <c r="C22" s="2593"/>
      <c r="D22" s="445"/>
      <c r="E22" s="444"/>
      <c r="F22" s="446"/>
      <c r="G22" s="444"/>
      <c r="H22" s="445"/>
      <c r="I22" s="444"/>
      <c r="J22" s="445"/>
      <c r="K22" s="1378"/>
      <c r="L22" s="1137"/>
      <c r="M22" s="1128"/>
      <c r="N22" s="1128"/>
      <c r="O22" s="1136"/>
      <c r="P22" s="3272"/>
      <c r="Q22" s="2928"/>
      <c r="R22" s="769"/>
      <c r="S22" s="770"/>
      <c r="T22" s="769"/>
      <c r="U22" s="770"/>
      <c r="V22" s="769"/>
      <c r="W22" s="770"/>
      <c r="X22" s="2930"/>
      <c r="Y22" s="3272"/>
      <c r="Z22" s="2931"/>
      <c r="AA22" s="2929">
        <v>1</v>
      </c>
      <c r="AB22" s="2929">
        <v>1</v>
      </c>
      <c r="AC22" s="2929">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v>2</v>
      </c>
      <c r="L23" s="1137"/>
      <c r="M23" s="1128"/>
      <c r="N23" s="1128"/>
      <c r="O23" s="1136"/>
      <c r="P23" s="3272"/>
      <c r="Q23" s="2928" t="str">
        <f>B23</f>
        <v>环境质量</v>
      </c>
      <c r="R23" s="769" t="s">
        <v>17</v>
      </c>
      <c r="S23" s="770">
        <f>F23</f>
        <v>100</v>
      </c>
      <c r="T23" s="769" t="s">
        <v>17</v>
      </c>
      <c r="U23" s="770">
        <f>H23</f>
        <v>100</v>
      </c>
      <c r="V23" s="769" t="s">
        <v>17</v>
      </c>
      <c r="W23" s="770">
        <f>J23</f>
        <v>100</v>
      </c>
      <c r="X23" s="2930"/>
      <c r="Y23" s="3272"/>
      <c r="Z23" s="2931" t="str">
        <f>Q23</f>
        <v>环境质量</v>
      </c>
      <c r="AA23" s="2929">
        <f t="shared" si="3"/>
        <v>1</v>
      </c>
      <c r="AB23" s="2929">
        <f t="shared" si="4"/>
        <v>1</v>
      </c>
      <c r="AC23" s="2929">
        <f t="shared" si="5"/>
        <v>1</v>
      </c>
    </row>
    <row r="24" spans="1:29" ht="15">
      <c r="A24" s="425"/>
      <c r="B24" s="1379"/>
      <c r="C24" s="444"/>
      <c r="D24" s="445"/>
      <c r="E24" s="2590"/>
      <c r="F24" s="446"/>
      <c r="G24" s="2589"/>
      <c r="H24" s="445"/>
      <c r="I24" s="2590"/>
      <c r="J24" s="445"/>
      <c r="K24" s="612"/>
      <c r="L24" s="1137"/>
      <c r="M24" s="1128"/>
      <c r="N24" s="1128"/>
      <c r="O24" s="1136"/>
      <c r="P24" s="3272"/>
      <c r="Q24" s="2928"/>
      <c r="R24" s="769"/>
      <c r="S24" s="770"/>
      <c r="T24" s="769"/>
      <c r="U24" s="770"/>
      <c r="V24" s="769"/>
      <c r="W24" s="770"/>
      <c r="X24" s="2930"/>
      <c r="Y24" s="3272"/>
      <c r="Z24" s="2931"/>
      <c r="AA24" s="2929">
        <v>1</v>
      </c>
      <c r="AB24" s="2929">
        <v>1</v>
      </c>
      <c r="AC24" s="2929">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72"/>
      <c r="Q25" s="2928">
        <f>B25</f>
        <v>111</v>
      </c>
      <c r="R25" s="769" t="s">
        <v>17</v>
      </c>
      <c r="S25" s="770">
        <f>F25</f>
        <v>100</v>
      </c>
      <c r="T25" s="769" t="s">
        <v>17</v>
      </c>
      <c r="U25" s="770">
        <f>H25</f>
        <v>100</v>
      </c>
      <c r="V25" s="769" t="s">
        <v>17</v>
      </c>
      <c r="W25" s="770">
        <f>J25</f>
        <v>100</v>
      </c>
      <c r="X25" s="2930"/>
      <c r="Y25" s="3272"/>
      <c r="Z25" s="2931">
        <f>Q25</f>
        <v>111</v>
      </c>
      <c r="AA25" s="2929">
        <f t="shared" si="3"/>
        <v>1</v>
      </c>
      <c r="AB25" s="2929">
        <f t="shared" si="4"/>
        <v>1</v>
      </c>
      <c r="AC25" s="2929">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72"/>
      <c r="Q26" s="2928">
        <f t="shared" ref="Q26:Q40" si="11">B26</f>
        <v>111</v>
      </c>
      <c r="R26" s="769" t="s">
        <v>17</v>
      </c>
      <c r="S26" s="770">
        <f>F26</f>
        <v>100</v>
      </c>
      <c r="T26" s="769" t="s">
        <v>17</v>
      </c>
      <c r="U26" s="770">
        <f>H26</f>
        <v>100</v>
      </c>
      <c r="V26" s="769" t="s">
        <v>17</v>
      </c>
      <c r="W26" s="770">
        <f>J26</f>
        <v>100</v>
      </c>
      <c r="X26" s="2930"/>
      <c r="Y26" s="3272"/>
      <c r="Z26" s="2931">
        <f>Q26</f>
        <v>111</v>
      </c>
      <c r="AA26" s="2929">
        <f t="shared" si="3"/>
        <v>1</v>
      </c>
      <c r="AB26" s="2929">
        <f t="shared" si="4"/>
        <v>1</v>
      </c>
      <c r="AC26" s="2929">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72"/>
      <c r="Q27" s="2924">
        <f t="shared" si="11"/>
        <v>111</v>
      </c>
      <c r="R27" s="765" t="s">
        <v>17</v>
      </c>
      <c r="S27" s="766">
        <f>F27</f>
        <v>100</v>
      </c>
      <c r="T27" s="765" t="s">
        <v>17</v>
      </c>
      <c r="U27" s="766">
        <f>H27</f>
        <v>100</v>
      </c>
      <c r="V27" s="765" t="s">
        <v>17</v>
      </c>
      <c r="W27" s="766">
        <f>J27</f>
        <v>100</v>
      </c>
      <c r="X27" s="767"/>
      <c r="Y27" s="3272"/>
      <c r="Z27" s="2925">
        <f>Q27</f>
        <v>111</v>
      </c>
      <c r="AA27" s="2929">
        <f>D27/F27</f>
        <v>1</v>
      </c>
      <c r="AB27" s="2929">
        <f>D27/H27</f>
        <v>1</v>
      </c>
      <c r="AC27" s="2929">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72"/>
      <c r="Q28" s="2928">
        <f t="shared" si="11"/>
        <v>111</v>
      </c>
      <c r="R28" s="769" t="s">
        <v>17</v>
      </c>
      <c r="S28" s="770">
        <f t="shared" ref="S28:S40" si="12">F28</f>
        <v>100</v>
      </c>
      <c r="T28" s="769" t="s">
        <v>17</v>
      </c>
      <c r="U28" s="770">
        <f t="shared" ref="U28:U40" si="13">H28</f>
        <v>100</v>
      </c>
      <c r="V28" s="769" t="s">
        <v>17</v>
      </c>
      <c r="W28" s="770">
        <f t="shared" ref="W28:W40" si="14">J28</f>
        <v>100</v>
      </c>
      <c r="X28" s="2930"/>
      <c r="Y28" s="3272"/>
      <c r="Z28" s="2931">
        <f t="shared" ref="Z28:Z40" si="15">Q28</f>
        <v>111</v>
      </c>
      <c r="AA28" s="2929">
        <f t="shared" si="3"/>
        <v>1</v>
      </c>
      <c r="AB28" s="2929">
        <f t="shared" si="4"/>
        <v>1</v>
      </c>
      <c r="AC28" s="2929">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v>2</v>
      </c>
      <c r="L29" s="1137"/>
      <c r="M29" s="1128"/>
      <c r="N29" s="1128"/>
      <c r="O29" s="1136"/>
      <c r="P29" s="3273" t="s">
        <v>2549</v>
      </c>
      <c r="Q29" s="2928" t="str">
        <f t="shared" si="11"/>
        <v>建筑类型</v>
      </c>
      <c r="R29" s="769" t="s">
        <v>17</v>
      </c>
      <c r="S29" s="770">
        <f t="shared" si="12"/>
        <v>100</v>
      </c>
      <c r="T29" s="769" t="s">
        <v>17</v>
      </c>
      <c r="U29" s="770">
        <f t="shared" si="13"/>
        <v>100</v>
      </c>
      <c r="V29" s="769" t="s">
        <v>17</v>
      </c>
      <c r="W29" s="770">
        <f t="shared" si="14"/>
        <v>100</v>
      </c>
      <c r="X29" s="2930"/>
      <c r="Y29" s="3274" t="s">
        <v>2549</v>
      </c>
      <c r="Z29" s="2931" t="str">
        <f t="shared" si="15"/>
        <v>建筑类型</v>
      </c>
      <c r="AA29" s="2929">
        <f t="shared" si="3"/>
        <v>1</v>
      </c>
      <c r="AB29" s="2929">
        <f t="shared" si="4"/>
        <v>1</v>
      </c>
      <c r="AC29" s="2929">
        <f t="shared" si="5"/>
        <v>1</v>
      </c>
    </row>
    <row r="30" spans="1:29" s="468" customFormat="1" ht="15">
      <c r="A30" s="465"/>
      <c r="B30" s="2926" t="s">
        <v>2550</v>
      </c>
      <c r="C30" s="466"/>
      <c r="D30" s="134">
        <v>100</v>
      </c>
      <c r="E30" s="427"/>
      <c r="F30" s="422">
        <f>LOOKUP(E30,91:91,92:92)-LOOKUP(C30,91:91,92:92)+100</f>
        <v>100</v>
      </c>
      <c r="G30" s="426"/>
      <c r="H30" s="134">
        <f>LOOKUP(G30,91:91,92:92)-LOOKUP(C30,91:91,92:92)+100</f>
        <v>100</v>
      </c>
      <c r="I30" s="426"/>
      <c r="J30" s="134">
        <f>LOOKUP(I30,91:91,92:92)-LOOKUP(C30,91:91,92:92)+100</f>
        <v>100</v>
      </c>
      <c r="K30" s="610"/>
      <c r="L30" s="1135"/>
      <c r="M30" s="1138"/>
      <c r="N30" s="1138"/>
      <c r="O30" s="1139"/>
      <c r="P30" s="3274"/>
      <c r="Q30" s="771" t="str">
        <f t="shared" si="11"/>
        <v>项目建筑规模</v>
      </c>
      <c r="R30" s="772" t="s">
        <v>17</v>
      </c>
      <c r="S30" s="773">
        <f t="shared" si="12"/>
        <v>100</v>
      </c>
      <c r="T30" s="772" t="s">
        <v>17</v>
      </c>
      <c r="U30" s="773">
        <f t="shared" si="13"/>
        <v>100</v>
      </c>
      <c r="V30" s="772" t="s">
        <v>17</v>
      </c>
      <c r="W30" s="773">
        <f t="shared" si="14"/>
        <v>100</v>
      </c>
      <c r="X30" s="774"/>
      <c r="Y30" s="3274"/>
      <c r="Z30" s="775" t="str">
        <f t="shared" si="15"/>
        <v>项目建筑规模</v>
      </c>
      <c r="AA30" s="2929">
        <f t="shared" si="3"/>
        <v>1</v>
      </c>
      <c r="AB30" s="2929">
        <f t="shared" si="4"/>
        <v>1</v>
      </c>
      <c r="AC30" s="2929">
        <f t="shared" si="5"/>
        <v>1</v>
      </c>
    </row>
    <row r="31" spans="1:29" ht="15">
      <c r="A31" s="469"/>
      <c r="B31" s="2926" t="s">
        <v>2551</v>
      </c>
      <c r="C31" s="457"/>
      <c r="D31" s="432">
        <v>100</v>
      </c>
      <c r="E31" s="457"/>
      <c r="F31" s="458">
        <f>SUMIF(93:93,E31,94:94)-SUMIF(93:93,C31,94:94)+100</f>
        <v>100</v>
      </c>
      <c r="G31" s="457"/>
      <c r="H31" s="432">
        <f>SUMIF(93:93,G31,94:94)-SUMIF(93:93,C31,94:94)+100</f>
        <v>100</v>
      </c>
      <c r="I31" s="457"/>
      <c r="J31" s="432">
        <f>SUMIF(93:93,I31,94:94)-SUMIF(93:93,C31,94:94)+100</f>
        <v>100</v>
      </c>
      <c r="K31" s="609">
        <v>2</v>
      </c>
      <c r="L31" s="1137"/>
      <c r="M31" s="1128"/>
      <c r="N31" s="1128"/>
      <c r="O31" s="1136"/>
      <c r="P31" s="3274"/>
      <c r="Q31" s="2928" t="str">
        <f t="shared" si="11"/>
        <v>建筑结构</v>
      </c>
      <c r="R31" s="769" t="s">
        <v>17</v>
      </c>
      <c r="S31" s="770">
        <f t="shared" si="12"/>
        <v>100</v>
      </c>
      <c r="T31" s="769" t="s">
        <v>17</v>
      </c>
      <c r="U31" s="770">
        <f t="shared" si="13"/>
        <v>100</v>
      </c>
      <c r="V31" s="769" t="s">
        <v>17</v>
      </c>
      <c r="W31" s="770">
        <f t="shared" si="14"/>
        <v>100</v>
      </c>
      <c r="X31" s="2930"/>
      <c r="Y31" s="3274"/>
      <c r="Z31" s="2931" t="str">
        <f t="shared" si="15"/>
        <v>建筑结构</v>
      </c>
      <c r="AA31" s="2929">
        <f t="shared" si="3"/>
        <v>1</v>
      </c>
      <c r="AB31" s="2929">
        <f t="shared" si="4"/>
        <v>1</v>
      </c>
      <c r="AC31" s="2929">
        <f t="shared" si="5"/>
        <v>1</v>
      </c>
    </row>
    <row r="32" spans="1:29" ht="15">
      <c r="A32" s="469"/>
      <c r="B32" s="2926" t="s">
        <v>2645</v>
      </c>
      <c r="C32" s="457"/>
      <c r="D32" s="432">
        <v>100</v>
      </c>
      <c r="E32" s="457"/>
      <c r="F32" s="458">
        <f>SUMIF(95:95,E32,96:96)-SUMIF(95:95,C32,96:96)+100</f>
        <v>100</v>
      </c>
      <c r="G32" s="457"/>
      <c r="H32" s="432">
        <f>SUMIF(95:95,G32,96:96)-SUMIF(95:95,C32,96:96)+100</f>
        <v>100</v>
      </c>
      <c r="I32" s="457"/>
      <c r="J32" s="432">
        <f>SUMIF(95:95,I32,96:96)-SUMIF(95:95,C32,96:96)+100</f>
        <v>100</v>
      </c>
      <c r="K32" s="609">
        <v>2</v>
      </c>
      <c r="L32" s="1137"/>
      <c r="M32" s="1128"/>
      <c r="N32" s="1128"/>
      <c r="O32" s="1136"/>
      <c r="P32" s="3274"/>
      <c r="Q32" s="2928" t="str">
        <f t="shared" si="11"/>
        <v>公共部分装修</v>
      </c>
      <c r="R32" s="769" t="s">
        <v>17</v>
      </c>
      <c r="S32" s="770">
        <f t="shared" si="12"/>
        <v>100</v>
      </c>
      <c r="T32" s="769" t="s">
        <v>17</v>
      </c>
      <c r="U32" s="770">
        <f t="shared" si="13"/>
        <v>100</v>
      </c>
      <c r="V32" s="769" t="s">
        <v>17</v>
      </c>
      <c r="W32" s="770">
        <f t="shared" si="14"/>
        <v>100</v>
      </c>
      <c r="X32" s="2930"/>
      <c r="Y32" s="3274"/>
      <c r="Z32" s="2931" t="str">
        <f t="shared" si="15"/>
        <v>公共部分装修</v>
      </c>
      <c r="AA32" s="2929">
        <f t="shared" si="3"/>
        <v>1</v>
      </c>
      <c r="AB32" s="2929">
        <f t="shared" si="4"/>
        <v>1</v>
      </c>
      <c r="AC32" s="2929">
        <f t="shared" si="5"/>
        <v>1</v>
      </c>
    </row>
    <row r="33" spans="1:29" ht="15">
      <c r="A33" s="469"/>
      <c r="B33" s="2926" t="s">
        <v>2646</v>
      </c>
      <c r="C33" s="466"/>
      <c r="D33" s="432">
        <v>100</v>
      </c>
      <c r="E33" s="471"/>
      <c r="F33" s="458" t="e">
        <f>LOOKUP(E33,98:98,99:99)-LOOKUP(C33,98:98,99:99)+100</f>
        <v>#N/A</v>
      </c>
      <c r="G33" s="471"/>
      <c r="H33" s="458" t="e">
        <f>LOOKUP(G33,98:98,99:99)-LOOKUP(C33,98:98,99:99)+100</f>
        <v>#N/A</v>
      </c>
      <c r="I33" s="471"/>
      <c r="J33" s="432" t="e">
        <f>LOOKUP(I33,98:98,99:99)-LOOKUP(C33,98:98,99:99)+100</f>
        <v>#N/A</v>
      </c>
      <c r="K33" s="609">
        <v>2</v>
      </c>
      <c r="L33" s="1137"/>
      <c r="M33" s="1128"/>
      <c r="N33" s="1128"/>
      <c r="O33" s="1136"/>
      <c r="P33" s="3274"/>
      <c r="Q33" s="2928" t="str">
        <f t="shared" si="11"/>
        <v>成新度</v>
      </c>
      <c r="R33" s="769" t="s">
        <v>17</v>
      </c>
      <c r="S33" s="770" t="e">
        <f t="shared" si="12"/>
        <v>#N/A</v>
      </c>
      <c r="T33" s="769" t="s">
        <v>17</v>
      </c>
      <c r="U33" s="770" t="e">
        <f t="shared" si="13"/>
        <v>#N/A</v>
      </c>
      <c r="V33" s="769" t="s">
        <v>17</v>
      </c>
      <c r="W33" s="770" t="e">
        <f t="shared" si="14"/>
        <v>#N/A</v>
      </c>
      <c r="X33" s="2930"/>
      <c r="Y33" s="3274"/>
      <c r="Z33" s="2931" t="str">
        <f t="shared" si="15"/>
        <v>成新度</v>
      </c>
      <c r="AA33" s="2929" t="e">
        <f t="shared" si="3"/>
        <v>#N/A</v>
      </c>
      <c r="AB33" s="2929" t="e">
        <f t="shared" si="4"/>
        <v>#N/A</v>
      </c>
      <c r="AC33" s="2929" t="e">
        <f t="shared" si="5"/>
        <v>#N/A</v>
      </c>
    </row>
    <row r="34" spans="1:29" s="116" customFormat="1" ht="15">
      <c r="A34" s="470"/>
      <c r="B34" s="2926"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v>2</v>
      </c>
      <c r="L34" s="1129"/>
      <c r="M34" s="1130"/>
      <c r="N34" s="1130"/>
      <c r="O34" s="1131"/>
      <c r="P34" s="3274"/>
      <c r="Q34" s="2924" t="str">
        <f t="shared" si="11"/>
        <v>物业管理</v>
      </c>
      <c r="R34" s="765" t="s">
        <v>17</v>
      </c>
      <c r="S34" s="766">
        <f t="shared" si="12"/>
        <v>100</v>
      </c>
      <c r="T34" s="765" t="s">
        <v>17</v>
      </c>
      <c r="U34" s="766">
        <f t="shared" si="13"/>
        <v>100</v>
      </c>
      <c r="V34" s="765" t="s">
        <v>17</v>
      </c>
      <c r="W34" s="766">
        <f t="shared" si="14"/>
        <v>100</v>
      </c>
      <c r="X34" s="767"/>
      <c r="Y34" s="3274"/>
      <c r="Z34" s="2925" t="str">
        <f t="shared" si="15"/>
        <v>物业管理</v>
      </c>
      <c r="AA34" s="768">
        <f t="shared" si="3"/>
        <v>1</v>
      </c>
      <c r="AB34" s="768">
        <f t="shared" si="4"/>
        <v>1</v>
      </c>
      <c r="AC34" s="768">
        <f t="shared" si="5"/>
        <v>1</v>
      </c>
    </row>
    <row r="35" spans="1:29" ht="15">
      <c r="A35" s="469"/>
      <c r="B35" s="2926"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v>2</v>
      </c>
      <c r="L35" s="1137"/>
      <c r="M35" s="1128"/>
      <c r="N35" s="1128"/>
      <c r="O35" s="1136"/>
      <c r="P35" s="3274" t="s">
        <v>2549</v>
      </c>
      <c r="Q35" s="2928" t="str">
        <f t="shared" si="11"/>
        <v>市政基础设施</v>
      </c>
      <c r="R35" s="769" t="s">
        <v>17</v>
      </c>
      <c r="S35" s="770">
        <f t="shared" si="12"/>
        <v>100</v>
      </c>
      <c r="T35" s="769" t="s">
        <v>17</v>
      </c>
      <c r="U35" s="770">
        <f t="shared" si="13"/>
        <v>100</v>
      </c>
      <c r="V35" s="769" t="s">
        <v>17</v>
      </c>
      <c r="W35" s="770">
        <f t="shared" si="14"/>
        <v>100</v>
      </c>
      <c r="X35" s="2930"/>
      <c r="Y35" s="3274" t="s">
        <v>2549</v>
      </c>
      <c r="Z35" s="2931" t="str">
        <f t="shared" si="15"/>
        <v>市政基础设施</v>
      </c>
      <c r="AA35" s="2929">
        <f t="shared" si="3"/>
        <v>1</v>
      </c>
      <c r="AB35" s="2929">
        <f t="shared" si="4"/>
        <v>1</v>
      </c>
      <c r="AC35" s="2929">
        <f t="shared" si="5"/>
        <v>1</v>
      </c>
    </row>
    <row r="36" spans="1:29" ht="15">
      <c r="A36" s="469"/>
      <c r="B36" s="2926"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v>2</v>
      </c>
      <c r="L36" s="1137"/>
      <c r="M36" s="1128"/>
      <c r="N36" s="1128"/>
      <c r="O36" s="1136"/>
      <c r="P36" s="3274"/>
      <c r="Q36" s="2928" t="str">
        <f t="shared" si="11"/>
        <v>内部装修</v>
      </c>
      <c r="R36" s="769" t="s">
        <v>17</v>
      </c>
      <c r="S36" s="770">
        <f t="shared" si="12"/>
        <v>100</v>
      </c>
      <c r="T36" s="769" t="s">
        <v>17</v>
      </c>
      <c r="U36" s="770">
        <f t="shared" si="13"/>
        <v>100</v>
      </c>
      <c r="V36" s="769" t="s">
        <v>17</v>
      </c>
      <c r="W36" s="770">
        <f t="shared" si="14"/>
        <v>100</v>
      </c>
      <c r="X36" s="2930"/>
      <c r="Y36" s="3274"/>
      <c r="Z36" s="2931" t="str">
        <f t="shared" si="15"/>
        <v>内部装修</v>
      </c>
      <c r="AA36" s="2929">
        <f t="shared" si="3"/>
        <v>1</v>
      </c>
      <c r="AB36" s="2929">
        <f t="shared" si="4"/>
        <v>1</v>
      </c>
      <c r="AC36" s="2929">
        <f t="shared" si="5"/>
        <v>1</v>
      </c>
    </row>
    <row r="37" spans="1:29" ht="15">
      <c r="A37" s="469"/>
      <c r="B37" s="2926" t="s">
        <v>2688</v>
      </c>
      <c r="C37" s="613" t="s">
        <v>3055</v>
      </c>
      <c r="D37" s="432">
        <v>100</v>
      </c>
      <c r="E37" s="613" t="s">
        <v>3055</v>
      </c>
      <c r="F37" s="458">
        <f>SUMIF(106:106,E37,107:107)-SUMIF(106:106,C37,107:107)+100</f>
        <v>100</v>
      </c>
      <c r="G37" s="613" t="s">
        <v>3055</v>
      </c>
      <c r="H37" s="432">
        <f>SUMIF(106:106,G37,107:107)-SUMIF(106:106,C37,107:107)+100</f>
        <v>100</v>
      </c>
      <c r="I37" s="613" t="s">
        <v>3055</v>
      </c>
      <c r="J37" s="432">
        <f>SUMIF(106:106,I37,107:107)-SUMIF(106:106,C37,107:107)+100</f>
        <v>100</v>
      </c>
      <c r="K37" s="609">
        <v>2</v>
      </c>
      <c r="L37" s="1137"/>
      <c r="M37" s="1128"/>
      <c r="N37" s="1128"/>
      <c r="O37" s="1136"/>
      <c r="P37" s="3274"/>
      <c r="Q37" s="2928" t="str">
        <f t="shared" si="11"/>
        <v>内部装修状况</v>
      </c>
      <c r="R37" s="769" t="s">
        <v>17</v>
      </c>
      <c r="S37" s="770">
        <f t="shared" si="12"/>
        <v>100</v>
      </c>
      <c r="T37" s="769" t="s">
        <v>17</v>
      </c>
      <c r="U37" s="770">
        <f t="shared" si="13"/>
        <v>100</v>
      </c>
      <c r="V37" s="769" t="s">
        <v>17</v>
      </c>
      <c r="W37" s="770">
        <f t="shared" si="14"/>
        <v>100</v>
      </c>
      <c r="X37" s="2930"/>
      <c r="Y37" s="3274"/>
      <c r="Z37" s="2931" t="str">
        <f t="shared" si="15"/>
        <v>内部装修状况</v>
      </c>
      <c r="AA37" s="2929">
        <f t="shared" si="3"/>
        <v>1</v>
      </c>
      <c r="AB37" s="2929">
        <f t="shared" si="4"/>
        <v>1</v>
      </c>
      <c r="AC37" s="2929">
        <f t="shared" si="5"/>
        <v>1</v>
      </c>
    </row>
    <row r="38" spans="1:29" s="468" customFormat="1" ht="15">
      <c r="A38" s="465"/>
      <c r="B38" s="1381">
        <v>22</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74"/>
      <c r="Q38" s="771">
        <f t="shared" si="11"/>
        <v>22</v>
      </c>
      <c r="R38" s="772" t="s">
        <v>17</v>
      </c>
      <c r="S38" s="773">
        <f t="shared" si="12"/>
        <v>100</v>
      </c>
      <c r="T38" s="772" t="s">
        <v>17</v>
      </c>
      <c r="U38" s="773">
        <f t="shared" si="13"/>
        <v>100</v>
      </c>
      <c r="V38" s="772" t="s">
        <v>17</v>
      </c>
      <c r="W38" s="773">
        <f t="shared" si="14"/>
        <v>100</v>
      </c>
      <c r="X38" s="774"/>
      <c r="Y38" s="3274"/>
      <c r="Z38" s="775">
        <f t="shared" si="15"/>
        <v>22</v>
      </c>
      <c r="AA38" s="2929">
        <f t="shared" si="3"/>
        <v>1</v>
      </c>
      <c r="AB38" s="2929">
        <f t="shared" si="4"/>
        <v>1</v>
      </c>
      <c r="AC38" s="2929">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74"/>
      <c r="Q39" s="2928">
        <f t="shared" si="11"/>
        <v>111</v>
      </c>
      <c r="R39" s="769" t="s">
        <v>17</v>
      </c>
      <c r="S39" s="770">
        <f t="shared" si="12"/>
        <v>100</v>
      </c>
      <c r="T39" s="769" t="s">
        <v>17</v>
      </c>
      <c r="U39" s="770">
        <f t="shared" si="13"/>
        <v>100</v>
      </c>
      <c r="V39" s="769" t="s">
        <v>17</v>
      </c>
      <c r="W39" s="770">
        <f t="shared" si="14"/>
        <v>100</v>
      </c>
      <c r="X39" s="2930"/>
      <c r="Y39" s="3274"/>
      <c r="Z39" s="2931">
        <f t="shared" si="15"/>
        <v>111</v>
      </c>
      <c r="AA39" s="2929">
        <f t="shared" si="3"/>
        <v>1</v>
      </c>
      <c r="AB39" s="2929">
        <f t="shared" si="4"/>
        <v>1</v>
      </c>
      <c r="AC39" s="2929">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7"/>
      <c r="Q40" s="2928">
        <f t="shared" si="11"/>
        <v>111</v>
      </c>
      <c r="R40" s="769" t="s">
        <v>17</v>
      </c>
      <c r="S40" s="770">
        <f t="shared" si="12"/>
        <v>100</v>
      </c>
      <c r="T40" s="769" t="s">
        <v>17</v>
      </c>
      <c r="U40" s="770">
        <f t="shared" si="13"/>
        <v>100</v>
      </c>
      <c r="V40" s="769" t="s">
        <v>17</v>
      </c>
      <c r="W40" s="770">
        <f t="shared" si="14"/>
        <v>100</v>
      </c>
      <c r="X40" s="2930"/>
      <c r="Y40" s="3307"/>
      <c r="Z40" s="2931">
        <f t="shared" si="15"/>
        <v>111</v>
      </c>
      <c r="AA40" s="2929">
        <f t="shared" si="3"/>
        <v>1</v>
      </c>
      <c r="AB40" s="2929">
        <f t="shared" si="4"/>
        <v>1</v>
      </c>
      <c r="AC40" s="2929">
        <f t="shared" si="5"/>
        <v>1</v>
      </c>
    </row>
    <row r="41" spans="1:29" ht="15">
      <c r="A41" s="476" t="s">
        <v>2561</v>
      </c>
      <c r="B41" s="477"/>
      <c r="C41" s="1402" t="s">
        <v>1</v>
      </c>
      <c r="D41" s="1403"/>
      <c r="E41" s="1404">
        <v>4.5</v>
      </c>
      <c r="F41" s="1405"/>
      <c r="G41" s="1406">
        <v>3.78</v>
      </c>
      <c r="H41" s="1407"/>
      <c r="I41" s="1404">
        <v>3.5</v>
      </c>
      <c r="J41" s="1407"/>
      <c r="K41" s="778"/>
      <c r="L41" s="1140"/>
      <c r="M41" s="1141"/>
      <c r="N41" s="1128"/>
      <c r="O41" s="1141"/>
      <c r="P41" s="3269" t="str">
        <f>A41</f>
        <v>成交单价（元/平方米）</v>
      </c>
      <c r="Q41" s="3269"/>
      <c r="R41" s="3305">
        <f>E41</f>
        <v>4.5</v>
      </c>
      <c r="S41" s="3305"/>
      <c r="T41" s="3305">
        <f>G41</f>
        <v>3.78</v>
      </c>
      <c r="U41" s="3305"/>
      <c r="V41" s="3305">
        <f>I41</f>
        <v>3.5</v>
      </c>
      <c r="W41" s="3305"/>
      <c r="X41" s="754"/>
      <c r="Y41" s="776"/>
      <c r="Z41" s="754"/>
      <c r="AA41" s="754"/>
      <c r="AB41" s="754"/>
      <c r="AC41" s="754"/>
    </row>
    <row r="42" spans="1:29" ht="15.75" thickBot="1">
      <c r="A42" s="483" t="s">
        <v>2562</v>
      </c>
      <c r="B42" s="484"/>
      <c r="C42" s="1408" t="e">
        <f>R43</f>
        <v>#DIV/0!</v>
      </c>
      <c r="D42" s="1409"/>
      <c r="E42" s="1410" t="e">
        <f>R42</f>
        <v>#DIV/0!</v>
      </c>
      <c r="F42" s="1410"/>
      <c r="G42" s="1408" t="e">
        <f>T42</f>
        <v>#DIV/0!</v>
      </c>
      <c r="H42" s="1409"/>
      <c r="I42" s="1410" t="e">
        <f>V42</f>
        <v>#DIV/0!</v>
      </c>
      <c r="J42" s="1409"/>
      <c r="K42" s="779"/>
      <c r="L42" s="1140"/>
      <c r="M42" s="1141"/>
      <c r="N42" s="1128"/>
      <c r="O42" s="1141"/>
      <c r="P42" s="3269" t="str">
        <f>A42</f>
        <v>比较价值（元/平方米）</v>
      </c>
      <c r="Q42" s="3269"/>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754"/>
      <c r="Y42" s="754"/>
      <c r="Z42" s="754"/>
      <c r="AA42" s="754"/>
      <c r="AB42" s="754"/>
      <c r="AC42" s="754"/>
    </row>
    <row r="43" spans="1:29" ht="15.75" thickBot="1">
      <c r="A43" s="489" t="s">
        <v>2563</v>
      </c>
      <c r="B43" s="490"/>
      <c r="C43" s="1412" t="e">
        <f>R43</f>
        <v>#DIV/0!</v>
      </c>
      <c r="D43" s="1412"/>
      <c r="E43" s="1412"/>
      <c r="F43" s="1412"/>
      <c r="G43" s="1412"/>
      <c r="H43" s="1412"/>
      <c r="I43" s="1412"/>
      <c r="J43" s="1412"/>
      <c r="K43" s="780"/>
      <c r="L43" s="1140"/>
      <c r="M43" s="1141"/>
      <c r="N43" s="1141"/>
      <c r="O43" s="1141"/>
      <c r="P43" s="3263" t="str">
        <f>A43</f>
        <v>估价对象XX用房的比较价值（楼面单价，元/平方米）</v>
      </c>
      <c r="Q43" s="3264"/>
      <c r="R43" s="3306" t="e">
        <f>IF(F1="售价",ROUND(AVERAGE(R42:V42),0),ROUND(AVERAGE(R42:V42),1))</f>
        <v>#DIV/0!</v>
      </c>
      <c r="S43" s="3306"/>
      <c r="T43" s="3306"/>
      <c r="U43" s="3306"/>
      <c r="V43" s="3306"/>
      <c r="W43" s="3306"/>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2564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2565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2566</v>
      </c>
      <c r="D48" s="498"/>
      <c r="E48" s="496">
        <f>IF(E41&lt;G41,G41/E41-1,E41/G41-1)</f>
        <v>0.19047619047619047</v>
      </c>
      <c r="F48" s="497" t="str">
        <f>IF(OR(E48&gt;=0.3,E48&lt;=-0.3),"超过30%","")</f>
        <v/>
      </c>
      <c r="G48" s="496">
        <f>IF(G41&lt;I41,I41/G41-1,G41/I41-1)</f>
        <v>7.9999999999999849E-2</v>
      </c>
      <c r="H48" s="497" t="str">
        <f>IF(OR(G48&gt;=0.3,G48&lt;=-0.3),"超过30%","")</f>
        <v/>
      </c>
      <c r="I48" s="496">
        <f>IF(I41&lt;E41,E41/I41-1,I41/E41-1)</f>
        <v>0.28571428571428581</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2567</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2571</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98</v>
      </c>
      <c r="G60" s="541">
        <f>F60-$K10</f>
        <v>96</v>
      </c>
      <c r="H60" s="541">
        <f>G60-$K10</f>
        <v>94</v>
      </c>
      <c r="I60" s="541">
        <f>H60-$K10</f>
        <v>92</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98</v>
      </c>
      <c r="E63" s="541">
        <f t="shared" si="18"/>
        <v>96</v>
      </c>
      <c r="F63" s="541">
        <f t="shared" si="18"/>
        <v>94</v>
      </c>
      <c r="G63" s="541">
        <f t="shared" si="18"/>
        <v>92</v>
      </c>
      <c r="H63" s="541">
        <f t="shared" si="18"/>
        <v>90</v>
      </c>
      <c r="I63" s="541">
        <f t="shared" si="18"/>
        <v>88</v>
      </c>
      <c r="J63" s="541">
        <f t="shared" si="18"/>
        <v>86</v>
      </c>
      <c r="K63" s="541">
        <f t="shared" si="18"/>
        <v>84</v>
      </c>
      <c r="L63" s="541">
        <f t="shared" si="18"/>
        <v>82</v>
      </c>
      <c r="M63" s="542">
        <f t="shared" si="18"/>
        <v>80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98</v>
      </c>
      <c r="E71" s="541">
        <f>D71-$K15</f>
        <v>96</v>
      </c>
      <c r="F71" s="541">
        <f>E71-$K15</f>
        <v>94</v>
      </c>
      <c r="G71" s="541">
        <f>F71-$K15</f>
        <v>92</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98</v>
      </c>
      <c r="E73" s="541">
        <f>D73-$K17</f>
        <v>96</v>
      </c>
      <c r="F73" s="541">
        <f>E73-$K17</f>
        <v>94</v>
      </c>
      <c r="G73" s="541">
        <f>F73-$K17</f>
        <v>92</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98</v>
      </c>
      <c r="E75" s="541">
        <f>D75-$K19</f>
        <v>96</v>
      </c>
      <c r="F75" s="541">
        <f>E75-$K19</f>
        <v>94</v>
      </c>
      <c r="G75" s="541">
        <f>F75-$K19</f>
        <v>92</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98</v>
      </c>
      <c r="E77" s="541">
        <f>D77-$K21</f>
        <v>96</v>
      </c>
      <c r="F77" s="541">
        <f>E77-$K21</f>
        <v>94</v>
      </c>
      <c r="G77" s="541">
        <f>F77-$K21</f>
        <v>92</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98</v>
      </c>
      <c r="E79" s="541">
        <f>D79-$K23</f>
        <v>96</v>
      </c>
      <c r="F79" s="541">
        <f>E79-$K23</f>
        <v>94</v>
      </c>
      <c r="G79" s="541">
        <f>F79-$K23</f>
        <v>92</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v>1</v>
      </c>
      <c r="D88" s="527">
        <v>2</v>
      </c>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98</v>
      </c>
      <c r="E89" s="541">
        <f t="shared" si="19"/>
        <v>96</v>
      </c>
      <c r="F89" s="541">
        <f t="shared" si="19"/>
        <v>94</v>
      </c>
      <c r="G89" s="541">
        <f t="shared" si="19"/>
        <v>92</v>
      </c>
      <c r="H89" s="541">
        <f t="shared" si="19"/>
        <v>90</v>
      </c>
      <c r="I89" s="541">
        <f t="shared" si="19"/>
        <v>88</v>
      </c>
      <c r="J89" s="541">
        <f t="shared" si="19"/>
        <v>86</v>
      </c>
      <c r="K89" s="541">
        <f t="shared" si="19"/>
        <v>84</v>
      </c>
      <c r="L89" s="541">
        <f t="shared" si="19"/>
        <v>82</v>
      </c>
      <c r="M89" s="542">
        <f t="shared" si="19"/>
        <v>80</v>
      </c>
      <c r="N89" s="1150"/>
      <c r="O89" s="1150"/>
      <c r="P89" s="45"/>
      <c r="Q89" s="501"/>
    </row>
    <row r="90" spans="1:17" ht="29.25" thickTop="1">
      <c r="A90" s="531"/>
      <c r="B90" s="535" t="s">
        <v>2597</v>
      </c>
      <c r="C90" s="575" t="str">
        <f>C91&amp;"(含)"&amp;"-"&amp;D91</f>
        <v>0(含)-300</v>
      </c>
      <c r="D90" s="575" t="str">
        <f t="shared" ref="D90:L90" si="20">D91&amp;"(含)"&amp;"-"&amp;E91</f>
        <v>300(含)-600</v>
      </c>
      <c r="E90" s="575" t="str">
        <f t="shared" si="20"/>
        <v>600(含)-900</v>
      </c>
      <c r="F90" s="575" t="str">
        <f t="shared" si="20"/>
        <v>900(含)-1200</v>
      </c>
      <c r="G90" s="575" t="str">
        <f t="shared" si="20"/>
        <v>1200(含)-1500</v>
      </c>
      <c r="H90" s="575" t="str">
        <f t="shared" si="20"/>
        <v>1500(含)-2000</v>
      </c>
      <c r="I90" s="575" t="str">
        <f t="shared" si="20"/>
        <v>2000(含)-3000</v>
      </c>
      <c r="J90" s="575" t="str">
        <f t="shared" si="20"/>
        <v>3000(含)-4000</v>
      </c>
      <c r="K90" s="575" t="str">
        <f t="shared" si="20"/>
        <v>4000(含)-</v>
      </c>
      <c r="L90" s="575" t="str">
        <f t="shared" si="20"/>
        <v>(含)-</v>
      </c>
      <c r="M90" s="619" t="str">
        <f>M91&amp;"(含)"&amp;"-"&amp;P91</f>
        <v>(含)-</v>
      </c>
      <c r="N90" s="1148"/>
      <c r="O90" s="1148"/>
      <c r="P90" s="45"/>
      <c r="Q90" s="501"/>
    </row>
    <row r="91" spans="1:17" s="468" customFormat="1">
      <c r="A91" s="590"/>
      <c r="B91" s="591"/>
      <c r="C91" s="592">
        <v>0</v>
      </c>
      <c r="D91" s="592">
        <v>300</v>
      </c>
      <c r="E91" s="592">
        <v>600</v>
      </c>
      <c r="F91" s="592">
        <v>900</v>
      </c>
      <c r="G91" s="592">
        <v>1200</v>
      </c>
      <c r="H91" s="592">
        <v>1500</v>
      </c>
      <c r="I91" s="592">
        <v>2000</v>
      </c>
      <c r="J91" s="593">
        <v>3000</v>
      </c>
      <c r="K91" s="593">
        <v>4000</v>
      </c>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2940" t="s">
        <v>3065</v>
      </c>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98</v>
      </c>
      <c r="E94" s="541">
        <f t="shared" si="21"/>
        <v>96</v>
      </c>
      <c r="F94" s="541">
        <f t="shared" si="21"/>
        <v>94</v>
      </c>
      <c r="G94" s="541">
        <f t="shared" si="21"/>
        <v>92</v>
      </c>
      <c r="H94" s="541">
        <f t="shared" si="21"/>
        <v>90</v>
      </c>
      <c r="I94" s="541">
        <f t="shared" si="21"/>
        <v>88</v>
      </c>
      <c r="J94" s="541">
        <f t="shared" si="21"/>
        <v>86</v>
      </c>
      <c r="K94" s="541">
        <f t="shared" si="21"/>
        <v>84</v>
      </c>
      <c r="L94" s="541">
        <f t="shared" si="21"/>
        <v>82</v>
      </c>
      <c r="M94" s="542">
        <f t="shared" si="21"/>
        <v>80</v>
      </c>
      <c r="N94" s="1150"/>
      <c r="O94" s="1150"/>
      <c r="P94" s="45"/>
      <c r="Q94" s="501"/>
    </row>
    <row r="95" spans="1:17" ht="15" thickTop="1">
      <c r="A95" s="596"/>
      <c r="B95" s="535" t="s">
        <v>2600</v>
      </c>
      <c r="C95" s="2940" t="s">
        <v>3067</v>
      </c>
      <c r="D95" s="2940" t="s">
        <v>3072</v>
      </c>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98</v>
      </c>
      <c r="E96" s="541">
        <f t="shared" si="22"/>
        <v>96</v>
      </c>
      <c r="F96" s="541">
        <f t="shared" si="22"/>
        <v>94</v>
      </c>
      <c r="G96" s="541">
        <f t="shared" si="22"/>
        <v>92</v>
      </c>
      <c r="H96" s="541">
        <f t="shared" si="22"/>
        <v>90</v>
      </c>
      <c r="I96" s="541">
        <f t="shared" si="22"/>
        <v>88</v>
      </c>
      <c r="J96" s="541">
        <f t="shared" si="22"/>
        <v>86</v>
      </c>
      <c r="K96" s="541">
        <f t="shared" si="22"/>
        <v>84</v>
      </c>
      <c r="L96" s="541">
        <f t="shared" si="22"/>
        <v>82</v>
      </c>
      <c r="M96" s="542">
        <f t="shared" si="22"/>
        <v>80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102</v>
      </c>
      <c r="E99" s="541">
        <f t="shared" ref="E99:M99" si="23">D99+$K33</f>
        <v>104</v>
      </c>
      <c r="F99" s="541">
        <f t="shared" si="23"/>
        <v>106</v>
      </c>
      <c r="G99" s="541">
        <f t="shared" si="23"/>
        <v>108</v>
      </c>
      <c r="H99" s="541">
        <f t="shared" si="23"/>
        <v>110</v>
      </c>
      <c r="I99" s="541">
        <f t="shared" si="23"/>
        <v>112</v>
      </c>
      <c r="J99" s="541">
        <f t="shared" si="23"/>
        <v>114</v>
      </c>
      <c r="K99" s="541">
        <f t="shared" si="23"/>
        <v>116</v>
      </c>
      <c r="L99" s="541">
        <f t="shared" si="23"/>
        <v>118</v>
      </c>
      <c r="M99" s="541">
        <f t="shared" si="23"/>
        <v>120</v>
      </c>
      <c r="N99" s="1150"/>
      <c r="O99" s="1150"/>
      <c r="P99" s="45"/>
      <c r="Q99" s="501"/>
    </row>
    <row r="100" spans="1:17" s="468" customFormat="1" ht="15" thickTop="1">
      <c r="A100" s="590"/>
      <c r="B100" s="535" t="s">
        <v>2601</v>
      </c>
      <c r="C100" s="2940" t="s">
        <v>3070</v>
      </c>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98</v>
      </c>
      <c r="E101" s="541">
        <f t="shared" ref="E101:M101" si="24">D101-$K34</f>
        <v>96</v>
      </c>
      <c r="F101" s="541">
        <f t="shared" si="24"/>
        <v>94</v>
      </c>
      <c r="G101" s="541">
        <f t="shared" si="24"/>
        <v>92</v>
      </c>
      <c r="H101" s="541">
        <f t="shared" si="24"/>
        <v>90</v>
      </c>
      <c r="I101" s="541">
        <f t="shared" si="24"/>
        <v>88</v>
      </c>
      <c r="J101" s="541">
        <f t="shared" si="24"/>
        <v>86</v>
      </c>
      <c r="K101" s="541">
        <f t="shared" si="24"/>
        <v>84</v>
      </c>
      <c r="L101" s="541">
        <f t="shared" si="24"/>
        <v>82</v>
      </c>
      <c r="M101" s="541">
        <f t="shared" si="24"/>
        <v>80</v>
      </c>
      <c r="N101" s="1151"/>
      <c r="O101" s="1151"/>
      <c r="P101" s="555"/>
      <c r="Q101" s="556"/>
    </row>
    <row r="102" spans="1:17" ht="15" thickTop="1">
      <c r="A102" s="596"/>
      <c r="B102" s="535" t="s">
        <v>2602</v>
      </c>
      <c r="C102" s="2940" t="s">
        <v>3071</v>
      </c>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98</v>
      </c>
      <c r="E103" s="541">
        <f t="shared" si="25"/>
        <v>96</v>
      </c>
      <c r="F103" s="541">
        <f t="shared" si="25"/>
        <v>94</v>
      </c>
      <c r="G103" s="541">
        <f t="shared" si="25"/>
        <v>92</v>
      </c>
      <c r="H103" s="541">
        <f t="shared" si="25"/>
        <v>90</v>
      </c>
      <c r="I103" s="541">
        <f t="shared" si="25"/>
        <v>88</v>
      </c>
      <c r="J103" s="541">
        <f t="shared" si="25"/>
        <v>86</v>
      </c>
      <c r="K103" s="541">
        <f t="shared" si="25"/>
        <v>84</v>
      </c>
      <c r="L103" s="541">
        <f t="shared" si="25"/>
        <v>82</v>
      </c>
      <c r="M103" s="542">
        <f t="shared" si="25"/>
        <v>80</v>
      </c>
      <c r="N103" s="1150"/>
      <c r="O103" s="1150"/>
      <c r="P103" s="45"/>
      <c r="Q103" s="501"/>
    </row>
    <row r="104" spans="1:17" ht="15" thickTop="1">
      <c r="A104" s="596"/>
      <c r="B104" s="535" t="s">
        <v>2604</v>
      </c>
      <c r="C104" s="2940" t="s">
        <v>3067</v>
      </c>
      <c r="D104" s="2940" t="s">
        <v>3068</v>
      </c>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98</v>
      </c>
      <c r="E105" s="541">
        <f>D105-$K36</f>
        <v>96</v>
      </c>
      <c r="F105" s="541">
        <f>E105-$K36</f>
        <v>94</v>
      </c>
      <c r="G105" s="541">
        <f>F105-$K36</f>
        <v>92</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98</v>
      </c>
      <c r="E107" s="541">
        <f t="shared" si="26"/>
        <v>96</v>
      </c>
      <c r="F107" s="541">
        <f t="shared" si="26"/>
        <v>94</v>
      </c>
      <c r="G107" s="541">
        <f t="shared" si="26"/>
        <v>92</v>
      </c>
      <c r="H107" s="541">
        <f t="shared" si="26"/>
        <v>90</v>
      </c>
      <c r="I107" s="541">
        <f t="shared" si="26"/>
        <v>88</v>
      </c>
      <c r="J107" s="541">
        <f t="shared" si="26"/>
        <v>86</v>
      </c>
      <c r="K107" s="541">
        <f t="shared" si="26"/>
        <v>84</v>
      </c>
      <c r="L107" s="541">
        <f t="shared" si="26"/>
        <v>82</v>
      </c>
      <c r="M107" s="541">
        <f t="shared" si="26"/>
        <v>80</v>
      </c>
      <c r="N107" s="1150"/>
      <c r="O107" s="1150"/>
      <c r="P107" s="45"/>
      <c r="Q107" s="501"/>
    </row>
    <row r="108" spans="1:17" s="468" customFormat="1" ht="15" thickTop="1">
      <c r="A108" s="590"/>
      <c r="B108" s="535">
        <f>B38</f>
        <v>22</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IF(C2="——",ROUND(C50*D3/10000,0),ROUND(C50*D3/10000,0)-D2)</f>
        <v>#N/A</v>
      </c>
      <c r="C2" s="2571" t="s">
        <v>3113</v>
      </c>
      <c r="D2" s="1360" t="e">
        <f ca="1">SUMIF(INDIRECT("'"&amp;F2&amp;"'"&amp;"!A:A"),"承租人权益价值",INDIRECT("'"&amp;F2&amp;"'"&amp;"!c:c"))</f>
        <v>#N/A</v>
      </c>
      <c r="E2" s="2572" t="s">
        <v>2315</v>
      </c>
      <c r="F2" s="2573" t="s">
        <v>3119</v>
      </c>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IF(C2="——",C50,ROUND(B2*10000/D3,0))</f>
        <v>#N/A</v>
      </c>
      <c r="C3" s="398" t="s">
        <v>2628</v>
      </c>
      <c r="D3" s="397">
        <f>IF(D1="",'数据-汇总表'!E3,SUMIF('数据-汇总表'!$C19:$C33,D1,'数据-汇总表'!$E19:$E33))</f>
        <v>64165.63</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321" t="s">
        <v>2635</v>
      </c>
      <c r="Q4" s="3322"/>
      <c r="R4" s="3325" t="s">
        <v>2631</v>
      </c>
      <c r="S4" s="3326"/>
      <c r="T4" s="3325" t="s">
        <v>2632</v>
      </c>
      <c r="U4" s="3326"/>
      <c r="V4" s="3327" t="s">
        <v>2633</v>
      </c>
      <c r="W4" s="3327"/>
      <c r="X4" s="2655"/>
      <c r="Y4" s="3325" t="s">
        <v>2635</v>
      </c>
      <c r="Z4" s="3326"/>
      <c r="AA4" s="3329" t="s">
        <v>2631</v>
      </c>
      <c r="AB4" s="3329" t="s">
        <v>2632</v>
      </c>
      <c r="AC4" s="3318" t="s">
        <v>2633</v>
      </c>
    </row>
    <row r="5" spans="1:29" ht="15">
      <c r="A5" s="402"/>
      <c r="B5" s="403"/>
      <c r="C5" s="3309" t="s">
        <v>3080</v>
      </c>
      <c r="D5" s="3297"/>
      <c r="E5" s="3308" t="s">
        <v>3058</v>
      </c>
      <c r="F5" s="3304"/>
      <c r="G5" s="3309" t="s">
        <v>3125</v>
      </c>
      <c r="H5" s="3297"/>
      <c r="I5" s="3309" t="s">
        <v>3125</v>
      </c>
      <c r="J5" s="3297"/>
      <c r="K5" s="607"/>
      <c r="L5" s="1127"/>
      <c r="M5" s="1128"/>
      <c r="N5" s="1128"/>
      <c r="O5" s="1128"/>
      <c r="P5" s="3323"/>
      <c r="Q5" s="3285"/>
      <c r="R5" s="3290"/>
      <c r="S5" s="3291"/>
      <c r="T5" s="3290"/>
      <c r="U5" s="3291"/>
      <c r="V5" s="3275"/>
      <c r="W5" s="3275"/>
      <c r="X5" s="1807"/>
      <c r="Y5" s="3290"/>
      <c r="Z5" s="3291"/>
      <c r="AA5" s="3277"/>
      <c r="AB5" s="3277"/>
      <c r="AC5" s="3319"/>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324"/>
      <c r="Q6" s="3287"/>
      <c r="R6" s="3290"/>
      <c r="S6" s="3291"/>
      <c r="T6" s="3292"/>
      <c r="U6" s="3293"/>
      <c r="V6" s="3275"/>
      <c r="W6" s="3275"/>
      <c r="X6" s="1807"/>
      <c r="Y6" s="3292"/>
      <c r="Z6" s="3293"/>
      <c r="AA6" s="3278"/>
      <c r="AB6" s="3278"/>
      <c r="AC6" s="3320"/>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8"/>
      <c r="L7" s="1129"/>
      <c r="M7" s="1130"/>
      <c r="N7" s="1130"/>
      <c r="O7" s="1130"/>
      <c r="P7" s="332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2656">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8"/>
      <c r="L8" s="1129"/>
      <c r="M8" s="1130"/>
      <c r="N8" s="1130"/>
      <c r="O8" s="1130"/>
      <c r="P8" s="3328" t="s">
        <v>2536</v>
      </c>
      <c r="Q8" s="3299"/>
      <c r="R8" s="765" t="s">
        <v>17</v>
      </c>
      <c r="S8" s="766">
        <f t="shared" si="0"/>
        <v>100</v>
      </c>
      <c r="T8" s="765" t="s">
        <v>17</v>
      </c>
      <c r="U8" s="766">
        <f t="shared" si="1"/>
        <v>100</v>
      </c>
      <c r="V8" s="765" t="s">
        <v>17</v>
      </c>
      <c r="W8" s="766">
        <f t="shared" si="2"/>
        <v>100</v>
      </c>
      <c r="X8" s="767"/>
      <c r="Y8" s="3298" t="s">
        <v>2536</v>
      </c>
      <c r="Z8" s="3299"/>
      <c r="AA8" s="768">
        <f t="shared" ref="AA8:AA47" si="3">D8/F8</f>
        <v>1</v>
      </c>
      <c r="AB8" s="768">
        <f t="shared" ref="AB8:AB47" si="4">D8/H8</f>
        <v>1</v>
      </c>
      <c r="AC8" s="2656">
        <f t="shared" ref="AC8:AC47" si="5">D8/J8</f>
        <v>1</v>
      </c>
    </row>
    <row r="9" spans="1:29" s="116" customFormat="1">
      <c r="A9" s="413" t="s">
        <v>2537</v>
      </c>
      <c r="B9" s="71" t="s">
        <v>2538</v>
      </c>
      <c r="C9" s="2934" t="s">
        <v>3102</v>
      </c>
      <c r="D9" s="133">
        <v>100</v>
      </c>
      <c r="E9" s="417" t="s">
        <v>3101</v>
      </c>
      <c r="F9" s="133">
        <f>SUMIF(64:64,E9,65:65)-SUMIF(64:64,C9,65:65)+100</f>
        <v>100</v>
      </c>
      <c r="G9" s="415" t="s">
        <v>3101</v>
      </c>
      <c r="H9" s="133">
        <f>SUMIF(64:64,G9,65:65)-SUMIF(64:64,C9,65:65)+100</f>
        <v>100</v>
      </c>
      <c r="I9" s="415" t="s">
        <v>3101</v>
      </c>
      <c r="J9" s="133">
        <f>SUMIF(64:64,I9,65:65)-SUMIF(64:64,C9,65:65)+100</f>
        <v>100</v>
      </c>
      <c r="K9" s="608"/>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2656">
        <f t="shared" si="5"/>
        <v>1</v>
      </c>
    </row>
    <row r="10" spans="1:29" s="424" customFormat="1" ht="27">
      <c r="A10" s="418"/>
      <c r="B10" s="419" t="s">
        <v>2541</v>
      </c>
      <c r="C10" s="420" t="s">
        <v>3050</v>
      </c>
      <c r="D10" s="134">
        <v>100</v>
      </c>
      <c r="E10" s="420" t="s">
        <v>3050</v>
      </c>
      <c r="F10" s="134">
        <f>SUMIF(66:66,E10,67:67)-SUMIF(66:66,C10,67:67)+100</f>
        <v>100</v>
      </c>
      <c r="G10" s="421" t="s">
        <v>3050</v>
      </c>
      <c r="H10" s="134">
        <f>SUMIF(66:66,G10,67:67)-SUMIF(66:66,C10,67:67)+100</f>
        <v>100</v>
      </c>
      <c r="I10" s="420" t="s">
        <v>3050</v>
      </c>
      <c r="J10" s="134">
        <f>SUMIF(66:66,I10,67:67)-SUMIF(66:66,C10,67:67)+100</f>
        <v>100</v>
      </c>
      <c r="K10" s="609">
        <v>1</v>
      </c>
      <c r="L10" s="1132"/>
      <c r="M10" s="1133"/>
      <c r="N10" s="1133"/>
      <c r="O10" s="1133"/>
      <c r="P10" s="3268"/>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2656">
        <f t="shared" si="5"/>
        <v>1</v>
      </c>
    </row>
    <row r="11" spans="1:29" ht="15">
      <c r="A11" s="425"/>
      <c r="B11" s="419" t="s">
        <v>2542</v>
      </c>
      <c r="C11" s="426">
        <v>0</v>
      </c>
      <c r="D11" s="134">
        <v>100</v>
      </c>
      <c r="E11" s="426">
        <v>0</v>
      </c>
      <c r="F11" s="134">
        <f>LOOKUP(E11,69:69,70:70)-LOOKUP(C11,69:69,70:70)+100</f>
        <v>100</v>
      </c>
      <c r="G11" s="427">
        <v>0</v>
      </c>
      <c r="H11" s="134">
        <f>LOOKUP(G11,69:69,70:70)-LOOKUP(C11,69:69,70:70)+100</f>
        <v>100</v>
      </c>
      <c r="I11" s="426">
        <v>0</v>
      </c>
      <c r="J11" s="134">
        <f>LOOKUP(I11,69:69,70:70)-LOOKUP(C11,69:69,70:70)+100</f>
        <v>100</v>
      </c>
      <c r="K11" s="609"/>
      <c r="L11" s="1135"/>
      <c r="M11" s="1128"/>
      <c r="N11" s="1128"/>
      <c r="O11" s="1128"/>
      <c r="P11" s="3268"/>
      <c r="Q11" s="1789" t="str">
        <f t="shared" si="6"/>
        <v>容积率</v>
      </c>
      <c r="R11" s="765" t="s">
        <v>17</v>
      </c>
      <c r="S11" s="766">
        <f t="shared" si="0"/>
        <v>100</v>
      </c>
      <c r="T11" s="765" t="s">
        <v>17</v>
      </c>
      <c r="U11" s="766">
        <f t="shared" si="1"/>
        <v>100</v>
      </c>
      <c r="V11" s="765" t="s">
        <v>17</v>
      </c>
      <c r="W11" s="766">
        <f t="shared" si="2"/>
        <v>100</v>
      </c>
      <c r="X11" s="767"/>
      <c r="Y11" s="3117"/>
      <c r="Z11" s="55" t="str">
        <f t="shared" si="7"/>
        <v>容积率</v>
      </c>
      <c r="AA11" s="768">
        <f t="shared" si="3"/>
        <v>1</v>
      </c>
      <c r="AB11" s="768">
        <f t="shared" si="4"/>
        <v>1</v>
      </c>
      <c r="AC11" s="2656">
        <f t="shared" si="5"/>
        <v>1</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268"/>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268"/>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268"/>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100</v>
      </c>
      <c r="G15" s="439"/>
      <c r="H15" s="438">
        <f>SUMIF(77:77,G16,78:78)-SUMIF(77:77,C16,78:78)+100</f>
        <v>100</v>
      </c>
      <c r="I15" s="439"/>
      <c r="J15" s="438">
        <f>SUMIF(77:77,I16,78:78)-SUMIF(77:77,C16,78:78)+100</f>
        <v>100</v>
      </c>
      <c r="K15" s="611">
        <v>2</v>
      </c>
      <c r="L15" s="1137"/>
      <c r="M15" s="1128"/>
      <c r="N15" s="1128"/>
      <c r="O15" s="1128"/>
      <c r="P15" s="3313" t="s">
        <v>2544</v>
      </c>
      <c r="Q15" s="1804" t="str">
        <f t="shared" si="6"/>
        <v>办公集聚程度</v>
      </c>
      <c r="R15" s="769" t="s">
        <v>17</v>
      </c>
      <c r="S15" s="770">
        <f t="shared" si="0"/>
        <v>100</v>
      </c>
      <c r="T15" s="769" t="s">
        <v>17</v>
      </c>
      <c r="U15" s="770">
        <f t="shared" si="1"/>
        <v>100</v>
      </c>
      <c r="V15" s="769" t="s">
        <v>17</v>
      </c>
      <c r="W15" s="770">
        <f t="shared" si="2"/>
        <v>100</v>
      </c>
      <c r="X15" s="1807"/>
      <c r="Y15" s="3271" t="s">
        <v>2544</v>
      </c>
      <c r="Z15" s="1808" t="str">
        <f t="shared" si="7"/>
        <v>办公集聚程度</v>
      </c>
      <c r="AA15" s="1805">
        <f t="shared" si="3"/>
        <v>1</v>
      </c>
      <c r="AB15" s="1805">
        <f t="shared" si="4"/>
        <v>1</v>
      </c>
      <c r="AC15" s="2659">
        <f t="shared" si="5"/>
        <v>1</v>
      </c>
    </row>
    <row r="16" spans="1:29" ht="15">
      <c r="A16" s="425"/>
      <c r="B16" s="627"/>
      <c r="C16" s="2596" t="s">
        <v>3055</v>
      </c>
      <c r="D16" s="445"/>
      <c r="E16" s="444" t="s">
        <v>3055</v>
      </c>
      <c r="F16" s="445"/>
      <c r="G16" s="2596" t="s">
        <v>3055</v>
      </c>
      <c r="H16" s="447"/>
      <c r="I16" s="444" t="s">
        <v>3055</v>
      </c>
      <c r="J16" s="445"/>
      <c r="K16" s="612"/>
      <c r="L16" s="1137"/>
      <c r="M16" s="1128"/>
      <c r="N16" s="1128"/>
      <c r="O16" s="1128"/>
      <c r="P16" s="3314"/>
      <c r="Q16" s="1804"/>
      <c r="R16" s="769"/>
      <c r="S16" s="770"/>
      <c r="T16" s="769"/>
      <c r="U16" s="770"/>
      <c r="V16" s="769"/>
      <c r="W16" s="770"/>
      <c r="X16" s="1807"/>
      <c r="Y16" s="3272"/>
      <c r="Z16" s="1808"/>
      <c r="AA16" s="1805">
        <v>1</v>
      </c>
      <c r="AB16" s="1805">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v>2</v>
      </c>
      <c r="L17" s="1137"/>
      <c r="M17" s="1128"/>
      <c r="N17" s="1128"/>
      <c r="O17" s="1128"/>
      <c r="P17" s="3314"/>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2659">
        <f t="shared" si="5"/>
        <v>1</v>
      </c>
    </row>
    <row r="18" spans="1:29" ht="15">
      <c r="A18" s="425"/>
      <c r="B18" s="629"/>
      <c r="C18" s="2661" t="s">
        <v>3055</v>
      </c>
      <c r="D18" s="447"/>
      <c r="E18" s="2594" t="s">
        <v>3055</v>
      </c>
      <c r="F18" s="447"/>
      <c r="G18" s="2595" t="s">
        <v>3055</v>
      </c>
      <c r="H18" s="445"/>
      <c r="I18" s="2595" t="s">
        <v>3055</v>
      </c>
      <c r="J18" s="445"/>
      <c r="K18" s="612"/>
      <c r="L18" s="1137"/>
      <c r="M18" s="1128"/>
      <c r="N18" s="1128"/>
      <c r="O18" s="1128"/>
      <c r="P18" s="3314"/>
      <c r="Q18" s="1804"/>
      <c r="R18" s="769"/>
      <c r="S18" s="770"/>
      <c r="T18" s="769"/>
      <c r="U18" s="770"/>
      <c r="V18" s="769"/>
      <c r="W18" s="770"/>
      <c r="X18" s="1807"/>
      <c r="Y18" s="3272"/>
      <c r="Z18" s="1808"/>
      <c r="AA18" s="1805">
        <v>1</v>
      </c>
      <c r="AB18" s="1805">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v>1</v>
      </c>
      <c r="L19" s="1137"/>
      <c r="M19" s="1128"/>
      <c r="N19" s="1128"/>
      <c r="O19" s="1128"/>
      <c r="P19" s="3314"/>
      <c r="Q19" s="1804" t="str">
        <f>B19</f>
        <v>公共配套设施</v>
      </c>
      <c r="R19" s="769" t="s">
        <v>17</v>
      </c>
      <c r="S19" s="770">
        <f>F19</f>
        <v>100</v>
      </c>
      <c r="T19" s="769" t="s">
        <v>17</v>
      </c>
      <c r="U19" s="770">
        <f>H19</f>
        <v>100</v>
      </c>
      <c r="V19" s="769" t="s">
        <v>17</v>
      </c>
      <c r="W19" s="770">
        <f>J19</f>
        <v>100</v>
      </c>
      <c r="X19" s="1807"/>
      <c r="Y19" s="3272"/>
      <c r="Z19" s="1808" t="str">
        <f>Q19</f>
        <v>公共配套设施</v>
      </c>
      <c r="AA19" s="1805">
        <f t="shared" si="3"/>
        <v>1</v>
      </c>
      <c r="AB19" s="1805">
        <f t="shared" si="4"/>
        <v>1</v>
      </c>
      <c r="AC19" s="2659">
        <f t="shared" si="5"/>
        <v>1</v>
      </c>
    </row>
    <row r="20" spans="1:29" ht="15">
      <c r="A20" s="425"/>
      <c r="B20" s="629"/>
      <c r="C20" s="2596" t="s">
        <v>3055</v>
      </c>
      <c r="D20" s="445"/>
      <c r="E20" s="2589" t="s">
        <v>3055</v>
      </c>
      <c r="F20" s="445"/>
      <c r="G20" s="2590" t="s">
        <v>3055</v>
      </c>
      <c r="H20" s="445"/>
      <c r="I20" s="2590" t="s">
        <v>3055</v>
      </c>
      <c r="J20" s="445"/>
      <c r="K20" s="612"/>
      <c r="L20" s="1137"/>
      <c r="M20" s="1128"/>
      <c r="N20" s="1128"/>
      <c r="O20" s="1128"/>
      <c r="P20" s="3314"/>
      <c r="Q20" s="1804"/>
      <c r="R20" s="769"/>
      <c r="S20" s="770"/>
      <c r="T20" s="769"/>
      <c r="U20" s="770"/>
      <c r="V20" s="769"/>
      <c r="W20" s="770"/>
      <c r="X20" s="1807"/>
      <c r="Y20" s="3272"/>
      <c r="Z20" s="1808"/>
      <c r="AA20" s="1805">
        <v>1</v>
      </c>
      <c r="AB20" s="1805">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v>1</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2659">
        <f t="shared" ref="AC21" si="10">D21/J21</f>
        <v>1</v>
      </c>
    </row>
    <row r="22" spans="1:29" ht="15">
      <c r="A22" s="425"/>
      <c r="B22" s="630"/>
      <c r="C22" s="2661" t="s">
        <v>3100</v>
      </c>
      <c r="D22" s="445"/>
      <c r="E22" s="444" t="s">
        <v>3100</v>
      </c>
      <c r="F22" s="445"/>
      <c r="G22" s="2596" t="s">
        <v>3100</v>
      </c>
      <c r="H22" s="445"/>
      <c r="I22" s="2596" t="s">
        <v>3100</v>
      </c>
      <c r="J22" s="445"/>
      <c r="K22" s="1378"/>
      <c r="L22" s="1137"/>
      <c r="M22" s="1128"/>
      <c r="N22" s="1128"/>
      <c r="O22" s="1128"/>
      <c r="P22" s="3314"/>
      <c r="Q22" s="1804"/>
      <c r="R22" s="769"/>
      <c r="S22" s="770"/>
      <c r="T22" s="769"/>
      <c r="U22" s="770"/>
      <c r="V22" s="769"/>
      <c r="W22" s="770"/>
      <c r="X22" s="1807"/>
      <c r="Y22" s="3272"/>
      <c r="Z22" s="1808"/>
      <c r="AA22" s="1805">
        <v>1</v>
      </c>
      <c r="AB22" s="1805">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v>1</v>
      </c>
      <c r="L23" s="1137"/>
      <c r="M23" s="1128"/>
      <c r="N23" s="1128"/>
      <c r="O23" s="1128"/>
      <c r="P23" s="3314"/>
      <c r="Q23" s="1804" t="str">
        <f>B23</f>
        <v>环境质量</v>
      </c>
      <c r="R23" s="769" t="s">
        <v>17</v>
      </c>
      <c r="S23" s="770">
        <f>F23</f>
        <v>100</v>
      </c>
      <c r="T23" s="769" t="s">
        <v>17</v>
      </c>
      <c r="U23" s="770">
        <f>H23</f>
        <v>100</v>
      </c>
      <c r="V23" s="769" t="s">
        <v>17</v>
      </c>
      <c r="W23" s="770">
        <f>J23</f>
        <v>100</v>
      </c>
      <c r="X23" s="1807"/>
      <c r="Y23" s="3272"/>
      <c r="Z23" s="1808" t="str">
        <f>Q23</f>
        <v>环境质量</v>
      </c>
      <c r="AA23" s="1805">
        <f t="shared" si="3"/>
        <v>1</v>
      </c>
      <c r="AB23" s="1805">
        <f t="shared" si="4"/>
        <v>1</v>
      </c>
      <c r="AC23" s="2659">
        <f t="shared" si="5"/>
        <v>1</v>
      </c>
    </row>
    <row r="24" spans="1:29" ht="15">
      <c r="A24" s="425"/>
      <c r="B24" s="630"/>
      <c r="C24" s="2596" t="s">
        <v>3055</v>
      </c>
      <c r="D24" s="445"/>
      <c r="E24" s="2589" t="s">
        <v>3055</v>
      </c>
      <c r="F24" s="445"/>
      <c r="G24" s="2590" t="s">
        <v>3055</v>
      </c>
      <c r="H24" s="445"/>
      <c r="I24" s="2590" t="s">
        <v>3055</v>
      </c>
      <c r="J24" s="445"/>
      <c r="K24" s="612"/>
      <c r="L24" s="1137"/>
      <c r="M24" s="1128"/>
      <c r="N24" s="1128"/>
      <c r="O24" s="1128"/>
      <c r="P24" s="3314"/>
      <c r="Q24" s="1804"/>
      <c r="R24" s="769"/>
      <c r="S24" s="770"/>
      <c r="T24" s="769"/>
      <c r="U24" s="770"/>
      <c r="V24" s="769"/>
      <c r="W24" s="770"/>
      <c r="X24" s="1807"/>
      <c r="Y24" s="3272"/>
      <c r="Z24" s="1808"/>
      <c r="AA24" s="1805">
        <v>1</v>
      </c>
      <c r="AB24" s="1805">
        <v>1</v>
      </c>
      <c r="AC24" s="2659">
        <v>1</v>
      </c>
    </row>
    <row r="25" spans="1:29" ht="27">
      <c r="A25" s="402"/>
      <c r="B25" s="628" t="s">
        <v>2675</v>
      </c>
      <c r="C25" s="2943" t="s">
        <v>3106</v>
      </c>
      <c r="D25" s="432">
        <v>100</v>
      </c>
      <c r="E25" s="2944" t="s">
        <v>3105</v>
      </c>
      <c r="F25" s="432">
        <f>SUMIF(87:87,E26,88:88)-SUMIF(87:87,C26,88:88)+100</f>
        <v>100</v>
      </c>
      <c r="G25" s="2943" t="str">
        <f>C25</f>
        <v>广场南三路</v>
      </c>
      <c r="H25" s="432">
        <f>SUMIF(87:87,G26,88:88)-SUMIF(87:87,C26,88:88)+100</f>
        <v>100</v>
      </c>
      <c r="I25" s="2944" t="str">
        <f>C25</f>
        <v>广场南三路</v>
      </c>
      <c r="J25" s="432">
        <f>SUMIF(87:87,I26,88:88)-SUMIF(87:87,C26,88:88)+100</f>
        <v>100</v>
      </c>
      <c r="K25" s="611">
        <v>2</v>
      </c>
      <c r="L25" s="1137"/>
      <c r="M25" s="1128"/>
      <c r="N25" s="1128"/>
      <c r="O25" s="1128"/>
      <c r="P25" s="3314"/>
      <c r="Q25" s="1804" t="str">
        <f>B25</f>
        <v>毗邻道路的类型与等级</v>
      </c>
      <c r="R25" s="769" t="s">
        <v>17</v>
      </c>
      <c r="S25" s="770">
        <f>F25</f>
        <v>100</v>
      </c>
      <c r="T25" s="769" t="s">
        <v>17</v>
      </c>
      <c r="U25" s="770">
        <f>H25</f>
        <v>100</v>
      </c>
      <c r="V25" s="769" t="s">
        <v>17</v>
      </c>
      <c r="W25" s="770">
        <f>J25</f>
        <v>100</v>
      </c>
      <c r="X25" s="1807"/>
      <c r="Y25" s="3272"/>
      <c r="Z25" s="1808" t="str">
        <f>Q25</f>
        <v>毗邻道路的类型与等级</v>
      </c>
      <c r="AA25" s="1805">
        <f t="shared" si="3"/>
        <v>1</v>
      </c>
      <c r="AB25" s="1805">
        <f t="shared" si="4"/>
        <v>1</v>
      </c>
      <c r="AC25" s="2659">
        <f t="shared" si="5"/>
        <v>1</v>
      </c>
    </row>
    <row r="26" spans="1:29" ht="15">
      <c r="A26" s="402"/>
      <c r="B26" s="629"/>
      <c r="C26" s="631" t="s">
        <v>3104</v>
      </c>
      <c r="D26" s="432"/>
      <c r="E26" s="613" t="s">
        <v>3104</v>
      </c>
      <c r="F26" s="432"/>
      <c r="G26" s="631" t="s">
        <v>3104</v>
      </c>
      <c r="H26" s="432"/>
      <c r="I26" s="613" t="s">
        <v>3104</v>
      </c>
      <c r="J26" s="432"/>
      <c r="K26" s="612"/>
      <c r="L26" s="1137"/>
      <c r="M26" s="1128"/>
      <c r="N26" s="1128"/>
      <c r="O26" s="1128"/>
      <c r="P26" s="3314"/>
      <c r="Q26" s="1804"/>
      <c r="R26" s="769"/>
      <c r="S26" s="770"/>
      <c r="T26" s="769"/>
      <c r="U26" s="770"/>
      <c r="V26" s="769"/>
      <c r="W26" s="770"/>
      <c r="X26" s="1807"/>
      <c r="Y26" s="3272"/>
      <c r="Z26" s="1808"/>
      <c r="AA26" s="1805">
        <v>1</v>
      </c>
      <c r="AB26" s="1805">
        <v>1</v>
      </c>
      <c r="AC26" s="2659">
        <v>1</v>
      </c>
    </row>
    <row r="27" spans="1:29" ht="15">
      <c r="A27" s="425"/>
      <c r="B27" s="629" t="s">
        <v>2643</v>
      </c>
      <c r="C27" s="631" t="s">
        <v>3109</v>
      </c>
      <c r="D27" s="432">
        <v>100</v>
      </c>
      <c r="E27" s="613" t="s">
        <v>3109</v>
      </c>
      <c r="F27" s="432">
        <f>SUMIF(89:89,E27,90:90)-SUMIF(89:89,C27,90:90)+100</f>
        <v>100</v>
      </c>
      <c r="G27" s="631" t="s">
        <v>3109</v>
      </c>
      <c r="H27" s="432">
        <f>SUMIF(89:89,G27,90:90)-SUMIF(89:89,C27,90:90)+100</f>
        <v>100</v>
      </c>
      <c r="I27" s="613" t="s">
        <v>3111</v>
      </c>
      <c r="J27" s="432">
        <f>SUMIF(89:89,I27,90:90)-SUMIF(89:89,C27,90:90)+100</f>
        <v>99</v>
      </c>
      <c r="K27" s="609">
        <v>1</v>
      </c>
      <c r="L27" s="1137"/>
      <c r="M27" s="1128"/>
      <c r="N27" s="1128"/>
      <c r="O27" s="1128"/>
      <c r="P27" s="3314"/>
      <c r="Q27" s="1804" t="str">
        <f t="shared" ref="Q27:Q47" si="11">B27</f>
        <v>楼层</v>
      </c>
      <c r="R27" s="769" t="s">
        <v>17</v>
      </c>
      <c r="S27" s="770">
        <f>F27</f>
        <v>100</v>
      </c>
      <c r="T27" s="769" t="s">
        <v>17</v>
      </c>
      <c r="U27" s="770">
        <f>H27</f>
        <v>100</v>
      </c>
      <c r="V27" s="769" t="s">
        <v>17</v>
      </c>
      <c r="W27" s="770">
        <f>J27</f>
        <v>99</v>
      </c>
      <c r="X27" s="1807"/>
      <c r="Y27" s="3272"/>
      <c r="Z27" s="1808" t="str">
        <f>Q27</f>
        <v>楼层</v>
      </c>
      <c r="AA27" s="1805">
        <f t="shared" si="3"/>
        <v>1</v>
      </c>
      <c r="AB27" s="1805">
        <f t="shared" si="4"/>
        <v>1</v>
      </c>
      <c r="AC27" s="2659">
        <f t="shared" si="5"/>
        <v>1.0101010101010102</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14"/>
      <c r="Q28" s="1789" t="str">
        <f t="shared" si="11"/>
        <v>朝向</v>
      </c>
      <c r="R28" s="765" t="s">
        <v>17</v>
      </c>
      <c r="S28" s="766">
        <f>F28</f>
        <v>100</v>
      </c>
      <c r="T28" s="765" t="s">
        <v>17</v>
      </c>
      <c r="U28" s="766">
        <f>H28</f>
        <v>100</v>
      </c>
      <c r="V28" s="765" t="s">
        <v>17</v>
      </c>
      <c r="W28" s="766">
        <f>J28</f>
        <v>100</v>
      </c>
      <c r="X28" s="767"/>
      <c r="Y28" s="3272"/>
      <c r="Z28" s="55" t="str">
        <f>Q28</f>
        <v>朝向</v>
      </c>
      <c r="AA28" s="1805">
        <f>D28/F28</f>
        <v>1</v>
      </c>
      <c r="AB28" s="1805">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14"/>
      <c r="Q29" s="1804">
        <f t="shared" si="11"/>
        <v>111</v>
      </c>
      <c r="R29" s="769" t="s">
        <v>17</v>
      </c>
      <c r="S29" s="770">
        <f t="shared" ref="S29:S47" si="12">F29</f>
        <v>100</v>
      </c>
      <c r="T29" s="769" t="s">
        <v>17</v>
      </c>
      <c r="U29" s="770">
        <f t="shared" ref="U29:U47" si="13">H29</f>
        <v>100</v>
      </c>
      <c r="V29" s="769" t="s">
        <v>17</v>
      </c>
      <c r="W29" s="770">
        <f t="shared" ref="W29:W47" si="14">J29</f>
        <v>100</v>
      </c>
      <c r="X29" s="1807"/>
      <c r="Y29" s="3272"/>
      <c r="Z29" s="1808">
        <f t="shared" ref="Z29:Z47" si="15">Q29</f>
        <v>111</v>
      </c>
      <c r="AA29" s="1805">
        <f t="shared" si="3"/>
        <v>1</v>
      </c>
      <c r="AB29" s="1805">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14"/>
      <c r="Q30" s="1804">
        <f t="shared" si="11"/>
        <v>111</v>
      </c>
      <c r="R30" s="769" t="s">
        <v>17</v>
      </c>
      <c r="S30" s="770">
        <f t="shared" si="12"/>
        <v>100</v>
      </c>
      <c r="T30" s="769" t="s">
        <v>17</v>
      </c>
      <c r="U30" s="770">
        <f t="shared" si="13"/>
        <v>100</v>
      </c>
      <c r="V30" s="769" t="s">
        <v>17</v>
      </c>
      <c r="W30" s="770">
        <f t="shared" si="14"/>
        <v>100</v>
      </c>
      <c r="X30" s="1807"/>
      <c r="Y30" s="3272"/>
      <c r="Z30" s="1808">
        <f t="shared" si="15"/>
        <v>111</v>
      </c>
      <c r="AA30" s="1805">
        <f t="shared" si="3"/>
        <v>1</v>
      </c>
      <c r="AB30" s="1805">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14"/>
      <c r="Q31" s="1804">
        <f t="shared" si="11"/>
        <v>111</v>
      </c>
      <c r="R31" s="769" t="s">
        <v>17</v>
      </c>
      <c r="S31" s="770">
        <f t="shared" si="12"/>
        <v>100</v>
      </c>
      <c r="T31" s="769" t="s">
        <v>17</v>
      </c>
      <c r="U31" s="770">
        <f t="shared" si="13"/>
        <v>100</v>
      </c>
      <c r="V31" s="769" t="s">
        <v>17</v>
      </c>
      <c r="W31" s="770">
        <f t="shared" si="14"/>
        <v>100</v>
      </c>
      <c r="X31" s="1807"/>
      <c r="Y31" s="3272"/>
      <c r="Z31" s="1808">
        <f t="shared" si="15"/>
        <v>111</v>
      </c>
      <c r="AA31" s="1805">
        <f t="shared" si="3"/>
        <v>1</v>
      </c>
      <c r="AB31" s="1805">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14"/>
      <c r="Q32" s="1804">
        <f t="shared" si="11"/>
        <v>111</v>
      </c>
      <c r="R32" s="769" t="s">
        <v>17</v>
      </c>
      <c r="S32" s="770">
        <f t="shared" si="12"/>
        <v>100</v>
      </c>
      <c r="T32" s="769" t="s">
        <v>17</v>
      </c>
      <c r="U32" s="770">
        <f t="shared" si="13"/>
        <v>100</v>
      </c>
      <c r="V32" s="769" t="s">
        <v>17</v>
      </c>
      <c r="W32" s="770">
        <f t="shared" si="14"/>
        <v>100</v>
      </c>
      <c r="X32" s="1807"/>
      <c r="Y32" s="3272"/>
      <c r="Z32" s="1808">
        <f t="shared" si="15"/>
        <v>111</v>
      </c>
      <c r="AA32" s="1805">
        <f t="shared" si="3"/>
        <v>1</v>
      </c>
      <c r="AB32" s="1805">
        <f t="shared" si="4"/>
        <v>1</v>
      </c>
      <c r="AC32" s="2659">
        <f t="shared" si="5"/>
        <v>1</v>
      </c>
    </row>
    <row r="33" spans="1:29" ht="15">
      <c r="A33" s="437" t="s">
        <v>2547</v>
      </c>
      <c r="B33" s="71" t="s">
        <v>2677</v>
      </c>
      <c r="C33" s="2664" t="s">
        <v>3077</v>
      </c>
      <c r="D33" s="464">
        <v>100</v>
      </c>
      <c r="E33" s="2664" t="s">
        <v>3077</v>
      </c>
      <c r="F33" s="458">
        <f>SUMIF(101:101,E33,102:102)-SUMIF(101:101,C33,102:102)+100</f>
        <v>100</v>
      </c>
      <c r="G33" s="2664" t="s">
        <v>3077</v>
      </c>
      <c r="H33" s="432">
        <f>SUMIF(101:101,G33,102:102)-SUMIF(101:101,C33,102:102)+100</f>
        <v>100</v>
      </c>
      <c r="I33" s="2664" t="s">
        <v>3077</v>
      </c>
      <c r="J33" s="464">
        <f>SUMIF(101:101,I33,102:102)-SUMIF(101:101,C33,102:102)+100</f>
        <v>100</v>
      </c>
      <c r="K33" s="609">
        <v>1</v>
      </c>
      <c r="L33" s="1137"/>
      <c r="M33" s="1128"/>
      <c r="N33" s="1128"/>
      <c r="O33" s="1128"/>
      <c r="P33" s="3315" t="s">
        <v>2549</v>
      </c>
      <c r="Q33" s="1804" t="str">
        <f t="shared" si="11"/>
        <v>建筑类型</v>
      </c>
      <c r="R33" s="769" t="s">
        <v>17</v>
      </c>
      <c r="S33" s="770">
        <f t="shared" si="12"/>
        <v>100</v>
      </c>
      <c r="T33" s="769" t="s">
        <v>17</v>
      </c>
      <c r="U33" s="770">
        <f t="shared" si="13"/>
        <v>100</v>
      </c>
      <c r="V33" s="769" t="s">
        <v>17</v>
      </c>
      <c r="W33" s="770">
        <f t="shared" si="14"/>
        <v>100</v>
      </c>
      <c r="X33" s="1807"/>
      <c r="Y33" s="3274" t="s">
        <v>2549</v>
      </c>
      <c r="Z33" s="1808" t="str">
        <f t="shared" si="15"/>
        <v>建筑类型</v>
      </c>
      <c r="AA33" s="1805">
        <f t="shared" si="3"/>
        <v>1</v>
      </c>
      <c r="AB33" s="1805">
        <f t="shared" si="4"/>
        <v>1</v>
      </c>
      <c r="AC33" s="2659">
        <f t="shared" si="5"/>
        <v>1</v>
      </c>
    </row>
    <row r="34" spans="1:29" s="468" customFormat="1" ht="15">
      <c r="A34" s="465"/>
      <c r="B34" s="419" t="s">
        <v>2550</v>
      </c>
      <c r="C34" s="466">
        <v>1921.93</v>
      </c>
      <c r="D34" s="134">
        <v>100</v>
      </c>
      <c r="E34" s="427">
        <f>E42</f>
        <v>1637</v>
      </c>
      <c r="F34" s="422">
        <f>LOOKUP(E34,104:104,105:105)-LOOKUP(C34,104:104,105:105)+100</f>
        <v>100</v>
      </c>
      <c r="G34" s="426">
        <f>G45</f>
        <v>2160</v>
      </c>
      <c r="H34" s="134">
        <f>LOOKUP(G34,104:104,105:105)-LOOKUP(C34,104:104,105:105)+100</f>
        <v>98</v>
      </c>
      <c r="I34" s="426">
        <f>I45</f>
        <v>1580</v>
      </c>
      <c r="J34" s="134">
        <f>LOOKUP(I34,104:104,105:105)-LOOKUP(C34,104:104,105:105)+100</f>
        <v>100</v>
      </c>
      <c r="K34" s="610"/>
      <c r="L34" s="1135"/>
      <c r="M34" s="1138"/>
      <c r="N34" s="1138"/>
      <c r="O34" s="1138"/>
      <c r="P34" s="3316"/>
      <c r="Q34" s="771" t="str">
        <f t="shared" si="11"/>
        <v>项目建筑规模</v>
      </c>
      <c r="R34" s="772" t="s">
        <v>17</v>
      </c>
      <c r="S34" s="773">
        <f t="shared" si="12"/>
        <v>100</v>
      </c>
      <c r="T34" s="772" t="s">
        <v>17</v>
      </c>
      <c r="U34" s="773">
        <f t="shared" si="13"/>
        <v>98</v>
      </c>
      <c r="V34" s="772" t="s">
        <v>17</v>
      </c>
      <c r="W34" s="773">
        <f t="shared" si="14"/>
        <v>100</v>
      </c>
      <c r="X34" s="774"/>
      <c r="Y34" s="3274"/>
      <c r="Z34" s="775" t="str">
        <f t="shared" si="15"/>
        <v>项目建筑规模</v>
      </c>
      <c r="AA34" s="1805">
        <f t="shared" si="3"/>
        <v>1</v>
      </c>
      <c r="AB34" s="1805">
        <f t="shared" si="4"/>
        <v>1.0204081632653061</v>
      </c>
      <c r="AC34" s="2659">
        <f t="shared" si="5"/>
        <v>1</v>
      </c>
    </row>
    <row r="35" spans="1:29" ht="15">
      <c r="A35" s="469"/>
      <c r="B35" s="419" t="s">
        <v>2551</v>
      </c>
      <c r="C35" s="457" t="s">
        <v>3043</v>
      </c>
      <c r="D35" s="432">
        <v>100</v>
      </c>
      <c r="E35" s="457" t="s">
        <v>3043</v>
      </c>
      <c r="F35" s="458">
        <f>SUMIF(106:106,E35,107:107)-SUMIF(106:106,C35,107:107)+100</f>
        <v>100</v>
      </c>
      <c r="G35" s="457" t="s">
        <v>3043</v>
      </c>
      <c r="H35" s="432">
        <f>SUMIF(106:106,G35,107:107)-SUMIF(106:106,C35,107:107)+100</f>
        <v>100</v>
      </c>
      <c r="I35" s="457" t="s">
        <v>3043</v>
      </c>
      <c r="J35" s="432">
        <f>SUMIF(106:106,I35,107:107)-SUMIF(106:106,C35,107:107)+100</f>
        <v>100</v>
      </c>
      <c r="K35" s="609">
        <v>1</v>
      </c>
      <c r="L35" s="1137"/>
      <c r="M35" s="1128"/>
      <c r="N35" s="1128"/>
      <c r="O35" s="1128"/>
      <c r="P35" s="3316"/>
      <c r="Q35" s="1804" t="str">
        <f t="shared" si="11"/>
        <v>建筑结构</v>
      </c>
      <c r="R35" s="769" t="s">
        <v>17</v>
      </c>
      <c r="S35" s="770">
        <f t="shared" si="12"/>
        <v>100</v>
      </c>
      <c r="T35" s="769" t="s">
        <v>17</v>
      </c>
      <c r="U35" s="770">
        <f t="shared" si="13"/>
        <v>100</v>
      </c>
      <c r="V35" s="769" t="s">
        <v>17</v>
      </c>
      <c r="W35" s="770">
        <f t="shared" si="14"/>
        <v>100</v>
      </c>
      <c r="X35" s="1807"/>
      <c r="Y35" s="3274"/>
      <c r="Z35" s="1808" t="str">
        <f t="shared" si="15"/>
        <v>建筑结构</v>
      </c>
      <c r="AA35" s="1805">
        <f t="shared" si="3"/>
        <v>1</v>
      </c>
      <c r="AB35" s="1805">
        <f t="shared" si="4"/>
        <v>1</v>
      </c>
      <c r="AC35" s="2659">
        <f t="shared" si="5"/>
        <v>1</v>
      </c>
    </row>
    <row r="36" spans="1:29" ht="15">
      <c r="A36" s="469"/>
      <c r="B36" s="419" t="s">
        <v>2645</v>
      </c>
      <c r="C36" s="457" t="s">
        <v>3066</v>
      </c>
      <c r="D36" s="432">
        <v>100</v>
      </c>
      <c r="E36" s="457" t="s">
        <v>3066</v>
      </c>
      <c r="F36" s="458">
        <f>SUMIF(108:108,E36,109:109)-SUMIF(108:108,C36,109:109)+100</f>
        <v>100</v>
      </c>
      <c r="G36" s="457" t="s">
        <v>3066</v>
      </c>
      <c r="H36" s="432">
        <f>SUMIF(108:108,G36,109:109)-SUMIF(108:108,C36,109:109)+100</f>
        <v>100</v>
      </c>
      <c r="I36" s="457" t="s">
        <v>3126</v>
      </c>
      <c r="J36" s="432">
        <f>SUMIF(108:108,I36,109:109)-SUMIF(108:108,C36,109:109)+100</f>
        <v>98</v>
      </c>
      <c r="K36" s="609">
        <v>2</v>
      </c>
      <c r="L36" s="1137"/>
      <c r="M36" s="1128"/>
      <c r="N36" s="1128"/>
      <c r="O36" s="1128"/>
      <c r="P36" s="3316"/>
      <c r="Q36" s="1804" t="str">
        <f t="shared" si="11"/>
        <v>公共部分装修</v>
      </c>
      <c r="R36" s="769" t="s">
        <v>17</v>
      </c>
      <c r="S36" s="770">
        <f t="shared" si="12"/>
        <v>100</v>
      </c>
      <c r="T36" s="769" t="s">
        <v>17</v>
      </c>
      <c r="U36" s="770">
        <f t="shared" si="13"/>
        <v>100</v>
      </c>
      <c r="V36" s="769" t="s">
        <v>17</v>
      </c>
      <c r="W36" s="770">
        <f t="shared" si="14"/>
        <v>98</v>
      </c>
      <c r="X36" s="1807"/>
      <c r="Y36" s="3274"/>
      <c r="Z36" s="1808" t="str">
        <f t="shared" si="15"/>
        <v>公共部分装修</v>
      </c>
      <c r="AA36" s="1805">
        <f t="shared" si="3"/>
        <v>1</v>
      </c>
      <c r="AB36" s="1805">
        <f t="shared" si="4"/>
        <v>1</v>
      </c>
      <c r="AC36" s="2659">
        <f t="shared" si="5"/>
        <v>1.0204081632653061</v>
      </c>
    </row>
    <row r="37" spans="1:29" ht="15">
      <c r="A37" s="469"/>
      <c r="B37" s="419" t="s">
        <v>2646</v>
      </c>
      <c r="C37" s="3007">
        <f>'数据-取费表'!N6</f>
        <v>0</v>
      </c>
      <c r="D37" s="432">
        <v>100</v>
      </c>
      <c r="E37" s="3007">
        <f>C37</f>
        <v>0</v>
      </c>
      <c r="F37" s="458" t="e">
        <f>LOOKUP(E37,111:111,112:112)-LOOKUP(C37,111:111,112:112)+100</f>
        <v>#N/A</v>
      </c>
      <c r="G37" s="3007">
        <f>C37</f>
        <v>0</v>
      </c>
      <c r="H37" s="458" t="e">
        <f>LOOKUP(G37,111:111,112:112)-LOOKUP(C37,111:111,112:112)+100</f>
        <v>#N/A</v>
      </c>
      <c r="I37" s="3008">
        <f>C37</f>
        <v>0</v>
      </c>
      <c r="J37" s="432" t="e">
        <f>LOOKUP(I37,111:111,112:112)-LOOKUP(C37,111:111,112:112)+100</f>
        <v>#N/A</v>
      </c>
      <c r="K37" s="609">
        <v>3</v>
      </c>
      <c r="L37" s="1137"/>
      <c r="M37" s="1128"/>
      <c r="N37" s="1128"/>
      <c r="O37" s="1128"/>
      <c r="P37" s="3316"/>
      <c r="Q37" s="1804" t="str">
        <f t="shared" si="11"/>
        <v>成新度</v>
      </c>
      <c r="R37" s="769" t="s">
        <v>17</v>
      </c>
      <c r="S37" s="770" t="e">
        <f t="shared" si="12"/>
        <v>#N/A</v>
      </c>
      <c r="T37" s="769" t="s">
        <v>17</v>
      </c>
      <c r="U37" s="770" t="e">
        <f t="shared" si="13"/>
        <v>#N/A</v>
      </c>
      <c r="V37" s="769" t="s">
        <v>17</v>
      </c>
      <c r="W37" s="770" t="e">
        <f t="shared" si="14"/>
        <v>#N/A</v>
      </c>
      <c r="X37" s="1807"/>
      <c r="Y37" s="3274"/>
      <c r="Z37" s="1808" t="str">
        <f t="shared" si="15"/>
        <v>成新度</v>
      </c>
      <c r="AA37" s="1805" t="e">
        <f t="shared" si="3"/>
        <v>#N/A</v>
      </c>
      <c r="AB37" s="1805" t="e">
        <f t="shared" si="4"/>
        <v>#N/A</v>
      </c>
      <c r="AC37" s="2659" t="e">
        <f t="shared" si="5"/>
        <v>#N/A</v>
      </c>
    </row>
    <row r="38" spans="1:29" s="116" customFormat="1" ht="15">
      <c r="A38" s="470"/>
      <c r="B38" s="419" t="s">
        <v>2678</v>
      </c>
      <c r="C38" s="457" t="s">
        <v>3074</v>
      </c>
      <c r="D38" s="134">
        <v>100</v>
      </c>
      <c r="E38" s="457" t="s">
        <v>3074</v>
      </c>
      <c r="F38" s="458">
        <f>SUMIF(113:113,E38,114:114)-SUMIF(113:113,C38,114:114)+100</f>
        <v>100</v>
      </c>
      <c r="G38" s="457" t="s">
        <v>3074</v>
      </c>
      <c r="H38" s="432">
        <f>SUMIF(113:113,G38,114:114)-SUMIF(113:113,C38,114:114)+100</f>
        <v>100</v>
      </c>
      <c r="I38" s="457" t="s">
        <v>3074</v>
      </c>
      <c r="J38" s="432">
        <f>SUMIF(113:113,I38,114:114)-SUMIF(113:113,C38,114:114)+100</f>
        <v>100</v>
      </c>
      <c r="K38" s="609"/>
      <c r="L38" s="1129"/>
      <c r="M38" s="1130"/>
      <c r="N38" s="1130"/>
      <c r="O38" s="1130"/>
      <c r="P38" s="3316"/>
      <c r="Q38" s="1789" t="str">
        <f t="shared" si="11"/>
        <v>写字楼等级</v>
      </c>
      <c r="R38" s="765" t="s">
        <v>17</v>
      </c>
      <c r="S38" s="766">
        <f t="shared" si="12"/>
        <v>100</v>
      </c>
      <c r="T38" s="765" t="s">
        <v>17</v>
      </c>
      <c r="U38" s="766">
        <f t="shared" si="13"/>
        <v>100</v>
      </c>
      <c r="V38" s="765" t="s">
        <v>17</v>
      </c>
      <c r="W38" s="766">
        <f t="shared" si="14"/>
        <v>100</v>
      </c>
      <c r="X38" s="767"/>
      <c r="Y38" s="3274"/>
      <c r="Z38" s="55" t="str">
        <f t="shared" si="15"/>
        <v>写字楼等级</v>
      </c>
      <c r="AA38" s="768">
        <f t="shared" si="3"/>
        <v>1</v>
      </c>
      <c r="AB38" s="768">
        <f t="shared" si="4"/>
        <v>1</v>
      </c>
      <c r="AC38" s="2656">
        <f t="shared" si="5"/>
        <v>1</v>
      </c>
    </row>
    <row r="39" spans="1:29" ht="15">
      <c r="A39" s="469"/>
      <c r="B39" s="419" t="s">
        <v>2679</v>
      </c>
      <c r="C39" s="457" t="s">
        <v>3069</v>
      </c>
      <c r="D39" s="432">
        <v>100</v>
      </c>
      <c r="E39" s="457" t="s">
        <v>3069</v>
      </c>
      <c r="F39" s="458">
        <f>SUMIF(115:115,E39,116:116)-SUMIF(115:115,C39,116:116)+100</f>
        <v>100</v>
      </c>
      <c r="G39" s="457" t="s">
        <v>3069</v>
      </c>
      <c r="H39" s="432">
        <f>SUMIF(115:115,G39,116:116)-SUMIF(115:115,C39,116:116)+100</f>
        <v>100</v>
      </c>
      <c r="I39" s="457" t="s">
        <v>3069</v>
      </c>
      <c r="J39" s="432">
        <f>SUMIF(115:115,I39,116:116)-SUMIF(115:115,C39,116:116)+100</f>
        <v>100</v>
      </c>
      <c r="K39" s="609">
        <v>1</v>
      </c>
      <c r="L39" s="1137"/>
      <c r="M39" s="1128"/>
      <c r="N39" s="1128"/>
      <c r="O39" s="1128"/>
      <c r="P39" s="3316" t="s">
        <v>2549</v>
      </c>
      <c r="Q39" s="1804" t="str">
        <f t="shared" si="11"/>
        <v>物业管理</v>
      </c>
      <c r="R39" s="769" t="s">
        <v>17</v>
      </c>
      <c r="S39" s="770">
        <f t="shared" si="12"/>
        <v>100</v>
      </c>
      <c r="T39" s="769" t="s">
        <v>17</v>
      </c>
      <c r="U39" s="770">
        <f t="shared" si="13"/>
        <v>100</v>
      </c>
      <c r="V39" s="769" t="s">
        <v>17</v>
      </c>
      <c r="W39" s="770">
        <f t="shared" si="14"/>
        <v>100</v>
      </c>
      <c r="X39" s="1807"/>
      <c r="Y39" s="3274" t="s">
        <v>2549</v>
      </c>
      <c r="Z39" s="1808" t="str">
        <f t="shared" si="15"/>
        <v>物业管理</v>
      </c>
      <c r="AA39" s="1805">
        <f t="shared" si="3"/>
        <v>1</v>
      </c>
      <c r="AB39" s="1805">
        <f t="shared" si="4"/>
        <v>1</v>
      </c>
      <c r="AC39" s="2659">
        <f t="shared" si="5"/>
        <v>1</v>
      </c>
    </row>
    <row r="40" spans="1:29" ht="15">
      <c r="A40" s="469"/>
      <c r="B40" s="419" t="s">
        <v>2647</v>
      </c>
      <c r="C40" s="457" t="s">
        <v>3100</v>
      </c>
      <c r="D40" s="432">
        <v>100</v>
      </c>
      <c r="E40" s="457" t="s">
        <v>3100</v>
      </c>
      <c r="F40" s="458">
        <f>SUMIF(117:117,E40,118:118)-SUMIF(117:117,C40,118:118)+100</f>
        <v>100</v>
      </c>
      <c r="G40" s="457" t="s">
        <v>3100</v>
      </c>
      <c r="H40" s="432">
        <f>SUMIF(117:117,G40,118:118)-SUMIF(117:117,C40,118:118)+100</f>
        <v>100</v>
      </c>
      <c r="I40" s="457" t="s">
        <v>3100</v>
      </c>
      <c r="J40" s="432">
        <f>SUMIF(117:117,I40,118:118)-SUMIF(117:117,C40,118:118)+100</f>
        <v>100</v>
      </c>
      <c r="K40" s="609">
        <v>1</v>
      </c>
      <c r="L40" s="1137"/>
      <c r="M40" s="1128"/>
      <c r="N40" s="1128"/>
      <c r="O40" s="1128"/>
      <c r="P40" s="3316"/>
      <c r="Q40" s="1804" t="str">
        <f t="shared" si="11"/>
        <v>市政基础设施</v>
      </c>
      <c r="R40" s="769" t="s">
        <v>17</v>
      </c>
      <c r="S40" s="770">
        <f t="shared" si="12"/>
        <v>100</v>
      </c>
      <c r="T40" s="769" t="s">
        <v>17</v>
      </c>
      <c r="U40" s="770">
        <f t="shared" si="13"/>
        <v>100</v>
      </c>
      <c r="V40" s="769" t="s">
        <v>17</v>
      </c>
      <c r="W40" s="770">
        <f t="shared" si="14"/>
        <v>100</v>
      </c>
      <c r="X40" s="1807"/>
      <c r="Y40" s="3274"/>
      <c r="Z40" s="1808" t="str">
        <f t="shared" si="15"/>
        <v>市政基础设施</v>
      </c>
      <c r="AA40" s="1805">
        <f t="shared" si="3"/>
        <v>1</v>
      </c>
      <c r="AB40" s="1805">
        <f t="shared" si="4"/>
        <v>1</v>
      </c>
      <c r="AC40" s="2659">
        <f t="shared" si="5"/>
        <v>1</v>
      </c>
    </row>
    <row r="41" spans="1:29" ht="15">
      <c r="A41" s="469"/>
      <c r="B41" s="419" t="s">
        <v>2649</v>
      </c>
      <c r="C41" s="613" t="s">
        <v>3086</v>
      </c>
      <c r="D41" s="432">
        <v>100</v>
      </c>
      <c r="E41" s="613" t="s">
        <v>3086</v>
      </c>
      <c r="F41" s="458">
        <f>SUMIF(119:119,E41,120:120)-SUMIF(119:119,C41,120:120)+100</f>
        <v>100</v>
      </c>
      <c r="G41" s="613" t="s">
        <v>3086</v>
      </c>
      <c r="H41" s="432">
        <f>SUMIF(119:119,G41,120:120)-SUMIF(119:119,C41,120:120)+100</f>
        <v>100</v>
      </c>
      <c r="I41" s="613" t="s">
        <v>3086</v>
      </c>
      <c r="J41" s="432">
        <f>SUMIF(119:119,I41,120:120)-SUMIF(119:119,C41,120:120)+100</f>
        <v>100</v>
      </c>
      <c r="K41" s="609">
        <v>1</v>
      </c>
      <c r="L41" s="1137"/>
      <c r="M41" s="1128"/>
      <c r="N41" s="1128"/>
      <c r="O41" s="1128"/>
      <c r="P41" s="3316"/>
      <c r="Q41" s="1804" t="str">
        <f t="shared" si="11"/>
        <v>层高</v>
      </c>
      <c r="R41" s="769" t="s">
        <v>17</v>
      </c>
      <c r="S41" s="770">
        <f t="shared" si="12"/>
        <v>100</v>
      </c>
      <c r="T41" s="769" t="s">
        <v>17</v>
      </c>
      <c r="U41" s="770">
        <f t="shared" si="13"/>
        <v>100</v>
      </c>
      <c r="V41" s="769" t="s">
        <v>17</v>
      </c>
      <c r="W41" s="770">
        <f t="shared" si="14"/>
        <v>100</v>
      </c>
      <c r="X41" s="1807"/>
      <c r="Y41" s="3274"/>
      <c r="Z41" s="1808" t="str">
        <f t="shared" si="15"/>
        <v>层高</v>
      </c>
      <c r="AA41" s="1805">
        <f t="shared" si="3"/>
        <v>1</v>
      </c>
      <c r="AB41" s="1805">
        <f t="shared" si="4"/>
        <v>1</v>
      </c>
      <c r="AC41" s="2659">
        <f t="shared" si="5"/>
        <v>1</v>
      </c>
    </row>
    <row r="42" spans="1:29" s="468" customFormat="1" ht="15">
      <c r="A42" s="465"/>
      <c r="B42" s="1806" t="s">
        <v>2680</v>
      </c>
      <c r="C42" s="431">
        <f>C34</f>
        <v>1921.93</v>
      </c>
      <c r="D42" s="432">
        <v>100</v>
      </c>
      <c r="E42" s="431">
        <f>E45</f>
        <v>1637</v>
      </c>
      <c r="F42" s="458">
        <f>SUMIF(121:121,E42,122:122)-SUMIF(121:121,C42,122:122)+100</f>
        <v>100</v>
      </c>
      <c r="G42" s="431">
        <f>G45</f>
        <v>2160</v>
      </c>
      <c r="H42" s="432">
        <f>SUMIF(121:121,G42,122:122)-SUMIF(121:121,C42,122:122)+100</f>
        <v>100</v>
      </c>
      <c r="I42" s="431">
        <f>I45</f>
        <v>1580</v>
      </c>
      <c r="J42" s="432">
        <f>SUMIF(121:121,I42,122:122)-SUMIF(121:121,C42,122:122)+100</f>
        <v>100</v>
      </c>
      <c r="K42" s="610"/>
      <c r="L42" s="1135"/>
      <c r="M42" s="1138"/>
      <c r="N42" s="1138"/>
      <c r="O42" s="1138"/>
      <c r="P42" s="3316"/>
      <c r="Q42" s="771" t="str">
        <f t="shared" si="11"/>
        <v>单套建筑面积</v>
      </c>
      <c r="R42" s="772" t="s">
        <v>17</v>
      </c>
      <c r="S42" s="773">
        <f t="shared" si="12"/>
        <v>100</v>
      </c>
      <c r="T42" s="772" t="s">
        <v>17</v>
      </c>
      <c r="U42" s="773">
        <f t="shared" si="13"/>
        <v>100</v>
      </c>
      <c r="V42" s="772" t="s">
        <v>17</v>
      </c>
      <c r="W42" s="773">
        <f t="shared" si="14"/>
        <v>100</v>
      </c>
      <c r="X42" s="774"/>
      <c r="Y42" s="3274"/>
      <c r="Z42" s="775" t="str">
        <f t="shared" si="15"/>
        <v>单套建筑面积</v>
      </c>
      <c r="AA42" s="1805">
        <f t="shared" si="3"/>
        <v>1</v>
      </c>
      <c r="AB42" s="1805">
        <f t="shared" si="4"/>
        <v>1</v>
      </c>
      <c r="AC42" s="2659">
        <f t="shared" si="5"/>
        <v>1</v>
      </c>
    </row>
    <row r="43" spans="1:29" ht="15">
      <c r="A43" s="469"/>
      <c r="B43" s="419" t="s">
        <v>2652</v>
      </c>
      <c r="C43" s="457" t="s">
        <v>3126</v>
      </c>
      <c r="D43" s="432">
        <v>100</v>
      </c>
      <c r="E43" s="457" t="s">
        <v>3066</v>
      </c>
      <c r="F43" s="458">
        <f>SUMIF(123:123,E43,124:124)-SUMIF(123:123,C43,124:124)+100</f>
        <v>101</v>
      </c>
      <c r="G43" s="457" t="s">
        <v>3066</v>
      </c>
      <c r="H43" s="432">
        <f>SUMIF(123:123,G43,124:124)-SUMIF(123:123,C43,124:124)+100</f>
        <v>101</v>
      </c>
      <c r="I43" s="457" t="s">
        <v>3115</v>
      </c>
      <c r="J43" s="432">
        <f>SUMIF(123:123,I43,124:124)-SUMIF(123:123,C43,124:124)+100</f>
        <v>98</v>
      </c>
      <c r="K43" s="609">
        <v>1</v>
      </c>
      <c r="L43" s="1137"/>
      <c r="M43" s="1128"/>
      <c r="N43" s="1128"/>
      <c r="O43" s="1128"/>
      <c r="P43" s="3316"/>
      <c r="Q43" s="1804" t="str">
        <f t="shared" si="11"/>
        <v>内部装修</v>
      </c>
      <c r="R43" s="769" t="s">
        <v>17</v>
      </c>
      <c r="S43" s="770">
        <f t="shared" si="12"/>
        <v>101</v>
      </c>
      <c r="T43" s="769" t="s">
        <v>17</v>
      </c>
      <c r="U43" s="770">
        <f t="shared" si="13"/>
        <v>101</v>
      </c>
      <c r="V43" s="769" t="s">
        <v>17</v>
      </c>
      <c r="W43" s="770">
        <f t="shared" si="14"/>
        <v>98</v>
      </c>
      <c r="X43" s="1807"/>
      <c r="Y43" s="3274"/>
      <c r="Z43" s="1808" t="str">
        <f t="shared" si="15"/>
        <v>内部装修</v>
      </c>
      <c r="AA43" s="1805">
        <f t="shared" si="3"/>
        <v>0.99009900990099009</v>
      </c>
      <c r="AB43" s="1805">
        <f t="shared" si="4"/>
        <v>0.99009900990099009</v>
      </c>
      <c r="AC43" s="2659">
        <f t="shared" si="5"/>
        <v>1.0204081632653061</v>
      </c>
    </row>
    <row r="44" spans="1:29" ht="15">
      <c r="A44" s="469"/>
      <c r="B44" s="419" t="s">
        <v>2560</v>
      </c>
      <c r="C44" s="457" t="s">
        <v>3063</v>
      </c>
      <c r="D44" s="432">
        <v>100</v>
      </c>
      <c r="E44" s="2598" t="s">
        <v>3063</v>
      </c>
      <c r="F44" s="458">
        <f>SUMIF(125:125,E44,126:126)-SUMIF(125:125,C44,126:126)+100</f>
        <v>100</v>
      </c>
      <c r="G44" s="2598" t="s">
        <v>3063</v>
      </c>
      <c r="H44" s="432">
        <f>SUMIF(125:125,G44,126:126)-SUMIF(125:125,C44,126:126)+100</f>
        <v>100</v>
      </c>
      <c r="I44" s="2598" t="s">
        <v>3063</v>
      </c>
      <c r="J44" s="432">
        <f>SUMIF(125:125,I44,126:126)-SUMIF(125:125,C44,126:126)+100</f>
        <v>100</v>
      </c>
      <c r="K44" s="609">
        <v>1</v>
      </c>
      <c r="L44" s="1137"/>
      <c r="M44" s="1128"/>
      <c r="N44" s="1128"/>
      <c r="O44" s="1128"/>
      <c r="P44" s="3316"/>
      <c r="Q44" s="1804" t="str">
        <f t="shared" si="11"/>
        <v>内部装修维护情况</v>
      </c>
      <c r="R44" s="769" t="s">
        <v>17</v>
      </c>
      <c r="S44" s="770">
        <f t="shared" si="12"/>
        <v>100</v>
      </c>
      <c r="T44" s="769" t="s">
        <v>17</v>
      </c>
      <c r="U44" s="770">
        <f t="shared" si="13"/>
        <v>100</v>
      </c>
      <c r="V44" s="769" t="s">
        <v>17</v>
      </c>
      <c r="W44" s="770">
        <f t="shared" si="14"/>
        <v>100</v>
      </c>
      <c r="X44" s="1807"/>
      <c r="Y44" s="3274"/>
      <c r="Z44" s="1808" t="str">
        <f t="shared" si="15"/>
        <v>内部装修维护情况</v>
      </c>
      <c r="AA44" s="1805">
        <f t="shared" si="3"/>
        <v>1</v>
      </c>
      <c r="AB44" s="1805">
        <f t="shared" si="4"/>
        <v>1</v>
      </c>
      <c r="AC44" s="2659">
        <f t="shared" si="5"/>
        <v>1</v>
      </c>
    </row>
    <row r="45" spans="1:29" s="116" customFormat="1" ht="15">
      <c r="A45" s="470"/>
      <c r="B45" s="1381">
        <v>111</v>
      </c>
      <c r="C45" s="466"/>
      <c r="D45" s="134">
        <v>100</v>
      </c>
      <c r="E45" s="429">
        <v>1637</v>
      </c>
      <c r="F45" s="422">
        <f>SUMIF(127:127,E45,128:128)-SUMIF(127:127,C45,128:128)+100</f>
        <v>100</v>
      </c>
      <c r="G45" s="429">
        <v>2160</v>
      </c>
      <c r="H45" s="134">
        <f>SUMIF(127:127,G45,128:128)-SUMIF(127:127,C45,128:128)+100</f>
        <v>100</v>
      </c>
      <c r="I45" s="429">
        <v>1580</v>
      </c>
      <c r="J45" s="134">
        <f>SUMIF(127:127,I45,128:128)-SUMIF(127:127,C45,128:128)+100</f>
        <v>100</v>
      </c>
      <c r="K45" s="610"/>
      <c r="L45" s="1129"/>
      <c r="M45" s="1130"/>
      <c r="N45" s="1130"/>
      <c r="O45" s="1130"/>
      <c r="P45" s="3316"/>
      <c r="Q45" s="1789">
        <f t="shared" si="11"/>
        <v>111</v>
      </c>
      <c r="R45" s="765" t="s">
        <v>17</v>
      </c>
      <c r="S45" s="766">
        <f t="shared" si="12"/>
        <v>100</v>
      </c>
      <c r="T45" s="765" t="s">
        <v>17</v>
      </c>
      <c r="U45" s="766">
        <f t="shared" si="13"/>
        <v>100</v>
      </c>
      <c r="V45" s="765" t="s">
        <v>17</v>
      </c>
      <c r="W45" s="766">
        <f t="shared" si="14"/>
        <v>100</v>
      </c>
      <c r="X45" s="767"/>
      <c r="Y45" s="3274"/>
      <c r="Z45" s="5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16"/>
      <c r="Q46" s="1804">
        <f t="shared" si="11"/>
        <v>111</v>
      </c>
      <c r="R46" s="769" t="s">
        <v>17</v>
      </c>
      <c r="S46" s="770">
        <f t="shared" si="12"/>
        <v>100</v>
      </c>
      <c r="T46" s="769" t="s">
        <v>17</v>
      </c>
      <c r="U46" s="770">
        <f t="shared" si="13"/>
        <v>100</v>
      </c>
      <c r="V46" s="769" t="s">
        <v>17</v>
      </c>
      <c r="W46" s="770">
        <f t="shared" si="14"/>
        <v>100</v>
      </c>
      <c r="X46" s="1807"/>
      <c r="Y46" s="3274"/>
      <c r="Z46" s="1808">
        <f t="shared" si="15"/>
        <v>111</v>
      </c>
      <c r="AA46" s="1805">
        <f t="shared" si="3"/>
        <v>1</v>
      </c>
      <c r="AB46" s="1805">
        <f t="shared" si="4"/>
        <v>1</v>
      </c>
      <c r="AC46" s="2659">
        <f t="shared" si="5"/>
        <v>1</v>
      </c>
    </row>
    <row r="47" spans="1:29" ht="15.75" thickBot="1">
      <c r="A47" s="475"/>
      <c r="B47" s="2587">
        <v>0.95</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17"/>
      <c r="Q47" s="1804">
        <f t="shared" si="11"/>
        <v>0.95</v>
      </c>
      <c r="R47" s="769" t="s">
        <v>17</v>
      </c>
      <c r="S47" s="770">
        <f t="shared" si="12"/>
        <v>100</v>
      </c>
      <c r="T47" s="769" t="s">
        <v>17</v>
      </c>
      <c r="U47" s="770">
        <f t="shared" si="13"/>
        <v>100</v>
      </c>
      <c r="V47" s="769" t="s">
        <v>17</v>
      </c>
      <c r="W47" s="770">
        <f t="shared" si="14"/>
        <v>100</v>
      </c>
      <c r="X47" s="1807"/>
      <c r="Y47" s="3307"/>
      <c r="Z47" s="1808">
        <f t="shared" si="15"/>
        <v>0.95</v>
      </c>
      <c r="AA47" s="1805">
        <f t="shared" si="3"/>
        <v>1</v>
      </c>
      <c r="AB47" s="1805">
        <f t="shared" si="4"/>
        <v>1</v>
      </c>
      <c r="AC47" s="2659">
        <f t="shared" si="5"/>
        <v>1</v>
      </c>
    </row>
    <row r="48" spans="1:29" ht="15">
      <c r="A48" s="476" t="s">
        <v>2561</v>
      </c>
      <c r="B48" s="477"/>
      <c r="C48" s="1402" t="s">
        <v>1</v>
      </c>
      <c r="D48" s="1403"/>
      <c r="E48" s="1404">
        <f>ROUND(35430*B47,0)</f>
        <v>33659</v>
      </c>
      <c r="F48" s="1405"/>
      <c r="G48" s="1406">
        <f>ROUND(35000*B47,0)</f>
        <v>33250</v>
      </c>
      <c r="H48" s="1407"/>
      <c r="I48" s="1404">
        <f>ROUND(34810*B47,0)</f>
        <v>33070</v>
      </c>
      <c r="J48" s="482"/>
      <c r="K48" s="778"/>
      <c r="L48" s="1140"/>
      <c r="M48" s="1128"/>
      <c r="N48" s="1128"/>
      <c r="O48" s="1128"/>
      <c r="P48" s="3268" t="str">
        <f>A48</f>
        <v>成交单价（元/平方米）</v>
      </c>
      <c r="Q48" s="3269"/>
      <c r="R48" s="3305">
        <f>E48</f>
        <v>33659</v>
      </c>
      <c r="S48" s="3305"/>
      <c r="T48" s="3305">
        <f>G48</f>
        <v>33250</v>
      </c>
      <c r="U48" s="3305"/>
      <c r="V48" s="3305">
        <f>I48</f>
        <v>33070</v>
      </c>
      <c r="W48" s="3305"/>
      <c r="X48" s="443"/>
      <c r="Y48" s="776"/>
      <c r="Z48" s="443"/>
      <c r="AA48" s="443"/>
      <c r="AB48" s="443"/>
      <c r="AC48" s="627"/>
    </row>
    <row r="49" spans="1:29" ht="15.75" thickBot="1">
      <c r="A49" s="483" t="s">
        <v>2653</v>
      </c>
      <c r="B49" s="484"/>
      <c r="C49" s="1408" t="e">
        <f>R50</f>
        <v>#N/A</v>
      </c>
      <c r="D49" s="1409"/>
      <c r="E49" s="1410" t="e">
        <f>R49</f>
        <v>#N/A</v>
      </c>
      <c r="F49" s="1410"/>
      <c r="G49" s="1408" t="e">
        <f>T49</f>
        <v>#N/A</v>
      </c>
      <c r="H49" s="1409"/>
      <c r="I49" s="1410" t="e">
        <f>V49</f>
        <v>#N/A</v>
      </c>
      <c r="J49" s="486"/>
      <c r="K49" s="779"/>
      <c r="L49" s="1140"/>
      <c r="M49" s="1128"/>
      <c r="N49" s="1128"/>
      <c r="O49" s="1128"/>
      <c r="P49" s="3268" t="str">
        <f>A49</f>
        <v>比较价值（元/平方米）</v>
      </c>
      <c r="Q49" s="3269"/>
      <c r="R49" s="3305" t="e">
        <f>IF(F1="售价",ROUND(PRODUCT(R48,AA7:AA47),0),ROUND(PRODUCT(R48,AA7:AA47),1))</f>
        <v>#N/A</v>
      </c>
      <c r="S49" s="3305"/>
      <c r="T49" s="3305" t="e">
        <f>IF(F1="售价",ROUND(PRODUCT(T48,AB7:AB47),0),ROUND(PRODUCT(T48,AB7:AB47),1))</f>
        <v>#N/A</v>
      </c>
      <c r="U49" s="3305"/>
      <c r="V49" s="3305" t="e">
        <f>IF(F1="售价",ROUND(PRODUCT(V48,AC7:AC47),0),ROUND(PRODUCT(V48,AC7:AC47),1))</f>
        <v>#N/A</v>
      </c>
      <c r="W49" s="3305"/>
      <c r="X49" s="443"/>
      <c r="Y49" s="443"/>
      <c r="Z49" s="443"/>
      <c r="AA49" s="443"/>
      <c r="AB49" s="443"/>
      <c r="AC49" s="627"/>
    </row>
    <row r="50" spans="1:29" ht="15.75" thickBot="1">
      <c r="A50" s="489" t="s">
        <v>2654</v>
      </c>
      <c r="B50" s="490"/>
      <c r="C50" s="1412" t="e">
        <f>R50</f>
        <v>#N/A</v>
      </c>
      <c r="D50" s="1412"/>
      <c r="E50" s="1412"/>
      <c r="F50" s="1412"/>
      <c r="G50" s="1412"/>
      <c r="H50" s="1412"/>
      <c r="I50" s="1412"/>
      <c r="J50" s="491"/>
      <c r="K50" s="780"/>
      <c r="L50" s="1140"/>
      <c r="M50" s="1128"/>
      <c r="N50" s="1128"/>
      <c r="O50" s="1128"/>
      <c r="P50" s="3310" t="str">
        <f>A50</f>
        <v>估价对象XX用房的比较价值（楼面单价，元/平方米）</v>
      </c>
      <c r="Q50" s="3311"/>
      <c r="R50" s="3312" t="e">
        <f>IF(F1="售价",ROUND(AVERAGE(R49:V49),0),ROUND(AVERAGE(R49:V49),1))</f>
        <v>#N/A</v>
      </c>
      <c r="S50" s="3312"/>
      <c r="T50" s="3312"/>
      <c r="U50" s="3312"/>
      <c r="V50" s="3312"/>
      <c r="W50" s="3312"/>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2655</v>
      </c>
      <c r="D53" s="495"/>
      <c r="E53" s="496" t="e">
        <f>IF(E48&lt;E49,E49/E48-1,E48/E49-1)</f>
        <v>#N/A</v>
      </c>
      <c r="F53" s="497" t="e">
        <f>IF(OR(E53&gt;=0.3,E53&lt;=-0.3),"超过30%","")</f>
        <v>#N/A</v>
      </c>
      <c r="G53" s="496" t="e">
        <f>IF(G48&lt;G49,G49/G48-1,G48/G49-1)</f>
        <v>#N/A</v>
      </c>
      <c r="H53" s="497" t="e">
        <f>IF(OR(G53&gt;=0.3,G53&lt;=-0.3),"超过30%","")</f>
        <v>#N/A</v>
      </c>
      <c r="I53" s="496" t="e">
        <f>IF(I48&lt;I49,I49/I48-1,I48/I49-1)</f>
        <v>#N/A</v>
      </c>
      <c r="J53" s="497" t="e">
        <f>IF(OR(I53&gt;=0.3,I53&lt;=-0.3),"超过30%","")</f>
        <v>#N/A</v>
      </c>
      <c r="K53" s="1102"/>
      <c r="L53" s="1103"/>
      <c r="M53" s="1141"/>
      <c r="N53" s="1141"/>
      <c r="O53" s="1141"/>
    </row>
    <row r="54" spans="1:29" ht="13.5" customHeight="1">
      <c r="A54" s="1141"/>
      <c r="B54" s="1141"/>
      <c r="C54" s="494" t="s">
        <v>2656</v>
      </c>
      <c r="D54" s="498"/>
      <c r="E54" s="496" t="e">
        <f>IF(E49&lt;G49,G49/E49-1,E49/G49-1)</f>
        <v>#N/A</v>
      </c>
      <c r="F54" s="497" t="e">
        <f>IF(OR(E54&gt;=0.2,E54&lt;=-0.2),"超过20%","")</f>
        <v>#N/A</v>
      </c>
      <c r="G54" s="496" t="e">
        <f>IF(G49&lt;I49,I49/G49-1,G49/I49-1)</f>
        <v>#N/A</v>
      </c>
      <c r="H54" s="497" t="e">
        <f>IF(OR(G54&gt;=0.2,G54&lt;=-0.2),"超过20%","")</f>
        <v>#N/A</v>
      </c>
      <c r="I54" s="496" t="e">
        <f>IF(I49&lt;E49,E49/I49-1,I49/E49-1)</f>
        <v>#N/A</v>
      </c>
      <c r="J54" s="497" t="e">
        <f>IF(OR(I54&gt;=0.2,I54&lt;=-0.2),"超过20%","")</f>
        <v>#N/A</v>
      </c>
      <c r="K54" s="1102"/>
      <c r="L54" s="1103"/>
      <c r="M54" s="1141"/>
      <c r="N54" s="1141"/>
      <c r="O54" s="1141"/>
    </row>
    <row r="55" spans="1:29" s="499" customFormat="1" ht="13.5" customHeight="1">
      <c r="A55" s="1142"/>
      <c r="B55" s="1142"/>
      <c r="C55" s="494" t="s">
        <v>2657</v>
      </c>
      <c r="D55" s="498"/>
      <c r="E55" s="496">
        <f>IF(E48&lt;G48,G48/E48-1,E48/G48-1)</f>
        <v>1.2300751879699146E-2</v>
      </c>
      <c r="F55" s="497" t="str">
        <f>IF(OR(E55&gt;=0.3,E55&lt;=-0.3),"超过30%","")</f>
        <v/>
      </c>
      <c r="G55" s="496">
        <f>IF(G48&lt;I48,I48/G48-1,G48/I48-1)</f>
        <v>5.4429996976110839E-3</v>
      </c>
      <c r="H55" s="497" t="str">
        <f>IF(OR(G55&gt;=0.3,G55&lt;=-0.3),"超过30%","")</f>
        <v/>
      </c>
      <c r="I55" s="496">
        <f>IF(I48&lt;E48,E48/I48-1,I48/E48-1)</f>
        <v>1.7810704566072033E-2</v>
      </c>
      <c r="J55" s="497" t="str">
        <f>IF(OR(I55&gt;=0.3,I55&lt;=-0.3),"超过30%","")</f>
        <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2658</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v>99.5</v>
      </c>
      <c r="E60" s="509">
        <v>99</v>
      </c>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2636</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工业（办公）</v>
      </c>
      <c r="D64" s="2942" t="s">
        <v>3103</v>
      </c>
      <c r="E64" s="527"/>
      <c r="F64" s="527"/>
      <c r="G64" s="527"/>
      <c r="H64" s="527"/>
      <c r="I64" s="527"/>
      <c r="J64" s="527"/>
      <c r="K64" s="528"/>
      <c r="L64" s="529"/>
      <c r="M64" s="530"/>
      <c r="N64" s="1149"/>
      <c r="O64" s="1149"/>
      <c r="P64" s="2669"/>
      <c r="Q64" s="501"/>
    </row>
    <row r="65" spans="1:17" ht="15.75" thickBot="1">
      <c r="A65" s="531"/>
      <c r="B65" s="532"/>
      <c r="C65" s="533">
        <v>100</v>
      </c>
      <c r="D65" s="533">
        <v>105</v>
      </c>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99</v>
      </c>
      <c r="G67" s="541">
        <f>F67-$K10</f>
        <v>98</v>
      </c>
      <c r="H67" s="541">
        <f>G67-$K10</f>
        <v>97</v>
      </c>
      <c r="I67" s="541">
        <f>H67-$K10</f>
        <v>96</v>
      </c>
      <c r="J67" s="541"/>
      <c r="K67" s="541"/>
      <c r="L67" s="541"/>
      <c r="M67" s="542"/>
      <c r="N67" s="1150"/>
      <c r="O67" s="1150"/>
      <c r="P67" s="2669"/>
      <c r="Q67" s="501"/>
    </row>
    <row r="68" spans="1:17" ht="15.75" thickTop="1">
      <c r="A68" s="531"/>
      <c r="B68" s="543" t="s">
        <v>2542</v>
      </c>
      <c r="C68" s="544" t="str">
        <f>C69&amp;"（含）"&amp;"-"&amp;D69</f>
        <v>0（含）-0</v>
      </c>
      <c r="D68" s="544" t="str">
        <f t="shared" ref="D68:L68" si="17">D69&amp;"（含）"&amp;"-"&amp;E69</f>
        <v>0（含）-0</v>
      </c>
      <c r="E68" s="544" t="str">
        <f t="shared" si="17"/>
        <v>0（含）-0</v>
      </c>
      <c r="F68" s="544" t="str">
        <f t="shared" si="17"/>
        <v>0（含）-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v>0</v>
      </c>
      <c r="D69" s="546">
        <v>0</v>
      </c>
      <c r="E69" s="546">
        <v>0</v>
      </c>
      <c r="F69" s="546">
        <v>0</v>
      </c>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99</v>
      </c>
      <c r="E82" s="541">
        <f>D82-$K19</f>
        <v>98</v>
      </c>
      <c r="F82" s="541">
        <f>E82-$K19</f>
        <v>97</v>
      </c>
      <c r="G82" s="541">
        <f>F82-$K19</f>
        <v>96</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99</v>
      </c>
      <c r="E84" s="541">
        <f>D84-$K21</f>
        <v>98</v>
      </c>
      <c r="F84" s="541">
        <f>E84-$K21</f>
        <v>97</v>
      </c>
      <c r="G84" s="541">
        <f>F84-$K21</f>
        <v>96</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99</v>
      </c>
      <c r="E86" s="541">
        <f>D86-$K23</f>
        <v>98</v>
      </c>
      <c r="F86" s="541">
        <f>E86-$K23</f>
        <v>97</v>
      </c>
      <c r="G86" s="541">
        <f>F86-$K23</f>
        <v>96</v>
      </c>
      <c r="H86" s="541"/>
      <c r="I86" s="541"/>
      <c r="J86" s="541"/>
      <c r="K86" s="541"/>
      <c r="L86" s="541"/>
      <c r="M86" s="542"/>
      <c r="N86" s="1150"/>
      <c r="O86" s="1150"/>
      <c r="P86" s="2669"/>
      <c r="Q86" s="501"/>
    </row>
    <row r="87" spans="1:17" s="116" customFormat="1" ht="27.75" thickTop="1">
      <c r="A87" s="576"/>
      <c r="B87" s="535" t="s">
        <v>2683</v>
      </c>
      <c r="C87" s="2940" t="s">
        <v>3095</v>
      </c>
      <c r="D87" s="2940" t="s">
        <v>3096</v>
      </c>
      <c r="E87" s="2940" t="s">
        <v>3097</v>
      </c>
      <c r="F87" s="2940" t="s">
        <v>3098</v>
      </c>
      <c r="G87" s="2940" t="s">
        <v>3099</v>
      </c>
      <c r="H87" s="551"/>
      <c r="I87" s="551"/>
      <c r="J87" s="551"/>
      <c r="K87" s="551"/>
      <c r="L87" s="577"/>
      <c r="M87" s="578"/>
      <c r="N87" s="1148"/>
      <c r="O87" s="1148"/>
      <c r="P87" s="2669"/>
      <c r="Q87" s="501"/>
    </row>
    <row r="88" spans="1:17" s="116"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50"/>
      <c r="O88" s="1150"/>
      <c r="P88" s="2669"/>
      <c r="Q88" s="501"/>
    </row>
    <row r="89" spans="1:17" s="116" customFormat="1" ht="15.75" thickTop="1">
      <c r="A89" s="576"/>
      <c r="B89" s="535" t="str">
        <f>B27</f>
        <v>楼层</v>
      </c>
      <c r="C89" s="2940" t="s">
        <v>3108</v>
      </c>
      <c r="D89" s="2940" t="s">
        <v>3110</v>
      </c>
      <c r="E89" s="2940" t="s">
        <v>3112</v>
      </c>
      <c r="F89" s="2620"/>
      <c r="G89" s="551"/>
      <c r="H89" s="551"/>
      <c r="I89" s="551"/>
      <c r="J89" s="551"/>
      <c r="K89" s="551"/>
      <c r="L89" s="551"/>
      <c r="M89" s="578"/>
      <c r="N89" s="1148"/>
      <c r="O89" s="1148"/>
      <c r="P89" s="2669"/>
      <c r="Q89" s="501"/>
    </row>
    <row r="90" spans="1:17" s="116" customFormat="1" ht="15.75" thickBot="1">
      <c r="A90" s="576"/>
      <c r="B90" s="540"/>
      <c r="C90" s="579">
        <v>100</v>
      </c>
      <c r="D90" s="541">
        <f>C90-$K27</f>
        <v>99</v>
      </c>
      <c r="E90" s="541">
        <f t="shared" ref="E90:M90" si="20">D90-$K27</f>
        <v>98</v>
      </c>
      <c r="F90" s="541">
        <f t="shared" si="20"/>
        <v>97</v>
      </c>
      <c r="G90" s="541">
        <f t="shared" si="20"/>
        <v>96</v>
      </c>
      <c r="H90" s="541">
        <f t="shared" si="20"/>
        <v>95</v>
      </c>
      <c r="I90" s="541">
        <f t="shared" si="20"/>
        <v>94</v>
      </c>
      <c r="J90" s="541">
        <f t="shared" si="20"/>
        <v>93</v>
      </c>
      <c r="K90" s="541">
        <f t="shared" si="20"/>
        <v>92</v>
      </c>
      <c r="L90" s="541">
        <f t="shared" si="20"/>
        <v>91</v>
      </c>
      <c r="M90" s="541">
        <f t="shared" si="20"/>
        <v>90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3085</v>
      </c>
      <c r="D101" s="2942" t="s">
        <v>3127</v>
      </c>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99</v>
      </c>
      <c r="E102" s="541">
        <f t="shared" si="22"/>
        <v>98</v>
      </c>
      <c r="F102" s="541">
        <f t="shared" si="22"/>
        <v>97</v>
      </c>
      <c r="G102" s="541">
        <f t="shared" si="22"/>
        <v>96</v>
      </c>
      <c r="H102" s="541">
        <f t="shared" si="22"/>
        <v>95</v>
      </c>
      <c r="I102" s="541">
        <f t="shared" si="22"/>
        <v>94</v>
      </c>
      <c r="J102" s="541">
        <f t="shared" si="22"/>
        <v>93</v>
      </c>
      <c r="K102" s="541">
        <f t="shared" si="22"/>
        <v>92</v>
      </c>
      <c r="L102" s="541">
        <f t="shared" si="22"/>
        <v>91</v>
      </c>
      <c r="M102" s="542">
        <f t="shared" si="22"/>
        <v>90</v>
      </c>
      <c r="N102" s="1150"/>
      <c r="O102" s="1150"/>
      <c r="P102" s="2669"/>
      <c r="Q102" s="501"/>
    </row>
    <row r="103" spans="1:17" ht="29.25" thickTop="1">
      <c r="A103" s="531"/>
      <c r="B103" s="535" t="s">
        <v>2597</v>
      </c>
      <c r="C103" s="575" t="str">
        <f>C104&amp;"(含)"&amp;"-"&amp;D104</f>
        <v>0(含)-200</v>
      </c>
      <c r="D103" s="575" t="str">
        <f t="shared" ref="D103:L103" si="23">D104&amp;"(含)"&amp;"-"&amp;E104</f>
        <v>200(含)-400</v>
      </c>
      <c r="E103" s="575" t="str">
        <f t="shared" si="23"/>
        <v>400(含)-600</v>
      </c>
      <c r="F103" s="575" t="str">
        <f t="shared" si="23"/>
        <v>600(含)-800</v>
      </c>
      <c r="G103" s="575" t="str">
        <f t="shared" si="23"/>
        <v>800(含)-1000</v>
      </c>
      <c r="H103" s="575" t="str">
        <f t="shared" si="23"/>
        <v>1000(含)-2000</v>
      </c>
      <c r="I103" s="575" t="str">
        <f t="shared" si="23"/>
        <v>2000(含)-3000</v>
      </c>
      <c r="J103" s="575" t="str">
        <f t="shared" si="23"/>
        <v>3000(含)-</v>
      </c>
      <c r="K103" s="575" t="str">
        <f t="shared" si="23"/>
        <v>(含)-</v>
      </c>
      <c r="L103" s="575" t="str">
        <f t="shared" si="23"/>
        <v>(含)-</v>
      </c>
      <c r="M103" s="619" t="str">
        <f>M104&amp;"(含)"&amp;"-"&amp;P104</f>
        <v>(含)-</v>
      </c>
      <c r="N103" s="1148"/>
      <c r="O103" s="1148"/>
      <c r="P103" s="2669"/>
      <c r="Q103" s="501"/>
    </row>
    <row r="104" spans="1:17" s="468" customFormat="1">
      <c r="A104" s="590"/>
      <c r="B104" s="591"/>
      <c r="C104" s="592">
        <v>0</v>
      </c>
      <c r="D104" s="592">
        <v>200</v>
      </c>
      <c r="E104" s="592">
        <v>400</v>
      </c>
      <c r="F104" s="592">
        <v>600</v>
      </c>
      <c r="G104" s="592">
        <v>800</v>
      </c>
      <c r="H104" s="592">
        <v>1000</v>
      </c>
      <c r="I104" s="592">
        <v>2000</v>
      </c>
      <c r="J104" s="593">
        <v>3000</v>
      </c>
      <c r="K104" s="593"/>
      <c r="L104" s="594"/>
      <c r="M104" s="595"/>
      <c r="N104" s="1151"/>
      <c r="O104" s="1151"/>
      <c r="P104" s="2670"/>
      <c r="Q104" s="556"/>
    </row>
    <row r="105" spans="1:17" s="468" customFormat="1" ht="15.75" thickBot="1">
      <c r="A105" s="550"/>
      <c r="B105" s="540"/>
      <c r="C105" s="557">
        <v>96</v>
      </c>
      <c r="D105" s="533">
        <v>98</v>
      </c>
      <c r="E105" s="533">
        <v>100</v>
      </c>
      <c r="F105" s="533">
        <v>98</v>
      </c>
      <c r="G105" s="533">
        <v>96</v>
      </c>
      <c r="H105" s="533">
        <v>94</v>
      </c>
      <c r="I105" s="533">
        <v>92</v>
      </c>
      <c r="J105" s="533">
        <v>90</v>
      </c>
      <c r="K105" s="533"/>
      <c r="L105" s="533"/>
      <c r="M105" s="534"/>
      <c r="N105" s="1150"/>
      <c r="O105" s="1150"/>
      <c r="P105" s="2670"/>
      <c r="Q105" s="556"/>
    </row>
    <row r="106" spans="1:17" ht="15" thickTop="1">
      <c r="A106" s="596"/>
      <c r="B106" s="535" t="s">
        <v>2598</v>
      </c>
      <c r="C106" s="2940" t="s">
        <v>3084</v>
      </c>
      <c r="D106" s="2940" t="s">
        <v>3117</v>
      </c>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99</v>
      </c>
      <c r="E107" s="541">
        <f t="shared" si="24"/>
        <v>98</v>
      </c>
      <c r="F107" s="541">
        <f t="shared" si="24"/>
        <v>97</v>
      </c>
      <c r="G107" s="541">
        <f t="shared" si="24"/>
        <v>96</v>
      </c>
      <c r="H107" s="541">
        <f t="shared" si="24"/>
        <v>95</v>
      </c>
      <c r="I107" s="541">
        <f t="shared" si="24"/>
        <v>94</v>
      </c>
      <c r="J107" s="541">
        <f t="shared" si="24"/>
        <v>93</v>
      </c>
      <c r="K107" s="541">
        <f t="shared" si="24"/>
        <v>92</v>
      </c>
      <c r="L107" s="541">
        <f t="shared" si="24"/>
        <v>91</v>
      </c>
      <c r="M107" s="542">
        <f t="shared" si="24"/>
        <v>90</v>
      </c>
      <c r="N107" s="1150"/>
      <c r="O107" s="1150"/>
      <c r="P107" s="2669"/>
      <c r="Q107" s="501"/>
    </row>
    <row r="108" spans="1:17" ht="15" thickTop="1">
      <c r="A108" s="596"/>
      <c r="B108" s="535" t="s">
        <v>2600</v>
      </c>
      <c r="C108" s="2940" t="s">
        <v>3083</v>
      </c>
      <c r="D108" s="2940" t="s">
        <v>3094</v>
      </c>
      <c r="E108" s="2940" t="s">
        <v>3114</v>
      </c>
      <c r="F108" s="2941" t="s">
        <v>3116</v>
      </c>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103</v>
      </c>
      <c r="E112" s="541">
        <f t="shared" ref="E112:M112" si="26">D112+$K37</f>
        <v>106</v>
      </c>
      <c r="F112" s="541">
        <f t="shared" si="26"/>
        <v>109</v>
      </c>
      <c r="G112" s="541">
        <f t="shared" si="26"/>
        <v>112</v>
      </c>
      <c r="H112" s="541">
        <f t="shared" si="26"/>
        <v>115</v>
      </c>
      <c r="I112" s="541">
        <f t="shared" si="26"/>
        <v>118</v>
      </c>
      <c r="J112" s="541">
        <f t="shared" si="26"/>
        <v>121</v>
      </c>
      <c r="K112" s="541">
        <f t="shared" si="26"/>
        <v>124</v>
      </c>
      <c r="L112" s="541">
        <f t="shared" si="26"/>
        <v>127</v>
      </c>
      <c r="M112" s="541">
        <f t="shared" si="26"/>
        <v>130</v>
      </c>
      <c r="N112" s="1150"/>
      <c r="O112" s="1150"/>
      <c r="P112" s="2669"/>
      <c r="Q112" s="501"/>
    </row>
    <row r="113" spans="1:17" s="468" customFormat="1" ht="15" thickTop="1">
      <c r="A113" s="590"/>
      <c r="B113" s="535" t="s">
        <v>2684</v>
      </c>
      <c r="C113" s="2940" t="s">
        <v>3082</v>
      </c>
      <c r="D113" s="2940" t="s">
        <v>3093</v>
      </c>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3088</v>
      </c>
      <c r="D115" s="2940" t="s">
        <v>3092</v>
      </c>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99</v>
      </c>
      <c r="E116" s="541">
        <f t="shared" si="28"/>
        <v>98</v>
      </c>
      <c r="F116" s="541">
        <f t="shared" si="28"/>
        <v>97</v>
      </c>
      <c r="G116" s="541">
        <f t="shared" si="28"/>
        <v>96</v>
      </c>
      <c r="H116" s="541">
        <f t="shared" si="28"/>
        <v>95</v>
      </c>
      <c r="I116" s="541">
        <f t="shared" si="28"/>
        <v>94</v>
      </c>
      <c r="J116" s="541">
        <f t="shared" si="28"/>
        <v>93</v>
      </c>
      <c r="K116" s="541">
        <f t="shared" si="28"/>
        <v>92</v>
      </c>
      <c r="L116" s="541">
        <f t="shared" si="28"/>
        <v>91</v>
      </c>
      <c r="M116" s="542">
        <f t="shared" si="28"/>
        <v>90</v>
      </c>
      <c r="N116" s="1150"/>
      <c r="O116" s="1150"/>
      <c r="P116" s="2669"/>
      <c r="Q116" s="501"/>
    </row>
    <row r="117" spans="1:17" ht="15" thickTop="1">
      <c r="A117" s="596"/>
      <c r="B117" s="535" t="s">
        <v>2602</v>
      </c>
      <c r="C117" s="2940" t="s">
        <v>3089</v>
      </c>
      <c r="D117" s="2940" t="s">
        <v>3107</v>
      </c>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50"/>
      <c r="O118" s="1150"/>
      <c r="P118" s="2669"/>
      <c r="Q118" s="501"/>
    </row>
    <row r="119" spans="1:17" ht="15" thickTop="1">
      <c r="A119" s="596"/>
      <c r="B119" s="633" t="s">
        <v>2685</v>
      </c>
      <c r="C119" s="2941" t="s">
        <v>3087</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99</v>
      </c>
      <c r="E120" s="541">
        <f t="shared" ref="E120:M120" si="29">D120-$K41</f>
        <v>98</v>
      </c>
      <c r="F120" s="541">
        <f t="shared" si="29"/>
        <v>97</v>
      </c>
      <c r="G120" s="541">
        <f t="shared" si="29"/>
        <v>96</v>
      </c>
      <c r="H120" s="541">
        <f t="shared" si="29"/>
        <v>95</v>
      </c>
      <c r="I120" s="541">
        <f t="shared" si="29"/>
        <v>94</v>
      </c>
      <c r="J120" s="541">
        <f t="shared" si="29"/>
        <v>93</v>
      </c>
      <c r="K120" s="541">
        <f t="shared" si="29"/>
        <v>92</v>
      </c>
      <c r="L120" s="541">
        <f t="shared" si="29"/>
        <v>91</v>
      </c>
      <c r="M120" s="541">
        <f t="shared" si="29"/>
        <v>90</v>
      </c>
      <c r="N120" s="1150"/>
      <c r="O120" s="1150"/>
      <c r="P120" s="2669"/>
      <c r="Q120" s="501"/>
    </row>
    <row r="121" spans="1:17" s="468" customFormat="1" ht="15" thickTop="1">
      <c r="A121" s="590"/>
      <c r="B121" s="535" t="s">
        <v>2668</v>
      </c>
      <c r="C121" s="551"/>
      <c r="D121" s="551"/>
      <c r="E121" s="551"/>
      <c r="F121" s="580"/>
      <c r="G121" s="552">
        <v>100</v>
      </c>
      <c r="H121" s="552"/>
      <c r="I121" s="552"/>
      <c r="J121" s="552"/>
      <c r="K121" s="552"/>
      <c r="L121" s="553"/>
      <c r="M121" s="554"/>
      <c r="N121" s="1151"/>
      <c r="O121" s="1151"/>
      <c r="P121" s="2670"/>
      <c r="Q121" s="556"/>
    </row>
    <row r="122" spans="1:17" s="468" customFormat="1" ht="15.75" thickBot="1">
      <c r="A122" s="550"/>
      <c r="B122" s="532"/>
      <c r="C122" s="557">
        <v>200</v>
      </c>
      <c r="D122" s="557">
        <v>400</v>
      </c>
      <c r="E122" s="557">
        <v>600</v>
      </c>
      <c r="F122" s="557">
        <v>800</v>
      </c>
      <c r="G122" s="557">
        <v>1000</v>
      </c>
      <c r="H122" s="557">
        <v>2000</v>
      </c>
      <c r="I122" s="557">
        <v>3000</v>
      </c>
      <c r="J122" s="557"/>
      <c r="K122" s="557"/>
      <c r="L122" s="557"/>
      <c r="M122" s="557"/>
      <c r="N122" s="1151"/>
      <c r="O122" s="1151"/>
      <c r="P122" s="2670"/>
      <c r="Q122" s="556"/>
    </row>
    <row r="123" spans="1:17" ht="15" thickTop="1">
      <c r="A123" s="596"/>
      <c r="B123" s="535" t="s">
        <v>2604</v>
      </c>
      <c r="C123" s="2940" t="s">
        <v>3081</v>
      </c>
      <c r="D123" s="2940" t="s">
        <v>3090</v>
      </c>
      <c r="E123" s="2940" t="s">
        <v>3091</v>
      </c>
      <c r="F123" s="2941" t="s">
        <v>3116</v>
      </c>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99</v>
      </c>
      <c r="E124" s="541">
        <f t="shared" si="30"/>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99</v>
      </c>
      <c r="E126" s="541">
        <f>D126-$K44</f>
        <v>98</v>
      </c>
      <c r="F126" s="541">
        <f>E126-$K44</f>
        <v>97</v>
      </c>
      <c r="G126" s="541">
        <f>F126-$K44</f>
        <v>96</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0.95</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46" t="s">
        <v>2510</v>
      </c>
      <c r="B1" s="2547"/>
      <c r="C1" s="2547"/>
      <c r="D1" s="2547"/>
      <c r="E1" s="2548"/>
    </row>
    <row r="2" spans="1:6" ht="15.75">
      <c r="A2" s="2549" t="s">
        <v>2314</v>
      </c>
      <c r="B2" s="2550">
        <f ca="1">SUMIF(B6:B13,"&lt;&gt;#ref!",B6:B13)</f>
        <v>5699</v>
      </c>
      <c r="C2" s="2551" t="s">
        <v>2503</v>
      </c>
      <c r="D2" s="2552" t="s">
        <v>2504</v>
      </c>
      <c r="E2" s="2553">
        <f>SUM(E6:E13)</f>
        <v>14503.86</v>
      </c>
    </row>
    <row r="3" spans="1:6" ht="15.75">
      <c r="A3" s="2549" t="s">
        <v>1395</v>
      </c>
      <c r="B3" s="2550">
        <f ca="1">ROUND(B2*10000/E2,0)</f>
        <v>3929</v>
      </c>
      <c r="C3" s="2551" t="s">
        <v>2511</v>
      </c>
      <c r="D3" s="2554"/>
      <c r="E3" s="2555"/>
    </row>
    <row r="4" spans="1:6" ht="15.75">
      <c r="A4" s="2556"/>
      <c r="B4" s="2554"/>
      <c r="C4" s="2554"/>
      <c r="D4" s="2554"/>
      <c r="E4" s="2555"/>
    </row>
    <row r="5" spans="1:6" ht="15">
      <c r="A5" s="2557" t="s">
        <v>2505</v>
      </c>
      <c r="B5" s="3330" t="s">
        <v>2506</v>
      </c>
      <c r="C5" s="3330"/>
      <c r="D5" s="2558"/>
      <c r="E5" s="2559" t="s">
        <v>2507</v>
      </c>
      <c r="F5" s="2560" t="s">
        <v>2508</v>
      </c>
    </row>
    <row r="6" spans="1:6">
      <c r="A6" s="2561">
        <f>'数据-取费表'!AN6</f>
        <v>0</v>
      </c>
      <c r="B6" s="2560" t="e">
        <f ca="1">IF(F6="是",'数据-取费表'!AO6,0)</f>
        <v>#REF!</v>
      </c>
      <c r="C6" s="2551" t="s">
        <v>2503</v>
      </c>
      <c r="D6" s="2554"/>
      <c r="E6" s="2562">
        <f>IF(OR(A6=0,F6="否"),0,'数据-取费表'!K6+'数据-取费表'!S6)</f>
        <v>0</v>
      </c>
      <c r="F6" s="2563" t="s">
        <v>2509</v>
      </c>
    </row>
    <row r="7" spans="1:6">
      <c r="A7" s="2561" t="str">
        <f>'数据-取费表'!AN7</f>
        <v>收益法</v>
      </c>
      <c r="B7" s="2560">
        <f ca="1">IF(F7="是",'数据-取费表'!AO7,0)</f>
        <v>2488</v>
      </c>
      <c r="C7" s="2551" t="s">
        <v>2503</v>
      </c>
      <c r="D7" s="2554"/>
      <c r="E7" s="2562">
        <f>IF(OR(A7=0,F7="否"),0,'数据-取费表'!K7+'数据-取费表'!S7)</f>
        <v>5371.18</v>
      </c>
      <c r="F7" s="2563" t="s">
        <v>2509</v>
      </c>
    </row>
    <row r="8" spans="1:6">
      <c r="A8" s="2561" t="str">
        <f>'数据-取费表'!AN8</f>
        <v>收益法 (2)</v>
      </c>
      <c r="B8" s="2560">
        <f ca="1">IF(F8="是",'数据-取费表'!AO8,0)</f>
        <v>3211</v>
      </c>
      <c r="C8" s="2551" t="s">
        <v>2503</v>
      </c>
      <c r="D8" s="2554"/>
      <c r="E8" s="2562">
        <f>IF(OR(A8=0,F8="否"),0,'数据-取费表'!K8+'数据-取费表'!S8)</f>
        <v>9132.68</v>
      </c>
      <c r="F8" s="2563" t="s">
        <v>2509</v>
      </c>
    </row>
    <row r="9" spans="1:6">
      <c r="A9" s="2561">
        <f>'数据-取费表'!AN9</f>
        <v>0</v>
      </c>
      <c r="B9" s="2560" t="e">
        <f ca="1">IF(F9="是",'数据-取费表'!AO9,0)</f>
        <v>#REF!</v>
      </c>
      <c r="C9" s="2551" t="s">
        <v>2503</v>
      </c>
      <c r="D9" s="2554"/>
      <c r="E9" s="2562">
        <f>IF(OR(A9=0,F9="否"),0,'数据-取费表'!K9+'数据-取费表'!S9)</f>
        <v>0</v>
      </c>
      <c r="F9" s="2563" t="s">
        <v>2509</v>
      </c>
    </row>
    <row r="10" spans="1:6">
      <c r="A10" s="2561">
        <f>'数据-取费表'!AN10</f>
        <v>0</v>
      </c>
      <c r="B10" s="2560" t="e">
        <f ca="1">IF(F10="是",'数据-取费表'!AO10,0)</f>
        <v>#REF!</v>
      </c>
      <c r="C10" s="2551" t="s">
        <v>2503</v>
      </c>
      <c r="D10" s="2554"/>
      <c r="E10" s="2562">
        <f>IF(OR(A10=0,F10="否"),0,'数据-取费表'!K10+'数据-取费表'!S10)</f>
        <v>0</v>
      </c>
      <c r="F10" s="2563" t="s">
        <v>2509</v>
      </c>
    </row>
    <row r="11" spans="1:6">
      <c r="A11" s="2561">
        <f>'数据-取费表'!AN11</f>
        <v>0</v>
      </c>
      <c r="B11" s="2560" t="e">
        <f ca="1">IF(F11="是",'数据-取费表'!AO11,0)</f>
        <v>#REF!</v>
      </c>
      <c r="C11" s="2551" t="s">
        <v>2503</v>
      </c>
      <c r="D11" s="2554"/>
      <c r="E11" s="2562">
        <f>IF(OR(A11=0,F11="否"),0,'数据-取费表'!K11+'数据-取费表'!S11)</f>
        <v>0</v>
      </c>
      <c r="F11" s="2563" t="s">
        <v>2509</v>
      </c>
    </row>
    <row r="12" spans="1:6">
      <c r="A12" s="2561">
        <f>'数据-取费表'!AN12</f>
        <v>0</v>
      </c>
      <c r="B12" s="2560" t="e">
        <f ca="1">IF(F12="是",'数据-取费表'!AO12,0)</f>
        <v>#REF!</v>
      </c>
      <c r="C12" s="2551" t="s">
        <v>2503</v>
      </c>
      <c r="D12" s="2554"/>
      <c r="E12" s="2562">
        <f>IF(OR(A12=0,F12="否"),0,'数据-取费表'!K12+'数据-取费表'!S12)</f>
        <v>0</v>
      </c>
      <c r="F12" s="2563" t="s">
        <v>2509</v>
      </c>
    </row>
    <row r="13" spans="1:6" ht="15" thickBot="1">
      <c r="A13" s="2564">
        <f>'数据-取费表'!AN13</f>
        <v>0</v>
      </c>
      <c r="B13" s="2560" t="e">
        <f ca="1">IF(F13="是",'数据-取费表'!AO13,0)</f>
        <v>#REF!</v>
      </c>
      <c r="C13" s="2565" t="s">
        <v>2503</v>
      </c>
      <c r="D13" s="2566"/>
      <c r="E13" s="2562">
        <f>IF(OR(A13=0,F13="否"),0,'数据-取费表'!K13+'数据-取费表'!S13)</f>
        <v>0</v>
      </c>
      <c r="F13" s="2563"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3120</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t="e">
        <f ca="1">C6+C10+C12</f>
        <v>#N/A</v>
      </c>
      <c r="D5" s="1816" t="s">
        <v>1402</v>
      </c>
      <c r="E5" s="1288"/>
      <c r="F5" s="1289"/>
      <c r="G5" s="1845"/>
      <c r="H5" s="342">
        <v>1</v>
      </c>
      <c r="I5" s="343" t="s">
        <v>1401</v>
      </c>
      <c r="J5" s="1287" t="e">
        <f ca="1">J6+J10+J12</f>
        <v>#N/A</v>
      </c>
      <c r="K5" s="1816" t="s">
        <v>1402</v>
      </c>
      <c r="L5" s="1288"/>
      <c r="M5" s="1289"/>
    </row>
    <row r="6" spans="1:37" ht="18" customHeight="1">
      <c r="A6" s="1286" t="s">
        <v>1035</v>
      </c>
      <c r="B6" s="3331" t="s">
        <v>1403</v>
      </c>
      <c r="C6" s="1291" t="e">
        <f ca="1">ROUND(F6*F8*F7*(1-F9)/10000,0)</f>
        <v>#N/A</v>
      </c>
      <c r="D6" s="162" t="s">
        <v>3014</v>
      </c>
      <c r="E6" s="345" t="s">
        <v>1405</v>
      </c>
      <c r="F6" s="346" t="e">
        <f ca="1">INDIRECT("'数据-取费表'!u"&amp;$G$1)</f>
        <v>#N/A</v>
      </c>
      <c r="G6" s="1845"/>
      <c r="H6" s="1286" t="s">
        <v>1035</v>
      </c>
      <c r="I6" s="3331" t="s">
        <v>1403</v>
      </c>
      <c r="J6" s="344" t="e">
        <f ca="1">ROUND(M6*M8*M7*(1-M9)/10000,0)</f>
        <v>#N/A</v>
      </c>
      <c r="K6" s="162" t="s">
        <v>3013</v>
      </c>
      <c r="L6" s="345" t="s">
        <v>1405</v>
      </c>
      <c r="M6" s="346" t="e">
        <f ca="1">INDIRECT("'数据-取费表'!z"&amp;$G$1)</f>
        <v>#N/A</v>
      </c>
    </row>
    <row r="7" spans="1:37" ht="18" customHeight="1">
      <c r="A7" s="1290"/>
      <c r="B7" s="3332"/>
      <c r="C7" s="1292"/>
      <c r="D7" s="350"/>
      <c r="E7" s="2948"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ROUND(IF(F10="押一",C6/12*F11,IF(F10="押二",C6/12*2*F11,IF(F10="押三",C6/12*3*F11,C11*F11)))/10000,0)</f>
        <v>#N/A</v>
      </c>
      <c r="D10" s="1818" t="s">
        <v>3022</v>
      </c>
      <c r="E10" s="356" t="s">
        <v>1410</v>
      </c>
      <c r="F10" s="1361" t="s">
        <v>3042</v>
      </c>
      <c r="G10" s="1845"/>
      <c r="H10" s="1286" t="s">
        <v>1039</v>
      </c>
      <c r="I10" s="1817" t="s">
        <v>1409</v>
      </c>
      <c r="J10" s="344" t="e">
        <f ca="1">ROUND(IF(M10="押一",J6/12*M11,IF(M10="押二",J6/12*2*M11,IF(M10="押三",J6/12*3*M11,J11*M11)))/10000,0)</f>
        <v>#N/A</v>
      </c>
      <c r="K10" s="1818" t="s">
        <v>3022</v>
      </c>
      <c r="L10" s="356" t="s">
        <v>1410</v>
      </c>
      <c r="M10" s="1361" t="s">
        <v>3042</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INDIRECT("'数据-取费表'!m"&amp;$G$1)+INDIRECT("'数据-取费表'!t"&amp;$G$1)</f>
        <v>#N/A</v>
      </c>
      <c r="D14" s="2951" t="s">
        <v>1418</v>
      </c>
      <c r="E14" s="2950"/>
      <c r="F14" s="362"/>
      <c r="G14" s="1845"/>
      <c r="H14" s="1198" t="s">
        <v>1035</v>
      </c>
      <c r="I14" s="345" t="s">
        <v>1419</v>
      </c>
      <c r="J14" s="24" t="e">
        <f ca="1">C29</f>
        <v>#N/A</v>
      </c>
      <c r="K14" s="2947"/>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ROUND(INDIRECT("'数据-取费表'!m"&amp;$G$1)*F16,0)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2953"/>
      <c r="M16" s="1289"/>
    </row>
    <row r="17" spans="1:37" s="1852" customFormat="1" ht="18" customHeight="1">
      <c r="A17" s="1198" t="s">
        <v>1390</v>
      </c>
      <c r="B17" s="345" t="s">
        <v>1426</v>
      </c>
      <c r="C17" s="24" t="e">
        <f ca="1">ROUND(F17*(F43+INDIRECT("'数据-取费表'!S"&amp;$G$1))/10000,0)</f>
        <v>#N/A</v>
      </c>
      <c r="D17" s="345" t="s">
        <v>1427</v>
      </c>
      <c r="E17" s="345" t="s">
        <v>1428</v>
      </c>
      <c r="F17" s="26">
        <f>'数据-取费表'!B35</f>
        <v>200</v>
      </c>
      <c r="G17" s="1848"/>
      <c r="H17" s="1198" t="s">
        <v>1035</v>
      </c>
      <c r="I17" s="345" t="s">
        <v>1429</v>
      </c>
      <c r="J17" s="24" t="e">
        <f ca="1">ROUND(IF(项目基本情况!B11="自然人",J5*M17,J18+J19+J20),1)</f>
        <v>#N/A</v>
      </c>
      <c r="K17" s="2951" t="s">
        <v>1430</v>
      </c>
      <c r="L17" s="295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ROUND(J5*M18/(1+'数据-取费表'!C42),2)</f>
        <v>#N/A</v>
      </c>
      <c r="K18" s="295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2946"/>
      <c r="F19" s="26"/>
      <c r="G19" s="1845"/>
      <c r="H19" s="1198" t="s">
        <v>1036</v>
      </c>
      <c r="I19" s="345" t="s">
        <v>1437</v>
      </c>
      <c r="J19" s="24" t="e">
        <f ca="1">IF(K19="按租金收入计税",ROUND(J5*M19,2),ROUND(C29*M19*0.7,2))</f>
        <v>#N/A</v>
      </c>
      <c r="K19" s="1822" t="s">
        <v>3151</v>
      </c>
      <c r="L19" s="345" t="s">
        <v>1422</v>
      </c>
      <c r="M19" s="365">
        <f>IF(K19="按租金收入计税",'数据-取费表'!B51,'数据-取费表'!B50)</f>
        <v>0.12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ROUND(M20*M21/10000,2)</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2946"/>
      <c r="F22" s="26"/>
      <c r="G22" s="1845"/>
      <c r="H22" s="1198" t="s">
        <v>1039</v>
      </c>
      <c r="I22" s="345" t="s">
        <v>1449</v>
      </c>
      <c r="J22" s="24" t="e">
        <f ca="1">ROUND(J14*M22,1)</f>
        <v>#N/A</v>
      </c>
      <c r="K22" s="295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ROUND(J13*M23,1)</f>
        <v>#N/A</v>
      </c>
      <c r="K23" s="2952" t="s">
        <v>1454</v>
      </c>
      <c r="L23" s="345" t="s">
        <v>1422</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1392</v>
      </c>
      <c r="I24" s="1335" t="s">
        <v>1439</v>
      </c>
      <c r="J24" s="1336" t="e">
        <f ca="1">ROUND(J5*M24,1)</f>
        <v>#N/A</v>
      </c>
      <c r="K24" s="1337" t="s">
        <v>1459</v>
      </c>
      <c r="L24" s="1335" t="s">
        <v>1422</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2946"/>
      <c r="F25" s="26"/>
      <c r="G25" s="1845"/>
      <c r="H25" s="1324" t="s">
        <v>1031</v>
      </c>
      <c r="I25" s="1339" t="s">
        <v>1463</v>
      </c>
      <c r="J25" s="353" t="e">
        <f ca="1">J5-J16</f>
        <v>#N/A</v>
      </c>
      <c r="K25" s="1340" t="s">
        <v>1464</v>
      </c>
      <c r="L25" s="1341"/>
      <c r="M25" s="1342"/>
    </row>
    <row r="26" spans="1:37">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2953"/>
      <c r="F30" s="1289"/>
      <c r="G30" s="1845"/>
      <c r="H30" s="740"/>
      <c r="I30" s="741"/>
      <c r="J30" s="742"/>
      <c r="K30" s="743"/>
      <c r="L30" s="744"/>
      <c r="M30" s="745"/>
    </row>
    <row r="31" spans="1:37" ht="18" customHeight="1">
      <c r="A31" s="1198" t="s">
        <v>1035</v>
      </c>
      <c r="B31" s="345" t="s">
        <v>1429</v>
      </c>
      <c r="C31" s="24" t="e">
        <f ca="1">ROUND(IF(项目基本情况!B11="自然人",C5*F31,C32+C33+C34),1)</f>
        <v>#N/A</v>
      </c>
      <c r="D31" s="2951" t="s">
        <v>1430</v>
      </c>
      <c r="E31" s="295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IF(项目基本情况!B11="自然人","——",ROUND(C5*F32/(1+'数据-取费表'!C42),2))</f>
        <v>#N/A</v>
      </c>
      <c r="D32" s="295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IF(项目基本情况!B11="自然人","——",IF(D33="按租金收入计税",ROUND(C5*F33,2),IF(D33="按房产原值计税",ROUND(C29*F33*0.7,2),INDIRECT("'数据-取费表'!Aj"&amp;$G$1))))</f>
        <v>#N/A</v>
      </c>
      <c r="D33" s="1822"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t="e">
        <f ca="1">IF(项目基本情况!B11="自然人","——",ROUND(F34*F35/10000,2))</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ROUND(C29*F36,1)</f>
        <v>#N/A</v>
      </c>
      <c r="D36" s="295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ROUND(C13*F37,1)</f>
        <v>#N/A</v>
      </c>
      <c r="D37" s="2952" t="s">
        <v>1454</v>
      </c>
      <c r="E37" s="345" t="s">
        <v>1422</v>
      </c>
      <c r="F37" s="374" t="e">
        <f ca="1">INDIRECT("'数据-取费表'!Al"&amp;$G$1)</f>
        <v>#N/A</v>
      </c>
      <c r="G37" s="1845"/>
      <c r="H37" s="1853"/>
      <c r="I37" s="1854"/>
      <c r="J37" s="1855"/>
      <c r="K37" s="746"/>
      <c r="L37" s="1853"/>
      <c r="M37" s="1853"/>
    </row>
    <row r="38" spans="1:18" ht="18" customHeight="1" thickBot="1">
      <c r="A38" s="1334" t="s">
        <v>1392</v>
      </c>
      <c r="B38" s="1335" t="s">
        <v>1439</v>
      </c>
      <c r="C38" s="1336" t="e">
        <f ca="1">ROUND(C5*F38,1)</f>
        <v>#N/A</v>
      </c>
      <c r="D38" s="1337" t="s">
        <v>1459</v>
      </c>
      <c r="E38" s="1335" t="s">
        <v>1422</v>
      </c>
      <c r="F38" s="1331" t="e">
        <f ca="1">INDIRECT("'数据-取费表'!Am"&amp;$G$1)</f>
        <v>#N/A</v>
      </c>
      <c r="G38" s="1845"/>
      <c r="H38" s="1853"/>
      <c r="I38" s="1854"/>
      <c r="J38" s="1855"/>
      <c r="K38" s="1859"/>
      <c r="L38" s="1853"/>
      <c r="M38" s="1853"/>
    </row>
    <row r="39" spans="1:18" ht="24.6" customHeight="1" thickTop="1">
      <c r="A39" s="1324" t="s">
        <v>1031</v>
      </c>
      <c r="B39" s="1339" t="s">
        <v>1463</v>
      </c>
      <c r="C39" s="353" t="e">
        <f ca="1">C5-C30</f>
        <v>#N/A</v>
      </c>
      <c r="D39" s="1340" t="s">
        <v>1464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ROUND(C40*10000/F43,0)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2945"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ROUND(F49*F51*F50*(1-F52)/10000,0)</f>
        <v>#N/A</v>
      </c>
      <c r="D49" s="1271" t="s">
        <v>3013</v>
      </c>
      <c r="E49" s="1824" t="s">
        <v>1491</v>
      </c>
      <c r="F49" s="1276">
        <f>'数据-取费表'!U7</f>
        <v>1</v>
      </c>
      <c r="G49" s="1885"/>
      <c r="H49" s="788"/>
      <c r="I49" s="1881" t="s">
        <v>1534</v>
      </c>
      <c r="J49" s="1886">
        <v>2005</v>
      </c>
      <c r="K49" s="1883" t="s">
        <v>1535</v>
      </c>
      <c r="L49" s="1887"/>
      <c r="O49" s="1888" t="s">
        <v>1042</v>
      </c>
      <c r="P49" s="1879" t="s">
        <v>1536</v>
      </c>
      <c r="Q49" s="1880" t="e">
        <f ca="1">C29</f>
        <v>#N/A</v>
      </c>
      <c r="R49" s="1880" t="s">
        <v>1529</v>
      </c>
    </row>
    <row r="50" spans="1:18" s="1836" customFormat="1" ht="13.5" thickBot="1">
      <c r="A50" s="1192"/>
      <c r="B50" s="1195"/>
      <c r="C50" s="1363"/>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47</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f>'数据-取费表'!W7</f>
        <v>0.1</v>
      </c>
      <c r="I52" s="1897" t="s">
        <v>1543</v>
      </c>
      <c r="J52" s="1898">
        <v>8.5000000000000006E-2</v>
      </c>
      <c r="K52" s="1897" t="s">
        <v>1544</v>
      </c>
      <c r="L52" s="1898"/>
      <c r="O52" s="1888" t="s">
        <v>1045</v>
      </c>
      <c r="P52" s="1879" t="s">
        <v>1545</v>
      </c>
      <c r="Q52" s="1880" t="e">
        <f ca="1">J53</f>
        <v>#N/A</v>
      </c>
      <c r="R52" s="1880" t="s">
        <v>1546</v>
      </c>
    </row>
    <row r="53" spans="1:18" s="1836" customFormat="1" ht="24.75" thickBot="1">
      <c r="A53" s="1400" t="s">
        <v>1137</v>
      </c>
      <c r="B53" s="1825" t="s">
        <v>1409</v>
      </c>
      <c r="C53" s="359" t="e">
        <f ca="1">ROUND(IF(F53="押一",C49/12*F11,IF(F53="押二",C49/12*2*F11,IF(F53="押三",C49/12*3*F11,C54*F11)))/10000,0)</f>
        <v>#N/A</v>
      </c>
      <c r="D53" s="1818" t="s">
        <v>3022</v>
      </c>
      <c r="E53" s="356" t="s">
        <v>1410</v>
      </c>
      <c r="F53" s="1361" t="s">
        <v>3042</v>
      </c>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401"/>
      <c r="B54" s="1819" t="s">
        <v>1388</v>
      </c>
      <c r="C54" s="1175"/>
      <c r="D54" s="1818"/>
      <c r="E54" s="2949"/>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2949"/>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3">
        <v>2</v>
      </c>
      <c r="B56" s="1174" t="s">
        <v>1414</v>
      </c>
      <c r="C56" s="274" t="e">
        <f ca="1">C13</f>
        <v>#N/A</v>
      </c>
      <c r="D56" s="1908"/>
      <c r="E56" s="1909"/>
      <c r="F56" s="1901"/>
      <c r="I56" s="1910" t="s">
        <v>1554</v>
      </c>
      <c r="J56" s="1911" t="s">
        <v>3031</v>
      </c>
      <c r="K56" s="1881" t="s">
        <v>1555</v>
      </c>
      <c r="L56" s="1884" t="e">
        <f ca="1">IF(L48&lt;J51,"——",L48-J53)</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ROUND(IF(项目基本情况!B11="自然人",C48*F59,C60+C61+C62),1)</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IF(项目基本情况!B11="自然人","——",ROUND(C48*F60/(1+'数据-取费表'!C42),2))</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1437</v>
      </c>
      <c r="C61" s="24" t="e">
        <f ca="1">IF(项目基本情况!B11="自然人","——",IF(D61="按租金收入计税",ROUND(C48*F61,2),IF(D61="按房产原值计税",ROUND(C57*F61*0.7,2),INDIRECT("'数据-取费表'!Aj"&amp;$G$1))))</f>
        <v>#N/A</v>
      </c>
      <c r="D61" s="1822" t="s">
        <v>1438</v>
      </c>
      <c r="E61" s="1166" t="s">
        <v>1422</v>
      </c>
      <c r="F61" s="365">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1441</v>
      </c>
      <c r="C62" s="25" t="e">
        <f ca="1">IF(项目基本情况!B11="自然人","——",ROUND(F62*F63/10000,2))</f>
        <v>#N/A</v>
      </c>
      <c r="D62" s="1181" t="s">
        <v>1442</v>
      </c>
      <c r="E62" s="1166" t="s">
        <v>1443</v>
      </c>
      <c r="F62" s="369">
        <f t="shared" si="0"/>
        <v>12</v>
      </c>
      <c r="I62" s="1923" t="s">
        <v>1570</v>
      </c>
      <c r="J62" s="1924" t="s">
        <v>1571</v>
      </c>
      <c r="K62" s="1924" t="s">
        <v>1572</v>
      </c>
      <c r="L62" s="1924" t="s">
        <v>1573</v>
      </c>
      <c r="M62" s="1925" t="s">
        <v>1574</v>
      </c>
      <c r="O62" s="1878" t="s">
        <v>1046</v>
      </c>
      <c r="P62" s="1879" t="s">
        <v>1549</v>
      </c>
      <c r="Q62" s="1880" t="e">
        <f ca="1">Q56+Q57</f>
        <v>#N/A</v>
      </c>
      <c r="R62" s="1880" t="s">
        <v>1047</v>
      </c>
    </row>
    <row r="63" spans="1:18" s="1836" customFormat="1" ht="13.5" thickBot="1">
      <c r="A63" s="370"/>
      <c r="B63" s="1172"/>
      <c r="C63" s="29"/>
      <c r="D63" s="1182"/>
      <c r="E63" s="1166" t="s">
        <v>1447</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t="e">
        <f ca="1">ROUND(C57*F64,1)</f>
        <v>#N/A</v>
      </c>
      <c r="D64" s="1180" t="s">
        <v>1482</v>
      </c>
      <c r="E64" s="1166" t="s">
        <v>1422</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ROUND(C56*F65,1)</f>
        <v>#N/A</v>
      </c>
      <c r="D65" s="1180" t="s">
        <v>1454</v>
      </c>
      <c r="E65" s="1166" t="s">
        <v>1422</v>
      </c>
      <c r="F65" s="374"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8" t="s">
        <v>1504</v>
      </c>
      <c r="B66" s="1166" t="s">
        <v>1439</v>
      </c>
      <c r="C66" s="24" t="e">
        <f ca="1">ROUND(C48*F66,1)</f>
        <v>#N/A</v>
      </c>
      <c r="D66" s="1180" t="s">
        <v>1459</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f>'数据-取费表'!V7</f>
        <v>1.4999999999999999E-2</v>
      </c>
      <c r="O70" s="1888" t="s">
        <v>1049</v>
      </c>
      <c r="P70" s="1928" t="s">
        <v>1585</v>
      </c>
      <c r="Q70" s="1880" t="e">
        <f ca="1">C13</f>
        <v>#N/A</v>
      </c>
      <c r="R70" s="1880" t="s">
        <v>1529</v>
      </c>
    </row>
    <row r="71" spans="1:18" s="1836" customFormat="1" ht="13.5" thickBot="1">
      <c r="A71" s="1187" t="s">
        <v>1033</v>
      </c>
      <c r="B71" s="1188" t="s">
        <v>1487</v>
      </c>
      <c r="C71" s="380" t="e">
        <f ca="1">ROUND(C68*10000/F71,0)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33" sqref="L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2513</v>
      </c>
      <c r="C1" s="1628" t="s">
        <v>2514</v>
      </c>
      <c r="D1" s="1615" t="s">
        <v>3167</v>
      </c>
      <c r="E1" s="2568"/>
      <c r="F1" s="2569" t="s">
        <v>2515</v>
      </c>
      <c r="G1" s="1625" t="s">
        <v>2516</v>
      </c>
      <c r="H1" s="1624"/>
      <c r="I1" s="1624"/>
      <c r="J1" s="1624"/>
      <c r="K1" s="1626"/>
      <c r="L1" s="1627"/>
      <c r="M1" s="1628"/>
      <c r="N1" s="1628"/>
      <c r="O1" s="1628"/>
      <c r="P1" s="2570"/>
      <c r="Q1" s="1614"/>
      <c r="R1" s="1614"/>
      <c r="S1" s="1614"/>
      <c r="T1" s="1614"/>
      <c r="U1" s="1614"/>
      <c r="V1" s="1614"/>
      <c r="W1" s="1614"/>
      <c r="X1" s="1614"/>
      <c r="Y1" s="1614"/>
      <c r="Z1" s="1614"/>
      <c r="AA1" s="1614"/>
      <c r="AB1" s="1614"/>
      <c r="AC1" s="1622"/>
    </row>
    <row r="2" spans="1:29" s="391" customFormat="1" ht="28.5" customHeight="1" thickTop="1">
      <c r="A2" s="1611" t="s">
        <v>1394</v>
      </c>
      <c r="B2" s="1413">
        <f>IF(C2="——",ROUND(C49*D3/10000,0),ROUND(C49*D3/10000,0)-D2)</f>
        <v>40415</v>
      </c>
      <c r="C2" s="2571" t="s">
        <v>70</v>
      </c>
      <c r="D2" s="1360" t="e">
        <f ca="1">SUMIF(INDIRECT("'"&amp;F2&amp;"'"&amp;"!A:A"),"承租人权益价值",INDIRECT("'"&amp;F2&amp;"'"&amp;"!c:c"))</f>
        <v>#REF!</v>
      </c>
      <c r="E2" s="2572" t="s">
        <v>2517</v>
      </c>
      <c r="F2" s="2573"/>
      <c r="G2" s="1121"/>
      <c r="H2" s="1121"/>
      <c r="I2" s="1121"/>
      <c r="J2" s="1121"/>
      <c r="K2" s="2574"/>
      <c r="L2" s="2575"/>
      <c r="M2" s="2576"/>
      <c r="N2" s="2576"/>
      <c r="O2" s="2576"/>
      <c r="P2" s="2577"/>
      <c r="Q2" s="2578"/>
      <c r="R2" s="2578"/>
      <c r="S2" s="2578"/>
      <c r="T2" s="2578"/>
      <c r="U2" s="2578"/>
      <c r="V2" s="2578"/>
      <c r="W2" s="2578"/>
      <c r="X2" s="2578"/>
      <c r="Y2" s="2578"/>
      <c r="Z2" s="2578"/>
      <c r="AA2" s="2578"/>
      <c r="AB2" s="2578"/>
      <c r="AC2" s="2579"/>
    </row>
    <row r="3" spans="1:29" s="391" customFormat="1" ht="28.5" customHeight="1" thickBot="1">
      <c r="A3" s="245" t="s">
        <v>1395</v>
      </c>
      <c r="B3" s="397">
        <f>IF(C2="——",C49,ROUND(B2*10000/D3,0))</f>
        <v>8220</v>
      </c>
      <c r="C3" s="398" t="s">
        <v>2518</v>
      </c>
      <c r="D3" s="397">
        <f>IF(D1="",'数据-汇总表'!E3,SUMIF('数据-汇总表'!$C19:$C33,D1,'数据-汇总表'!$E19:$E33))</f>
        <v>49166.119999999995</v>
      </c>
      <c r="E3" s="1121"/>
      <c r="F3" s="2580"/>
      <c r="G3" s="1121"/>
      <c r="H3" s="1121"/>
      <c r="I3" s="1121"/>
      <c r="J3" s="1121"/>
      <c r="K3" s="2574"/>
      <c r="L3" s="2575"/>
      <c r="M3" s="2576"/>
      <c r="N3" s="2576"/>
      <c r="O3" s="2576"/>
      <c r="P3" s="2577"/>
      <c r="Q3" s="2578"/>
      <c r="R3" s="2578"/>
      <c r="S3" s="2578"/>
      <c r="T3" s="2578"/>
      <c r="U3" s="2578"/>
      <c r="V3" s="2578"/>
      <c r="W3" s="2578"/>
      <c r="X3" s="2578"/>
      <c r="Y3" s="2578"/>
      <c r="Z3" s="2578"/>
      <c r="AA3" s="2578"/>
      <c r="AB3" s="2578"/>
      <c r="AC3" s="1277"/>
    </row>
    <row r="4" spans="1:29" ht="15">
      <c r="A4" s="399" t="s">
        <v>2519</v>
      </c>
      <c r="B4" s="400"/>
      <c r="C4" s="3266" t="s">
        <v>2520</v>
      </c>
      <c r="D4" s="3279"/>
      <c r="E4" s="3280" t="s">
        <v>2521</v>
      </c>
      <c r="F4" s="3281"/>
      <c r="G4" s="3266" t="s">
        <v>2522</v>
      </c>
      <c r="H4" s="3279"/>
      <c r="I4" s="3266" t="s">
        <v>2523</v>
      </c>
      <c r="J4" s="3279"/>
      <c r="K4" s="2581" t="s">
        <v>2524</v>
      </c>
      <c r="L4" s="1127"/>
      <c r="M4" s="1128"/>
      <c r="N4" s="1128"/>
      <c r="O4" s="1128"/>
      <c r="P4" s="3282" t="s">
        <v>2525</v>
      </c>
      <c r="Q4" s="3283"/>
      <c r="R4" s="3288" t="s">
        <v>2521</v>
      </c>
      <c r="S4" s="3289"/>
      <c r="T4" s="3288" t="s">
        <v>2522</v>
      </c>
      <c r="U4" s="3289"/>
      <c r="V4" s="3275" t="s">
        <v>2523</v>
      </c>
      <c r="W4" s="3275"/>
      <c r="X4" s="1807"/>
      <c r="Y4" s="3288" t="s">
        <v>2525</v>
      </c>
      <c r="Z4" s="3289"/>
      <c r="AA4" s="3276" t="s">
        <v>2521</v>
      </c>
      <c r="AB4" s="3276" t="s">
        <v>2522</v>
      </c>
      <c r="AC4" s="3276" t="s">
        <v>2523</v>
      </c>
    </row>
    <row r="5" spans="1:29" ht="15">
      <c r="A5" s="402"/>
      <c r="B5" s="403"/>
      <c r="C5" s="3309" t="s">
        <v>3270</v>
      </c>
      <c r="D5" s="3297"/>
      <c r="E5" s="3308" t="s">
        <v>3271</v>
      </c>
      <c r="F5" s="3304"/>
      <c r="G5" s="3309" t="s">
        <v>3539</v>
      </c>
      <c r="H5" s="3297"/>
      <c r="I5" s="3336" t="s">
        <v>3548</v>
      </c>
      <c r="J5" s="3337"/>
      <c r="K5" s="2582"/>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2582"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3"/>
      <c r="L7" s="1129"/>
      <c r="M7" s="1130"/>
      <c r="N7" s="1130"/>
      <c r="O7" s="1130"/>
      <c r="P7" s="3298" t="s">
        <v>2533</v>
      </c>
      <c r="Q7" s="3300"/>
      <c r="R7" s="765" t="s">
        <v>23</v>
      </c>
      <c r="S7" s="766">
        <f t="shared" ref="S7:S15" si="0">F7</f>
        <v>100</v>
      </c>
      <c r="T7" s="765" t="s">
        <v>23</v>
      </c>
      <c r="U7" s="766">
        <f t="shared" ref="U7:U15" si="1">H7</f>
        <v>100</v>
      </c>
      <c r="V7" s="765" t="s">
        <v>23</v>
      </c>
      <c r="W7" s="766">
        <f t="shared" ref="W7:W15" si="2">J7</f>
        <v>100</v>
      </c>
      <c r="X7" s="767"/>
      <c r="Y7" s="3298" t="s">
        <v>2533</v>
      </c>
      <c r="Z7" s="3299"/>
      <c r="AA7" s="768">
        <f>D7/F7</f>
        <v>1</v>
      </c>
      <c r="AB7" s="768">
        <f>D7/H7</f>
        <v>1</v>
      </c>
      <c r="AC7" s="768">
        <f>D7/J7</f>
        <v>1</v>
      </c>
    </row>
    <row r="8" spans="1:29" s="116" customFormat="1" ht="15.75" thickBot="1">
      <c r="A8" s="406" t="s">
        <v>2534</v>
      </c>
      <c r="B8" s="407"/>
      <c r="C8" s="412" t="s">
        <v>2535</v>
      </c>
      <c r="D8" s="409">
        <v>100</v>
      </c>
      <c r="E8" s="2584" t="s">
        <v>3048</v>
      </c>
      <c r="F8" s="411">
        <f>SUMIF(61:61,E8,62:62)-SUMIF(61:61,C8,62:62)+100</f>
        <v>100</v>
      </c>
      <c r="G8" s="412" t="s">
        <v>3048</v>
      </c>
      <c r="H8" s="409">
        <f>SUMIF(61:61,G8,62:62)-SUMIF(61:61,C8,62:62)+100</f>
        <v>100</v>
      </c>
      <c r="I8" s="2584" t="s">
        <v>3048</v>
      </c>
      <c r="J8" s="409">
        <f>SUMIF(61:61,I8,62:62)-SUMIF(61:61,C8,62:62)+100</f>
        <v>100</v>
      </c>
      <c r="K8" s="2583"/>
      <c r="L8" s="1129"/>
      <c r="M8" s="1130"/>
      <c r="N8" s="1130"/>
      <c r="O8" s="1130"/>
      <c r="P8" s="3298" t="s">
        <v>2536</v>
      </c>
      <c r="Q8" s="3299"/>
      <c r="R8" s="765" t="s">
        <v>23</v>
      </c>
      <c r="S8" s="766">
        <f t="shared" si="0"/>
        <v>100</v>
      </c>
      <c r="T8" s="765" t="s">
        <v>23</v>
      </c>
      <c r="U8" s="766">
        <f t="shared" si="1"/>
        <v>100</v>
      </c>
      <c r="V8" s="765" t="s">
        <v>23</v>
      </c>
      <c r="W8" s="766">
        <f t="shared" si="2"/>
        <v>100</v>
      </c>
      <c r="X8" s="767"/>
      <c r="Y8" s="3298" t="s">
        <v>2536</v>
      </c>
      <c r="Z8" s="3299"/>
      <c r="AA8" s="768">
        <f t="shared" ref="AA8:AA19" si="3">D8/F8</f>
        <v>1</v>
      </c>
      <c r="AB8" s="768">
        <f t="shared" ref="AB8:AB19" si="4">D8/H8</f>
        <v>1</v>
      </c>
      <c r="AC8" s="768">
        <f t="shared" ref="AC8:AC19" si="5">D8/J8</f>
        <v>1</v>
      </c>
    </row>
    <row r="9" spans="1:29" s="116" customFormat="1">
      <c r="A9" s="413" t="s">
        <v>2537</v>
      </c>
      <c r="B9" s="71" t="s">
        <v>2538</v>
      </c>
      <c r="C9" s="2934" t="s">
        <v>3272</v>
      </c>
      <c r="D9" s="133">
        <v>100</v>
      </c>
      <c r="E9" s="415" t="s">
        <v>3165</v>
      </c>
      <c r="F9" s="416">
        <f>SUMIF(63:63,E9,64:64)-SUMIF(63:63,C9,64:64)+100</f>
        <v>100</v>
      </c>
      <c r="G9" s="417" t="s">
        <v>3165</v>
      </c>
      <c r="H9" s="133">
        <f>SUMIF(63:63,G9,64:64)-SUMIF(63:63,C9,64:64)+100</f>
        <v>100</v>
      </c>
      <c r="I9" s="417" t="s">
        <v>3165</v>
      </c>
      <c r="J9" s="133">
        <f>SUMIF(63:63,I9,64:64)-SUMIF(63:63,C9,64:64)+100</f>
        <v>100</v>
      </c>
      <c r="K9" s="2583"/>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3273</v>
      </c>
      <c r="F10" s="422">
        <f>SUMIF(65:65,E10,66:66)-SUMIF(65:65,C10,66:66)+100</f>
        <v>100</v>
      </c>
      <c r="G10" s="420" t="s">
        <v>3274</v>
      </c>
      <c r="H10" s="134">
        <f>SUMIF(65:65,G10,66:66)-SUMIF(65:65,C10,66:66)+100</f>
        <v>99</v>
      </c>
      <c r="I10" s="420" t="s">
        <v>3274</v>
      </c>
      <c r="J10" s="134">
        <f>SUMIF(65:65,I10,66:66)-SUMIF(65:65,C10,66:66)+100</f>
        <v>99</v>
      </c>
      <c r="K10" s="423">
        <v>1</v>
      </c>
      <c r="L10" s="1132"/>
      <c r="M10" s="1133"/>
      <c r="N10" s="1133"/>
      <c r="O10" s="1133"/>
      <c r="P10" s="3268"/>
      <c r="Q10" s="1789" t="str">
        <f t="shared" si="6"/>
        <v>土地使用年限（年）</v>
      </c>
      <c r="R10" s="765" t="s">
        <v>17</v>
      </c>
      <c r="S10" s="766">
        <f t="shared" si="0"/>
        <v>100</v>
      </c>
      <c r="T10" s="765" t="s">
        <v>17</v>
      </c>
      <c r="U10" s="766">
        <f t="shared" si="1"/>
        <v>99</v>
      </c>
      <c r="V10" s="765" t="s">
        <v>17</v>
      </c>
      <c r="W10" s="766">
        <f t="shared" si="2"/>
        <v>99</v>
      </c>
      <c r="X10" s="767"/>
      <c r="Y10" s="3117"/>
      <c r="Z10" s="55" t="str">
        <f t="shared" si="7"/>
        <v>土地使用年限（年）</v>
      </c>
      <c r="AA10" s="768">
        <f t="shared" si="3"/>
        <v>1</v>
      </c>
      <c r="AB10" s="768">
        <f t="shared" si="4"/>
        <v>1.0101010101010102</v>
      </c>
      <c r="AC10" s="768">
        <f t="shared" si="5"/>
        <v>1.0101010101010102</v>
      </c>
    </row>
    <row r="11" spans="1:29" ht="15">
      <c r="A11" s="425"/>
      <c r="B11" s="3070" t="s">
        <v>2542</v>
      </c>
      <c r="C11" s="426">
        <f>'数据-汇总表'!I5</f>
        <v>1.26</v>
      </c>
      <c r="D11" s="134">
        <v>100</v>
      </c>
      <c r="E11" s="427">
        <f>'[2]比较法-住宅'!$E$11</f>
        <v>2.8</v>
      </c>
      <c r="F11" s="422">
        <f>LOOKUP(E11,68:68,69:69)-LOOKUP(C11,68:68,69:69)+100</f>
        <v>98</v>
      </c>
      <c r="G11" s="426">
        <f>'[2]比较法-住宅'!$G$11</f>
        <v>2.4</v>
      </c>
      <c r="H11" s="134">
        <f>LOOKUP(G11,68:68,69:69)-LOOKUP(C11,68:68,69:69)+100</f>
        <v>98</v>
      </c>
      <c r="I11" s="426">
        <f>'[2]比较法-住宅'!$I$11</f>
        <v>2.19</v>
      </c>
      <c r="J11" s="134">
        <f>LOOKUP(I11,68:68,69:69)-LOOKUP(C11,68:68,69:69)+100</f>
        <v>98</v>
      </c>
      <c r="K11" s="423">
        <f>'[2]比较法-住宅'!$K$11</f>
        <v>2</v>
      </c>
      <c r="L11" s="1135"/>
      <c r="M11" s="1128"/>
      <c r="N11" s="1128"/>
      <c r="O11" s="1128"/>
      <c r="P11" s="3268"/>
      <c r="Q11" s="1789" t="str">
        <f t="shared" si="6"/>
        <v>容积率</v>
      </c>
      <c r="R11" s="765" t="s">
        <v>21</v>
      </c>
      <c r="S11" s="766">
        <f t="shared" si="0"/>
        <v>98</v>
      </c>
      <c r="T11" s="765" t="s">
        <v>21</v>
      </c>
      <c r="U11" s="766">
        <f t="shared" si="1"/>
        <v>98</v>
      </c>
      <c r="V11" s="765" t="s">
        <v>21</v>
      </c>
      <c r="W11" s="766">
        <f t="shared" si="2"/>
        <v>98</v>
      </c>
      <c r="X11" s="767"/>
      <c r="Y11" s="3117"/>
      <c r="Z11" s="55" t="str">
        <f t="shared" si="7"/>
        <v>容积率</v>
      </c>
      <c r="AA11" s="768">
        <f t="shared" si="3"/>
        <v>1.0204081632653061</v>
      </c>
      <c r="AB11" s="768">
        <f t="shared" si="4"/>
        <v>1.0204081632653061</v>
      </c>
      <c r="AC11" s="768">
        <f t="shared" si="5"/>
        <v>1.0204081632653061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9"/>
      <c r="M12" s="1130"/>
      <c r="N12" s="1130"/>
      <c r="O12" s="1130"/>
      <c r="P12" s="3268"/>
      <c r="Q12" s="1789">
        <f t="shared" si="6"/>
        <v>111</v>
      </c>
      <c r="R12" s="765" t="s">
        <v>21</v>
      </c>
      <c r="S12" s="766">
        <f t="shared" si="0"/>
        <v>100</v>
      </c>
      <c r="T12" s="765" t="s">
        <v>21</v>
      </c>
      <c r="U12" s="766">
        <f t="shared" si="1"/>
        <v>100</v>
      </c>
      <c r="V12" s="765" t="s">
        <v>21</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7"/>
      <c r="M13" s="1128"/>
      <c r="N13" s="1128"/>
      <c r="O13" s="1128"/>
      <c r="P13" s="3268"/>
      <c r="Q13" s="1789">
        <f t="shared" si="6"/>
        <v>111</v>
      </c>
      <c r="R13" s="765" t="s">
        <v>21</v>
      </c>
      <c r="S13" s="766">
        <f t="shared" si="0"/>
        <v>100</v>
      </c>
      <c r="T13" s="765" t="s">
        <v>21</v>
      </c>
      <c r="U13" s="766">
        <f t="shared" si="1"/>
        <v>100</v>
      </c>
      <c r="V13" s="765" t="s">
        <v>21</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7"/>
      <c r="M14" s="1128"/>
      <c r="N14" s="1128"/>
      <c r="O14" s="1128"/>
      <c r="P14" s="3268"/>
      <c r="Q14" s="1789">
        <f t="shared" si="6"/>
        <v>111</v>
      </c>
      <c r="R14" s="765" t="s">
        <v>21</v>
      </c>
      <c r="S14" s="766">
        <f t="shared" si="0"/>
        <v>100</v>
      </c>
      <c r="T14" s="765" t="s">
        <v>21</v>
      </c>
      <c r="U14" s="766">
        <f t="shared" si="1"/>
        <v>100</v>
      </c>
      <c r="V14" s="765" t="s">
        <v>21</v>
      </c>
      <c r="W14" s="766">
        <f t="shared" si="2"/>
        <v>100</v>
      </c>
      <c r="X14" s="767"/>
      <c r="Y14" s="3117"/>
      <c r="Z14" s="55">
        <f t="shared" si="7"/>
        <v>111</v>
      </c>
      <c r="AA14" s="768">
        <f t="shared" si="3"/>
        <v>1</v>
      </c>
      <c r="AB14" s="768">
        <f t="shared" si="4"/>
        <v>1</v>
      </c>
      <c r="AC14" s="768">
        <f t="shared" si="5"/>
        <v>1</v>
      </c>
    </row>
    <row r="15" spans="1:29" ht="15">
      <c r="A15" s="437" t="s">
        <v>2543</v>
      </c>
      <c r="B15" s="3063" t="s">
        <v>2083</v>
      </c>
      <c r="C15" s="2588">
        <f>估价对象房地状况!C3</f>
        <v>0</v>
      </c>
      <c r="D15" s="438">
        <v>100</v>
      </c>
      <c r="E15" s="441"/>
      <c r="F15" s="438">
        <f>SUMIF(76:76,E16,77:77)-SUMIF(76:76,C16,77:77)+100</f>
        <v>102</v>
      </c>
      <c r="G15" s="439"/>
      <c r="H15" s="438">
        <f>SUMIF(76:76,G16,77:77)-SUMIF(76:76,C16,77:77)+100</f>
        <v>102</v>
      </c>
      <c r="I15" s="439"/>
      <c r="J15" s="438">
        <f>SUMIF(76:76,I16,77:77)-SUMIF(76:76,C16,77:77)+100</f>
        <v>102</v>
      </c>
      <c r="K15" s="442">
        <v>1</v>
      </c>
      <c r="L15" s="1137"/>
      <c r="M15" s="1128"/>
      <c r="N15" s="1128"/>
      <c r="O15" s="1128"/>
      <c r="P15" s="3313" t="s">
        <v>2544</v>
      </c>
      <c r="Q15" s="1804" t="str">
        <f t="shared" si="6"/>
        <v>居住社区成熟度</v>
      </c>
      <c r="R15" s="769" t="s">
        <v>21</v>
      </c>
      <c r="S15" s="770">
        <f t="shared" si="0"/>
        <v>102</v>
      </c>
      <c r="T15" s="769" t="s">
        <v>21</v>
      </c>
      <c r="U15" s="770">
        <f t="shared" si="1"/>
        <v>102</v>
      </c>
      <c r="V15" s="769" t="s">
        <v>21</v>
      </c>
      <c r="W15" s="770">
        <f t="shared" si="2"/>
        <v>102</v>
      </c>
      <c r="X15" s="1807"/>
      <c r="Y15" s="3271" t="s">
        <v>2544</v>
      </c>
      <c r="Z15" s="1808" t="str">
        <f t="shared" si="7"/>
        <v>居住社区成熟度</v>
      </c>
      <c r="AA15" s="1805">
        <f t="shared" si="3"/>
        <v>0.98039215686274506</v>
      </c>
      <c r="AB15" s="1805">
        <f t="shared" si="4"/>
        <v>0.98039215686274506</v>
      </c>
      <c r="AC15" s="1805">
        <f t="shared" si="5"/>
        <v>0.98039215686274506</v>
      </c>
    </row>
    <row r="16" spans="1:29" ht="15">
      <c r="A16" s="425"/>
      <c r="B16" s="443"/>
      <c r="C16" s="444" t="s">
        <v>3275</v>
      </c>
      <c r="D16" s="445"/>
      <c r="E16" s="2589" t="s">
        <v>3055</v>
      </c>
      <c r="F16" s="445"/>
      <c r="G16" s="2590" t="s">
        <v>3055</v>
      </c>
      <c r="H16" s="447"/>
      <c r="I16" s="2590" t="s">
        <v>3055</v>
      </c>
      <c r="J16" s="445"/>
      <c r="K16" s="2591"/>
      <c r="L16" s="1137"/>
      <c r="M16" s="1128"/>
      <c r="N16" s="1128"/>
      <c r="O16" s="1128"/>
      <c r="P16" s="3314"/>
      <c r="Q16" s="1804"/>
      <c r="R16" s="769"/>
      <c r="S16" s="770"/>
      <c r="T16" s="769"/>
      <c r="U16" s="770"/>
      <c r="V16" s="769"/>
      <c r="W16" s="770"/>
      <c r="X16" s="1807"/>
      <c r="Y16" s="3272"/>
      <c r="Z16" s="1808"/>
      <c r="AA16" s="1805">
        <v>1</v>
      </c>
      <c r="AB16" s="1805">
        <v>1</v>
      </c>
      <c r="AC16" s="1805">
        <v>1</v>
      </c>
    </row>
    <row r="17" spans="1:29" ht="15">
      <c r="A17" s="425"/>
      <c r="B17" s="448" t="s">
        <v>2089</v>
      </c>
      <c r="C17" s="2592">
        <f>估价对象房地状况!C6</f>
        <v>0</v>
      </c>
      <c r="D17" s="447">
        <v>100</v>
      </c>
      <c r="E17" s="451"/>
      <c r="F17" s="447">
        <f>SUMIF(78:78,E18,79:79)-SUMIF(78:78,C18,79:79)+100</f>
        <v>100</v>
      </c>
      <c r="G17" s="449"/>
      <c r="H17" s="452">
        <f>SUMIF(78:78,G18,79:79)-SUMIF(78:78,C18,79:79)+100</f>
        <v>100</v>
      </c>
      <c r="I17" s="449"/>
      <c r="J17" s="452">
        <f>SUMIF(78:78,I18,79:79)-SUMIF(78:78,C18,79:79)+100</f>
        <v>98</v>
      </c>
      <c r="K17" s="442">
        <v>2</v>
      </c>
      <c r="L17" s="1137"/>
      <c r="M17" s="1128"/>
      <c r="N17" s="1128"/>
      <c r="O17" s="1128"/>
      <c r="P17" s="3314"/>
      <c r="Q17" s="1804" t="str">
        <f>B17</f>
        <v>交通便捷度</v>
      </c>
      <c r="R17" s="769" t="s">
        <v>21</v>
      </c>
      <c r="S17" s="770">
        <f>F17</f>
        <v>100</v>
      </c>
      <c r="T17" s="769" t="s">
        <v>21</v>
      </c>
      <c r="U17" s="770">
        <f>H17</f>
        <v>100</v>
      </c>
      <c r="V17" s="769" t="s">
        <v>21</v>
      </c>
      <c r="W17" s="770">
        <f>J17</f>
        <v>98</v>
      </c>
      <c r="X17" s="1807"/>
      <c r="Y17" s="3272"/>
      <c r="Z17" s="1808" t="str">
        <f>Q17</f>
        <v>交通便捷度</v>
      </c>
      <c r="AA17" s="1805">
        <f t="shared" si="3"/>
        <v>1</v>
      </c>
      <c r="AB17" s="1805">
        <f t="shared" si="4"/>
        <v>1</v>
      </c>
      <c r="AC17" s="1805">
        <f t="shared" si="5"/>
        <v>1.0204081632653061</v>
      </c>
    </row>
    <row r="18" spans="1:29" ht="15">
      <c r="A18" s="425"/>
      <c r="B18" s="453"/>
      <c r="C18" s="2593" t="s">
        <v>3276</v>
      </c>
      <c r="D18" s="447"/>
      <c r="E18" s="2594" t="s">
        <v>3276</v>
      </c>
      <c r="F18" s="447"/>
      <c r="G18" s="2595" t="s">
        <v>3276</v>
      </c>
      <c r="H18" s="445"/>
      <c r="I18" s="2595" t="s">
        <v>3275</v>
      </c>
      <c r="J18" s="445"/>
      <c r="K18" s="2591"/>
      <c r="L18" s="1137"/>
      <c r="M18" s="1128"/>
      <c r="N18" s="1128"/>
      <c r="O18" s="1128"/>
      <c r="P18" s="3314"/>
      <c r="Q18" s="1804"/>
      <c r="R18" s="769"/>
      <c r="S18" s="770"/>
      <c r="T18" s="769"/>
      <c r="U18" s="770"/>
      <c r="V18" s="769"/>
      <c r="W18" s="770"/>
      <c r="X18" s="1807"/>
      <c r="Y18" s="3272"/>
      <c r="Z18" s="1808"/>
      <c r="AA18" s="1805">
        <v>1</v>
      </c>
      <c r="AB18" s="1805">
        <v>1</v>
      </c>
      <c r="AC18" s="1805">
        <v>1</v>
      </c>
    </row>
    <row r="19" spans="1:29" ht="15">
      <c r="A19" s="425"/>
      <c r="B19" s="448" t="s">
        <v>2088</v>
      </c>
      <c r="C19" s="2592">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7"/>
      <c r="M19" s="1128"/>
      <c r="N19" s="1128"/>
      <c r="O19" s="1128"/>
      <c r="P19" s="3314"/>
      <c r="Q19" s="1804" t="str">
        <f>B19</f>
        <v>公共配套设施</v>
      </c>
      <c r="R19" s="769" t="s">
        <v>21</v>
      </c>
      <c r="S19" s="770">
        <f>F19</f>
        <v>102</v>
      </c>
      <c r="T19" s="769" t="s">
        <v>21</v>
      </c>
      <c r="U19" s="770">
        <f>H19</f>
        <v>102</v>
      </c>
      <c r="V19" s="769" t="s">
        <v>21</v>
      </c>
      <c r="W19" s="770">
        <f>J19</f>
        <v>100</v>
      </c>
      <c r="X19" s="1807"/>
      <c r="Y19" s="3272"/>
      <c r="Z19" s="1808" t="str">
        <f>Q19</f>
        <v>公共配套设施</v>
      </c>
      <c r="AA19" s="1805">
        <f t="shared" si="3"/>
        <v>0.98039215686274506</v>
      </c>
      <c r="AB19" s="1805">
        <f t="shared" si="4"/>
        <v>0.98039215686274506</v>
      </c>
      <c r="AC19" s="1805">
        <f t="shared" si="5"/>
        <v>1</v>
      </c>
    </row>
    <row r="20" spans="1:29" ht="15">
      <c r="A20" s="425"/>
      <c r="B20" s="453"/>
      <c r="C20" s="444" t="s">
        <v>3276</v>
      </c>
      <c r="D20" s="445"/>
      <c r="E20" s="2589" t="s">
        <v>3055</v>
      </c>
      <c r="F20" s="445"/>
      <c r="G20" s="2590" t="s">
        <v>3055</v>
      </c>
      <c r="H20" s="445"/>
      <c r="I20" s="2590" t="s">
        <v>3276</v>
      </c>
      <c r="J20" s="445"/>
      <c r="K20" s="2591"/>
      <c r="L20" s="1137"/>
      <c r="M20" s="1128"/>
      <c r="N20" s="1128"/>
      <c r="O20" s="1128"/>
      <c r="P20" s="3314"/>
      <c r="Q20" s="1804"/>
      <c r="R20" s="769"/>
      <c r="S20" s="770"/>
      <c r="T20" s="769"/>
      <c r="U20" s="770"/>
      <c r="V20" s="769"/>
      <c r="W20" s="770"/>
      <c r="X20" s="1807"/>
      <c r="Y20" s="3272"/>
      <c r="Z20" s="1808"/>
      <c r="AA20" s="1805">
        <v>1</v>
      </c>
      <c r="AB20" s="1805">
        <v>1</v>
      </c>
      <c r="AC20" s="1805">
        <v>1</v>
      </c>
    </row>
    <row r="21" spans="1:29" ht="15">
      <c r="A21" s="425"/>
      <c r="B21" s="1379" t="s">
        <v>2090</v>
      </c>
      <c r="C21" s="2592">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5"/>
      <c r="G22" s="2596" t="s">
        <v>3052</v>
      </c>
      <c r="H22" s="445"/>
      <c r="I22" s="444" t="s">
        <v>3052</v>
      </c>
      <c r="J22" s="445"/>
      <c r="K22" s="2597"/>
      <c r="L22" s="1137"/>
      <c r="M22" s="1128"/>
      <c r="N22" s="1128"/>
      <c r="O22" s="1128"/>
      <c r="P22" s="3314"/>
      <c r="Q22" s="1804"/>
      <c r="R22" s="769"/>
      <c r="S22" s="770"/>
      <c r="T22" s="769"/>
      <c r="U22" s="770"/>
      <c r="V22" s="769"/>
      <c r="W22" s="770"/>
      <c r="X22" s="1807"/>
      <c r="Y22" s="3272"/>
      <c r="Z22" s="1808"/>
      <c r="AA22" s="1805">
        <v>1</v>
      </c>
      <c r="AB22" s="1805">
        <v>1</v>
      </c>
      <c r="AC22" s="1805">
        <v>1</v>
      </c>
    </row>
    <row r="23" spans="1:29" ht="15">
      <c r="A23" s="425"/>
      <c r="B23" s="448" t="s">
        <v>2092</v>
      </c>
      <c r="C23" s="2592">
        <f>估价对象房地状况!C9</f>
        <v>0</v>
      </c>
      <c r="D23" s="447">
        <v>100</v>
      </c>
      <c r="E23" s="451"/>
      <c r="F23" s="447">
        <f>SUMIF(84:84,E24,85:85)-SUMIF(84:84,C24,85:85)+100</f>
        <v>100</v>
      </c>
      <c r="G23" s="449"/>
      <c r="H23" s="447">
        <f>SUMIF(84:84,G24,85:85)-SUMIF(84:84,C24,85:85)+100</f>
        <v>100</v>
      </c>
      <c r="I23" s="449"/>
      <c r="J23" s="447">
        <f>SUMIF(84:84,I24,85:85)-SUMIF(84:84,C24,85:85)+100</f>
        <v>100</v>
      </c>
      <c r="K23" s="442">
        <v>2</v>
      </c>
      <c r="L23" s="1137"/>
      <c r="M23" s="1128"/>
      <c r="N23" s="1128"/>
      <c r="O23" s="1128"/>
      <c r="P23" s="3314"/>
      <c r="Q23" s="1804" t="str">
        <f>B23</f>
        <v>自然及人文环境</v>
      </c>
      <c r="R23" s="769" t="s">
        <v>21</v>
      </c>
      <c r="S23" s="770">
        <f>F23</f>
        <v>100</v>
      </c>
      <c r="T23" s="769" t="s">
        <v>21</v>
      </c>
      <c r="U23" s="770">
        <f>H23</f>
        <v>100</v>
      </c>
      <c r="V23" s="769" t="s">
        <v>21</v>
      </c>
      <c r="W23" s="770">
        <f>J23</f>
        <v>100</v>
      </c>
      <c r="X23" s="1807"/>
      <c r="Y23" s="3272"/>
      <c r="Z23" s="1808" t="str">
        <f>Q23</f>
        <v>自然及人文环境</v>
      </c>
      <c r="AA23" s="1805">
        <f>D23/F23</f>
        <v>1</v>
      </c>
      <c r="AB23" s="1805">
        <f>D23/H23</f>
        <v>1</v>
      </c>
      <c r="AC23" s="1805">
        <f>D23/J23</f>
        <v>1</v>
      </c>
    </row>
    <row r="24" spans="1:29" ht="15">
      <c r="A24" s="425"/>
      <c r="B24" s="453"/>
      <c r="C24" s="444" t="s">
        <v>3055</v>
      </c>
      <c r="D24" s="445"/>
      <c r="E24" s="2589" t="s">
        <v>3055</v>
      </c>
      <c r="F24" s="445"/>
      <c r="G24" s="2590" t="s">
        <v>3055</v>
      </c>
      <c r="H24" s="445"/>
      <c r="I24" s="2590" t="s">
        <v>3055</v>
      </c>
      <c r="J24" s="445"/>
      <c r="K24" s="2591"/>
      <c r="L24" s="1137"/>
      <c r="M24" s="1128"/>
      <c r="N24" s="1128"/>
      <c r="O24" s="1128"/>
      <c r="P24" s="3314"/>
      <c r="Q24" s="1804"/>
      <c r="R24" s="769"/>
      <c r="S24" s="770"/>
      <c r="T24" s="769"/>
      <c r="U24" s="770"/>
      <c r="V24" s="769"/>
      <c r="W24" s="770"/>
      <c r="X24" s="1807"/>
      <c r="Y24" s="3272"/>
      <c r="Z24" s="1808"/>
      <c r="AA24" s="1805">
        <v>1</v>
      </c>
      <c r="AB24" s="1805">
        <v>1</v>
      </c>
      <c r="AC24" s="1805">
        <v>1</v>
      </c>
    </row>
    <row r="25" spans="1:29" ht="15">
      <c r="A25" s="425"/>
      <c r="B25" s="419" t="s">
        <v>2545</v>
      </c>
      <c r="C25" s="457"/>
      <c r="D25" s="432">
        <v>100</v>
      </c>
      <c r="E25" s="2598"/>
      <c r="F25" s="432">
        <f>SUMIF(86:86,E25,87:87)-SUMIF(86:86,C25,87:87)+100</f>
        <v>100</v>
      </c>
      <c r="G25" s="2599"/>
      <c r="H25" s="432">
        <f>SUMIF(86:86,G25,87:87)-SUMIF(86:86,C25,87:87)+100</f>
        <v>100</v>
      </c>
      <c r="I25" s="2599"/>
      <c r="J25" s="432">
        <f>SUMIF(86:86,I25,87:87)-SUMIF(86:86,C25,87:87)+100</f>
        <v>100</v>
      </c>
      <c r="K25" s="423">
        <v>0</v>
      </c>
      <c r="L25" s="1137"/>
      <c r="M25" s="1128"/>
      <c r="N25" s="1128"/>
      <c r="O25" s="1128"/>
      <c r="P25" s="3314"/>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72"/>
      <c r="Z25" s="1808" t="str">
        <f>Q25</f>
        <v>楼层-1</v>
      </c>
      <c r="AA25" s="1805">
        <f t="shared" ref="AA25:AA46" si="15">D25/F25</f>
        <v>1</v>
      </c>
      <c r="AB25" s="1805">
        <f t="shared" ref="AB25:AB46" si="16">D25/H25</f>
        <v>1</v>
      </c>
      <c r="AC25" s="1805">
        <f t="shared" ref="AC25:AC46" si="17">D25/J25</f>
        <v>1</v>
      </c>
    </row>
    <row r="26" spans="1:29" ht="15">
      <c r="A26" s="425"/>
      <c r="B26" s="419" t="s">
        <v>2546</v>
      </c>
      <c r="C26" s="457"/>
      <c r="D26" s="432">
        <v>100</v>
      </c>
      <c r="E26" s="2598"/>
      <c r="F26" s="432">
        <f>SUMIF(88:88,E26,89:89)-SUMIF(88:88,C26,89:89)+100</f>
        <v>100</v>
      </c>
      <c r="G26" s="2599"/>
      <c r="H26" s="432">
        <f>SUMIF(88:88,G26,89:89)-SUMIF(88:88,C26,89:89)+100</f>
        <v>100</v>
      </c>
      <c r="I26" s="2599"/>
      <c r="J26" s="432">
        <f>SUMIF(88:88,I26,89:89)-SUMIF(88:88,C26,89:89)+100</f>
        <v>100</v>
      </c>
      <c r="K26" s="423">
        <v>0</v>
      </c>
      <c r="L26" s="1137"/>
      <c r="M26" s="1128"/>
      <c r="N26" s="1128"/>
      <c r="O26" s="1128"/>
      <c r="P26" s="3314"/>
      <c r="Q26" s="1804" t="str">
        <f t="shared" si="11"/>
        <v>朝向</v>
      </c>
      <c r="R26" s="769" t="s">
        <v>21</v>
      </c>
      <c r="S26" s="770">
        <f t="shared" si="12"/>
        <v>100</v>
      </c>
      <c r="T26" s="769" t="s">
        <v>21</v>
      </c>
      <c r="U26" s="770">
        <f t="shared" si="13"/>
        <v>100</v>
      </c>
      <c r="V26" s="769" t="s">
        <v>21</v>
      </c>
      <c r="W26" s="770">
        <f t="shared" si="14"/>
        <v>100</v>
      </c>
      <c r="X26" s="1807"/>
      <c r="Y26" s="3272"/>
      <c r="Z26" s="1808" t="str">
        <f>Q26</f>
        <v>朝向</v>
      </c>
      <c r="AA26" s="1805">
        <f t="shared" si="15"/>
        <v>1</v>
      </c>
      <c r="AB26" s="1805">
        <f t="shared" si="16"/>
        <v>1</v>
      </c>
      <c r="AC26" s="1805">
        <f t="shared" si="17"/>
        <v>1</v>
      </c>
    </row>
    <row r="27" spans="1:29" s="116"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86"/>
      <c r="L27" s="1129"/>
      <c r="M27" s="1130"/>
      <c r="N27" s="1130"/>
      <c r="O27" s="1130"/>
      <c r="P27" s="3314"/>
      <c r="Q27" s="1789">
        <f t="shared" si="11"/>
        <v>111</v>
      </c>
      <c r="R27" s="765" t="s">
        <v>21</v>
      </c>
      <c r="S27" s="766">
        <f t="shared" si="12"/>
        <v>100</v>
      </c>
      <c r="T27" s="765" t="s">
        <v>21</v>
      </c>
      <c r="U27" s="766">
        <f t="shared" si="13"/>
        <v>100</v>
      </c>
      <c r="V27" s="765" t="s">
        <v>21</v>
      </c>
      <c r="W27" s="766">
        <f t="shared" si="14"/>
        <v>100</v>
      </c>
      <c r="X27" s="767"/>
      <c r="Y27" s="3272"/>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00"/>
      <c r="H28" s="432">
        <f>SUMIF(92:92,G28,93:93)-SUMIF(92:92,C28,93:93)+100</f>
        <v>100</v>
      </c>
      <c r="I28" s="431"/>
      <c r="J28" s="432">
        <f>SUMIF(92:92,I28,93:93)-SUMIF(92:92,C28,93:93)+100</f>
        <v>100</v>
      </c>
      <c r="K28" s="2586"/>
      <c r="L28" s="1137"/>
      <c r="M28" s="1128"/>
      <c r="N28" s="1128"/>
      <c r="O28" s="1128"/>
      <c r="P28" s="3314"/>
      <c r="Q28" s="1804">
        <f t="shared" si="11"/>
        <v>111</v>
      </c>
      <c r="R28" s="769" t="s">
        <v>21</v>
      </c>
      <c r="S28" s="770">
        <f t="shared" si="12"/>
        <v>100</v>
      </c>
      <c r="T28" s="769" t="s">
        <v>21</v>
      </c>
      <c r="U28" s="770">
        <f t="shared" si="13"/>
        <v>100</v>
      </c>
      <c r="V28" s="769" t="s">
        <v>21</v>
      </c>
      <c r="W28" s="770">
        <f t="shared" si="14"/>
        <v>100</v>
      </c>
      <c r="X28" s="1807"/>
      <c r="Y28" s="3272"/>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00"/>
      <c r="H29" s="432">
        <f>SUMIF(94:94,G29,95:95)-SUMIF(94:94,C29,95:95)+100</f>
        <v>100</v>
      </c>
      <c r="I29" s="431"/>
      <c r="J29" s="432">
        <f>SUMIF(94:94,I29,95:95)-SUMIF(94:94,C29,95:95)+100</f>
        <v>100</v>
      </c>
      <c r="K29" s="2586"/>
      <c r="L29" s="1137"/>
      <c r="M29" s="1128"/>
      <c r="N29" s="1128"/>
      <c r="O29" s="1128"/>
      <c r="P29" s="3314"/>
      <c r="Q29" s="1804">
        <f t="shared" si="11"/>
        <v>111</v>
      </c>
      <c r="R29" s="769" t="s">
        <v>21</v>
      </c>
      <c r="S29" s="770">
        <f t="shared" si="12"/>
        <v>100</v>
      </c>
      <c r="T29" s="769" t="s">
        <v>21</v>
      </c>
      <c r="U29" s="770">
        <f t="shared" si="13"/>
        <v>100</v>
      </c>
      <c r="V29" s="769" t="s">
        <v>21</v>
      </c>
      <c r="W29" s="770">
        <f t="shared" si="14"/>
        <v>100</v>
      </c>
      <c r="X29" s="1807"/>
      <c r="Y29" s="3272"/>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00"/>
      <c r="H30" s="432">
        <f>SUMIF(96:96,G30,97:97)-SUMIF(96:96,C30,97:97)+100</f>
        <v>100</v>
      </c>
      <c r="I30" s="431"/>
      <c r="J30" s="432">
        <f>SUMIF(96:96,I30,97:97)-SUMIF(96:96,C30,97:97)+100</f>
        <v>100</v>
      </c>
      <c r="K30" s="2586"/>
      <c r="L30" s="1137"/>
      <c r="M30" s="1128"/>
      <c r="N30" s="1128"/>
      <c r="O30" s="1128"/>
      <c r="P30" s="3314"/>
      <c r="Q30" s="1804">
        <f t="shared" si="11"/>
        <v>111</v>
      </c>
      <c r="R30" s="769" t="s">
        <v>21</v>
      </c>
      <c r="S30" s="770">
        <f t="shared" si="12"/>
        <v>100</v>
      </c>
      <c r="T30" s="769" t="s">
        <v>21</v>
      </c>
      <c r="U30" s="770">
        <f t="shared" si="13"/>
        <v>100</v>
      </c>
      <c r="V30" s="769" t="s">
        <v>21</v>
      </c>
      <c r="W30" s="770">
        <f t="shared" si="14"/>
        <v>100</v>
      </c>
      <c r="X30" s="1807"/>
      <c r="Y30" s="3272"/>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01"/>
      <c r="H31" s="435">
        <f>SUMIF(98:98,G31,99:99)-SUMIF(98:98,C31,99:99)+100</f>
        <v>100</v>
      </c>
      <c r="I31" s="434"/>
      <c r="J31" s="435">
        <f>SUMIF(98:98,I31,99:99)-SUMIF(98:98,C31,99:99)+100</f>
        <v>100</v>
      </c>
      <c r="K31" s="2586"/>
      <c r="L31" s="1137"/>
      <c r="M31" s="1128"/>
      <c r="N31" s="1128"/>
      <c r="O31" s="1128"/>
      <c r="P31" s="3314"/>
      <c r="Q31" s="1804">
        <f t="shared" si="11"/>
        <v>111</v>
      </c>
      <c r="R31" s="769" t="s">
        <v>21</v>
      </c>
      <c r="S31" s="770">
        <f t="shared" si="12"/>
        <v>100</v>
      </c>
      <c r="T31" s="769" t="s">
        <v>21</v>
      </c>
      <c r="U31" s="770">
        <f t="shared" si="13"/>
        <v>100</v>
      </c>
      <c r="V31" s="769" t="s">
        <v>21</v>
      </c>
      <c r="W31" s="770">
        <f t="shared" si="14"/>
        <v>100</v>
      </c>
      <c r="X31" s="1807"/>
      <c r="Y31" s="3272"/>
      <c r="Z31" s="1808">
        <f t="shared" si="18"/>
        <v>111</v>
      </c>
      <c r="AA31" s="1805">
        <f t="shared" si="15"/>
        <v>1</v>
      </c>
      <c r="AB31" s="1805">
        <f t="shared" si="16"/>
        <v>1</v>
      </c>
      <c r="AC31" s="1805">
        <f t="shared" si="17"/>
        <v>1</v>
      </c>
    </row>
    <row r="32" spans="1:29" ht="15">
      <c r="A32" s="437" t="s">
        <v>2547</v>
      </c>
      <c r="B32" s="71" t="s">
        <v>2548</v>
      </c>
      <c r="C32" s="2602" t="s">
        <v>3167</v>
      </c>
      <c r="D32" s="464">
        <v>100</v>
      </c>
      <c r="E32" s="2603" t="s">
        <v>3167</v>
      </c>
      <c r="F32" s="458">
        <f>SUMIF(100:100,E32,101:101)-SUMIF(100:100,C32,101:101)+100</f>
        <v>100</v>
      </c>
      <c r="G32" s="2602" t="s">
        <v>3167</v>
      </c>
      <c r="H32" s="464">
        <f>SUMIF(100:100,G32,101:101)-SUMIF(100:100,C32,101:101)+100</f>
        <v>100</v>
      </c>
      <c r="I32" s="2603" t="s">
        <v>3167</v>
      </c>
      <c r="J32" s="432">
        <f>SUMIF(100:100,I32,101:101)-SUMIF(100:100,C32,101:101)+100</f>
        <v>100</v>
      </c>
      <c r="K32" s="423">
        <v>10</v>
      </c>
      <c r="L32" s="1137"/>
      <c r="M32" s="1128"/>
      <c r="N32" s="1128"/>
      <c r="O32" s="1128"/>
      <c r="P32" s="3315" t="s">
        <v>2549</v>
      </c>
      <c r="Q32" s="1804" t="str">
        <f t="shared" si="11"/>
        <v>建筑类型</v>
      </c>
      <c r="R32" s="769" t="s">
        <v>21</v>
      </c>
      <c r="S32" s="770">
        <f t="shared" si="12"/>
        <v>100</v>
      </c>
      <c r="T32" s="769" t="s">
        <v>21</v>
      </c>
      <c r="U32" s="770">
        <f t="shared" si="13"/>
        <v>100</v>
      </c>
      <c r="V32" s="769" t="s">
        <v>21</v>
      </c>
      <c r="W32" s="770">
        <f t="shared" si="14"/>
        <v>100</v>
      </c>
      <c r="X32" s="1807"/>
      <c r="Y32" s="3274" t="s">
        <v>2549</v>
      </c>
      <c r="Z32" s="1808" t="str">
        <f t="shared" si="18"/>
        <v>建筑类型</v>
      </c>
      <c r="AA32" s="1805">
        <f t="shared" si="15"/>
        <v>1</v>
      </c>
      <c r="AB32" s="1805">
        <f t="shared" si="16"/>
        <v>1</v>
      </c>
      <c r="AC32" s="1805">
        <f t="shared" si="17"/>
        <v>1</v>
      </c>
    </row>
    <row r="33" spans="1:29" s="468" customFormat="1" ht="15">
      <c r="A33" s="465"/>
      <c r="B33" s="419" t="s">
        <v>2550</v>
      </c>
      <c r="C33" s="466"/>
      <c r="D33" s="134">
        <v>100</v>
      </c>
      <c r="E33" s="427"/>
      <c r="F33" s="422">
        <f>LOOKUP(E33,103:103,104:104)-LOOKUP(C33,103:103,104:104)+100</f>
        <v>100</v>
      </c>
      <c r="G33" s="426"/>
      <c r="H33" s="134">
        <f>LOOKUP(G33,103:103,104:104)-LOOKUP(C33,103:103,104:104)+100</f>
        <v>100</v>
      </c>
      <c r="I33" s="427"/>
      <c r="J33" s="134">
        <f>LOOKUP(I33,103:103,104:104)-LOOKUP(C33,103:103,104:104)+100</f>
        <v>100</v>
      </c>
      <c r="K33" s="2586"/>
      <c r="L33" s="1135"/>
      <c r="M33" s="1138"/>
      <c r="N33" s="1138"/>
      <c r="O33" s="1138"/>
      <c r="P33" s="3316"/>
      <c r="Q33" s="771" t="str">
        <f t="shared" si="11"/>
        <v>项目建筑规模</v>
      </c>
      <c r="R33" s="772" t="s">
        <v>21</v>
      </c>
      <c r="S33" s="773">
        <f t="shared" si="12"/>
        <v>100</v>
      </c>
      <c r="T33" s="772" t="s">
        <v>21</v>
      </c>
      <c r="U33" s="773">
        <f t="shared" si="13"/>
        <v>100</v>
      </c>
      <c r="V33" s="772" t="s">
        <v>21</v>
      </c>
      <c r="W33" s="773">
        <f t="shared" si="14"/>
        <v>100</v>
      </c>
      <c r="X33" s="774"/>
      <c r="Y33" s="3274"/>
      <c r="Z33" s="775" t="str">
        <f t="shared" si="18"/>
        <v>项目建筑规模</v>
      </c>
      <c r="AA33" s="1805">
        <f t="shared" si="15"/>
        <v>1</v>
      </c>
      <c r="AB33" s="1805">
        <f t="shared" si="16"/>
        <v>1</v>
      </c>
      <c r="AC33" s="1805">
        <f t="shared" si="17"/>
        <v>1</v>
      </c>
    </row>
    <row r="34" spans="1:29" ht="15">
      <c r="A34" s="469"/>
      <c r="B34" s="419" t="s">
        <v>2551</v>
      </c>
      <c r="C34" s="2604" t="s">
        <v>3043</v>
      </c>
      <c r="D34" s="432">
        <v>100</v>
      </c>
      <c r="E34" s="2605" t="s">
        <v>3043</v>
      </c>
      <c r="F34" s="458">
        <f>SUMIF(105:105,E34,106:106)-SUMIF(105:105,C34,106:106)+100</f>
        <v>100</v>
      </c>
      <c r="G34" s="2604" t="s">
        <v>3043</v>
      </c>
      <c r="H34" s="432">
        <f>SUMIF(105:105,G34,106:106)-SUMIF(105:105,C34,106:106)+100</f>
        <v>100</v>
      </c>
      <c r="I34" s="2605" t="s">
        <v>3043</v>
      </c>
      <c r="J34" s="432">
        <f>SUMIF(105:105,I34,106:106)-SUMIF(105:105,C34,106:106)+100</f>
        <v>100</v>
      </c>
      <c r="K34" s="423">
        <v>2</v>
      </c>
      <c r="L34" s="1137"/>
      <c r="M34" s="1128"/>
      <c r="N34" s="1128"/>
      <c r="O34" s="1128"/>
      <c r="P34" s="3316"/>
      <c r="Q34" s="1804" t="str">
        <f t="shared" si="11"/>
        <v>建筑结构</v>
      </c>
      <c r="R34" s="769" t="s">
        <v>21</v>
      </c>
      <c r="S34" s="770">
        <f t="shared" si="12"/>
        <v>100</v>
      </c>
      <c r="T34" s="769" t="s">
        <v>21</v>
      </c>
      <c r="U34" s="770">
        <f t="shared" si="13"/>
        <v>100</v>
      </c>
      <c r="V34" s="769" t="s">
        <v>21</v>
      </c>
      <c r="W34" s="770">
        <f t="shared" si="14"/>
        <v>100</v>
      </c>
      <c r="X34" s="1807"/>
      <c r="Y34" s="3274"/>
      <c r="Z34" s="1808" t="str">
        <f t="shared" si="18"/>
        <v>建筑结构</v>
      </c>
      <c r="AA34" s="1805">
        <f t="shared" si="15"/>
        <v>1</v>
      </c>
      <c r="AB34" s="1805">
        <f t="shared" si="16"/>
        <v>1</v>
      </c>
      <c r="AC34" s="1805">
        <f t="shared" si="17"/>
        <v>1</v>
      </c>
    </row>
    <row r="35" spans="1:29" ht="15">
      <c r="A35" s="469"/>
      <c r="B35" s="3070" t="s">
        <v>2552</v>
      </c>
      <c r="C35" s="2598" t="s">
        <v>3257</v>
      </c>
      <c r="D35" s="432">
        <v>100</v>
      </c>
      <c r="E35" s="2599" t="s">
        <v>3257</v>
      </c>
      <c r="F35" s="458">
        <f>SUMIF(107:107,E35,108:108)-SUMIF(107:107,C35,108:108)+100</f>
        <v>100</v>
      </c>
      <c r="G35" s="2598" t="s">
        <v>3257</v>
      </c>
      <c r="H35" s="432">
        <f>SUMIF(107:107,G35,108:108)-SUMIF(107:107,C35,108:108)+100</f>
        <v>100</v>
      </c>
      <c r="I35" s="2599" t="s">
        <v>3257</v>
      </c>
      <c r="J35" s="432">
        <f>SUMIF(107:107,I35,108:108)-SUMIF(107:107,C35,108:108)+100</f>
        <v>100</v>
      </c>
      <c r="K35" s="423">
        <v>2</v>
      </c>
      <c r="L35" s="1137"/>
      <c r="M35" s="1128"/>
      <c r="N35" s="1128"/>
      <c r="O35" s="1128"/>
      <c r="P35" s="3316"/>
      <c r="Q35" s="1804" t="str">
        <f t="shared" si="11"/>
        <v>建筑品质</v>
      </c>
      <c r="R35" s="769" t="s">
        <v>21</v>
      </c>
      <c r="S35" s="770">
        <f t="shared" si="12"/>
        <v>100</v>
      </c>
      <c r="T35" s="769" t="s">
        <v>21</v>
      </c>
      <c r="U35" s="770">
        <f t="shared" si="13"/>
        <v>100</v>
      </c>
      <c r="V35" s="769" t="s">
        <v>21</v>
      </c>
      <c r="W35" s="770">
        <f t="shared" si="14"/>
        <v>100</v>
      </c>
      <c r="X35" s="1807"/>
      <c r="Y35" s="3274"/>
      <c r="Z35" s="1808" t="str">
        <f t="shared" si="18"/>
        <v>建筑品质</v>
      </c>
      <c r="AA35" s="1805">
        <f t="shared" si="15"/>
        <v>1</v>
      </c>
      <c r="AB35" s="1805">
        <f t="shared" si="16"/>
        <v>1</v>
      </c>
      <c r="AC35" s="1805">
        <f t="shared" si="17"/>
        <v>1</v>
      </c>
    </row>
    <row r="36" spans="1:29" ht="15">
      <c r="A36" s="469"/>
      <c r="B36" s="419" t="s">
        <v>2553</v>
      </c>
      <c r="C36" s="2598" t="s">
        <v>3066</v>
      </c>
      <c r="D36" s="432">
        <v>100</v>
      </c>
      <c r="E36" s="2599" t="s">
        <v>3066</v>
      </c>
      <c r="F36" s="458">
        <f>SUMIF(109:109,E36,110:110)-SUMIF(109:109,C36,110:110)+100</f>
        <v>100</v>
      </c>
      <c r="G36" s="2598" t="s">
        <v>3066</v>
      </c>
      <c r="H36" s="432">
        <f>SUMIF(109:109,G36,110:110)-SUMIF(109:109,C36,110:110)+100</f>
        <v>100</v>
      </c>
      <c r="I36" s="2599" t="s">
        <v>3066</v>
      </c>
      <c r="J36" s="432">
        <f>SUMIF(109:109,I36,110:110)-SUMIF(109:109,C36,110:110)+100</f>
        <v>100</v>
      </c>
      <c r="K36" s="423">
        <v>2</v>
      </c>
      <c r="L36" s="1137"/>
      <c r="M36" s="1128"/>
      <c r="N36" s="1128"/>
      <c r="O36" s="1128"/>
      <c r="P36" s="3316"/>
      <c r="Q36" s="1804" t="str">
        <f t="shared" si="11"/>
        <v>公共部分装修</v>
      </c>
      <c r="R36" s="769" t="s">
        <v>21</v>
      </c>
      <c r="S36" s="770">
        <f t="shared" si="12"/>
        <v>100</v>
      </c>
      <c r="T36" s="769" t="s">
        <v>21</v>
      </c>
      <c r="U36" s="770">
        <f t="shared" si="13"/>
        <v>100</v>
      </c>
      <c r="V36" s="769" t="s">
        <v>21</v>
      </c>
      <c r="W36" s="770">
        <f t="shared" si="14"/>
        <v>100</v>
      </c>
      <c r="X36" s="1807"/>
      <c r="Y36" s="3274"/>
      <c r="Z36" s="1808" t="str">
        <f t="shared" si="18"/>
        <v>公共部分装修</v>
      </c>
      <c r="AA36" s="1805">
        <f t="shared" si="15"/>
        <v>1</v>
      </c>
      <c r="AB36" s="1805">
        <f t="shared" si="16"/>
        <v>1</v>
      </c>
      <c r="AC36" s="1805">
        <f t="shared" si="17"/>
        <v>1</v>
      </c>
    </row>
    <row r="37" spans="1:29" s="116" customFormat="1" ht="15">
      <c r="A37" s="470"/>
      <c r="B37" s="419" t="s">
        <v>2554</v>
      </c>
      <c r="C37" s="471">
        <v>1</v>
      </c>
      <c r="D37" s="134">
        <v>100</v>
      </c>
      <c r="E37" s="471">
        <v>0.8</v>
      </c>
      <c r="F37" s="422">
        <f>LOOKUP(E37,112:112,113:113)-LOOKUP(C37,112:112,113:113)+100</f>
        <v>98</v>
      </c>
      <c r="G37" s="473">
        <v>0.8</v>
      </c>
      <c r="H37" s="134">
        <f>LOOKUP(G37,112:112,113:113)-LOOKUP(C37,112:112,113:113)+100</f>
        <v>98</v>
      </c>
      <c r="I37" s="472">
        <v>0.8</v>
      </c>
      <c r="J37" s="134">
        <f>LOOKUP(I37,112:112,113:113)-LOOKUP(C37,112:112,113:113)+100</f>
        <v>98</v>
      </c>
      <c r="K37" s="423">
        <v>2</v>
      </c>
      <c r="L37" s="1129"/>
      <c r="M37" s="1130"/>
      <c r="N37" s="1130"/>
      <c r="O37" s="1130"/>
      <c r="P37" s="3316"/>
      <c r="Q37" s="1789" t="str">
        <f t="shared" si="11"/>
        <v>成新度</v>
      </c>
      <c r="R37" s="765" t="s">
        <v>21</v>
      </c>
      <c r="S37" s="766">
        <f t="shared" si="12"/>
        <v>98</v>
      </c>
      <c r="T37" s="765" t="s">
        <v>21</v>
      </c>
      <c r="U37" s="766">
        <f t="shared" si="13"/>
        <v>98</v>
      </c>
      <c r="V37" s="765" t="s">
        <v>21</v>
      </c>
      <c r="W37" s="766">
        <f t="shared" si="14"/>
        <v>98</v>
      </c>
      <c r="X37" s="767"/>
      <c r="Y37" s="3274"/>
      <c r="Z37" s="55" t="str">
        <f t="shared" si="18"/>
        <v>成新度</v>
      </c>
      <c r="AA37" s="768">
        <f t="shared" si="15"/>
        <v>1.0204081632653061</v>
      </c>
      <c r="AB37" s="768">
        <f t="shared" si="16"/>
        <v>1.0204081632653061</v>
      </c>
      <c r="AC37" s="768">
        <f t="shared" si="17"/>
        <v>1.0204081632653061</v>
      </c>
    </row>
    <row r="38" spans="1:29" ht="15">
      <c r="A38" s="469"/>
      <c r="B38" s="419" t="s">
        <v>2555</v>
      </c>
      <c r="C38" s="2598" t="s">
        <v>3069</v>
      </c>
      <c r="D38" s="432">
        <v>100</v>
      </c>
      <c r="E38" s="2599" t="s">
        <v>3069</v>
      </c>
      <c r="F38" s="458">
        <f>SUMIF(114:114,E38,115:115)-SUMIF(114:114,C38,115:115)+100</f>
        <v>100</v>
      </c>
      <c r="G38" s="2598" t="s">
        <v>3069</v>
      </c>
      <c r="H38" s="432">
        <f>SUMIF(114:114,G38,115:115)-SUMIF(114:114,C38,115:115)+100</f>
        <v>100</v>
      </c>
      <c r="I38" s="2599" t="s">
        <v>3069</v>
      </c>
      <c r="J38" s="432">
        <f>SUMIF(114:114,I38,115:115)-SUMIF(114:114,C38,115:115)+100</f>
        <v>100</v>
      </c>
      <c r="K38" s="423">
        <v>2</v>
      </c>
      <c r="L38" s="1137"/>
      <c r="M38" s="1128"/>
      <c r="N38" s="1128"/>
      <c r="O38" s="1128"/>
      <c r="P38" s="3316" t="s">
        <v>2549</v>
      </c>
      <c r="Q38" s="1804" t="str">
        <f t="shared" si="11"/>
        <v>物业管理</v>
      </c>
      <c r="R38" s="769" t="s">
        <v>21</v>
      </c>
      <c r="S38" s="770">
        <f t="shared" si="12"/>
        <v>100</v>
      </c>
      <c r="T38" s="769" t="s">
        <v>21</v>
      </c>
      <c r="U38" s="770">
        <f t="shared" si="13"/>
        <v>100</v>
      </c>
      <c r="V38" s="769" t="s">
        <v>21</v>
      </c>
      <c r="W38" s="770">
        <f t="shared" si="14"/>
        <v>100</v>
      </c>
      <c r="X38" s="1807"/>
      <c r="Y38" s="3274" t="s">
        <v>2549</v>
      </c>
      <c r="Z38" s="1808" t="str">
        <f t="shared" si="18"/>
        <v>物业管理</v>
      </c>
      <c r="AA38" s="1805">
        <f t="shared" si="15"/>
        <v>1</v>
      </c>
      <c r="AB38" s="1805">
        <f t="shared" si="16"/>
        <v>1</v>
      </c>
      <c r="AC38" s="1805">
        <f t="shared" si="17"/>
        <v>1</v>
      </c>
    </row>
    <row r="39" spans="1:29" ht="15">
      <c r="A39" s="469"/>
      <c r="B39" s="419" t="s">
        <v>2556</v>
      </c>
      <c r="C39" s="2598" t="s">
        <v>3052</v>
      </c>
      <c r="D39" s="432">
        <v>100</v>
      </c>
      <c r="E39" s="2599" t="s">
        <v>3052</v>
      </c>
      <c r="F39" s="458">
        <f>SUMIF(116:116,E39,117:117)-SUMIF(116:116,C39,117:117)+100</f>
        <v>100</v>
      </c>
      <c r="G39" s="2598" t="s">
        <v>3052</v>
      </c>
      <c r="H39" s="432">
        <f>SUMIF(116:116,G39,117:117)-SUMIF(116:116,C39,117:117)+100</f>
        <v>100</v>
      </c>
      <c r="I39" s="2599" t="s">
        <v>3052</v>
      </c>
      <c r="J39" s="432">
        <f>SUMIF(116:116,I39,117:117)-SUMIF(116:116,C39,117:117)+100</f>
        <v>100</v>
      </c>
      <c r="K39" s="423">
        <v>2</v>
      </c>
      <c r="L39" s="1137"/>
      <c r="M39" s="1128"/>
      <c r="N39" s="1128"/>
      <c r="O39" s="1128"/>
      <c r="P39" s="3316"/>
      <c r="Q39" s="1804" t="str">
        <f t="shared" si="11"/>
        <v>市政基础设施</v>
      </c>
      <c r="R39" s="769" t="s">
        <v>21</v>
      </c>
      <c r="S39" s="770">
        <f t="shared" si="12"/>
        <v>100</v>
      </c>
      <c r="T39" s="769" t="s">
        <v>21</v>
      </c>
      <c r="U39" s="770">
        <f t="shared" si="13"/>
        <v>100</v>
      </c>
      <c r="V39" s="769" t="s">
        <v>21</v>
      </c>
      <c r="W39" s="770">
        <f t="shared" si="14"/>
        <v>100</v>
      </c>
      <c r="X39" s="1807"/>
      <c r="Y39" s="3274"/>
      <c r="Z39" s="1808" t="str">
        <f t="shared" si="18"/>
        <v>市政基础设施</v>
      </c>
      <c r="AA39" s="1805">
        <f t="shared" si="15"/>
        <v>1</v>
      </c>
      <c r="AB39" s="1805">
        <f t="shared" si="16"/>
        <v>1</v>
      </c>
      <c r="AC39" s="1805">
        <f t="shared" si="17"/>
        <v>1</v>
      </c>
    </row>
    <row r="40" spans="1:29" ht="15">
      <c r="A40" s="469"/>
      <c r="B40" s="419" t="s">
        <v>2557</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v>0</v>
      </c>
      <c r="L40" s="1137"/>
      <c r="M40" s="1128"/>
      <c r="N40" s="1128"/>
      <c r="O40" s="1128"/>
      <c r="P40" s="3316"/>
      <c r="Q40" s="1804" t="str">
        <f t="shared" si="11"/>
        <v>房型</v>
      </c>
      <c r="R40" s="769" t="s">
        <v>21</v>
      </c>
      <c r="S40" s="770">
        <f t="shared" si="12"/>
        <v>100</v>
      </c>
      <c r="T40" s="769" t="s">
        <v>21</v>
      </c>
      <c r="U40" s="770">
        <f t="shared" si="13"/>
        <v>100</v>
      </c>
      <c r="V40" s="769" t="s">
        <v>21</v>
      </c>
      <c r="W40" s="770">
        <f t="shared" si="14"/>
        <v>100</v>
      </c>
      <c r="X40" s="1807"/>
      <c r="Y40" s="3274"/>
      <c r="Z40" s="1808" t="str">
        <f t="shared" si="18"/>
        <v>房型</v>
      </c>
      <c r="AA40" s="1805">
        <f t="shared" si="15"/>
        <v>1</v>
      </c>
      <c r="AB40" s="1805">
        <f t="shared" si="16"/>
        <v>1</v>
      </c>
      <c r="AC40" s="1805">
        <f t="shared" si="17"/>
        <v>1</v>
      </c>
    </row>
    <row r="41" spans="1:29" s="468" customFormat="1" ht="28.5">
      <c r="A41" s="465"/>
      <c r="B41" s="419" t="s">
        <v>2558</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35"/>
      <c r="M41" s="1138"/>
      <c r="N41" s="1138"/>
      <c r="O41" s="1138"/>
      <c r="P41" s="3316"/>
      <c r="Q41" s="771" t="str">
        <f t="shared" si="11"/>
        <v>单套/主力户型建筑面积</v>
      </c>
      <c r="R41" s="772" t="s">
        <v>21</v>
      </c>
      <c r="S41" s="773">
        <f t="shared" si="12"/>
        <v>100</v>
      </c>
      <c r="T41" s="772" t="s">
        <v>21</v>
      </c>
      <c r="U41" s="773">
        <f t="shared" si="13"/>
        <v>100</v>
      </c>
      <c r="V41" s="772" t="s">
        <v>21</v>
      </c>
      <c r="W41" s="773">
        <f t="shared" si="14"/>
        <v>100</v>
      </c>
      <c r="X41" s="774"/>
      <c r="Y41" s="3274"/>
      <c r="Z41" s="775" t="str">
        <f t="shared" si="18"/>
        <v>单套/主力户型建筑面积</v>
      </c>
      <c r="AA41" s="1805">
        <f t="shared" si="15"/>
        <v>1</v>
      </c>
      <c r="AB41" s="1805">
        <f t="shared" si="16"/>
        <v>1</v>
      </c>
      <c r="AC41" s="1805">
        <f t="shared" si="17"/>
        <v>1</v>
      </c>
    </row>
    <row r="42" spans="1:29" ht="15">
      <c r="A42" s="469"/>
      <c r="B42" s="419" t="s">
        <v>2559</v>
      </c>
      <c r="C42" s="2598" t="s">
        <v>3115</v>
      </c>
      <c r="D42" s="432">
        <v>100</v>
      </c>
      <c r="E42" s="2599" t="s">
        <v>3115</v>
      </c>
      <c r="F42" s="458">
        <f>SUMIF(122:122,E42,123:123)-SUMIF(122:122,C42,123:123)+100</f>
        <v>100</v>
      </c>
      <c r="G42" s="2598" t="s">
        <v>3115</v>
      </c>
      <c r="H42" s="432">
        <f>SUMIF(122:122,G42,123:123)-SUMIF(122:122,C42,123:123)+100</f>
        <v>100</v>
      </c>
      <c r="I42" s="2599" t="s">
        <v>3115</v>
      </c>
      <c r="J42" s="432">
        <f>SUMIF(122:122,I42,123:123)-SUMIF(122:122,C42,123:123)+100</f>
        <v>100</v>
      </c>
      <c r="K42" s="423">
        <v>2</v>
      </c>
      <c r="L42" s="1137"/>
      <c r="M42" s="1128"/>
      <c r="N42" s="1128"/>
      <c r="O42" s="1128"/>
      <c r="P42" s="3316"/>
      <c r="Q42" s="1804" t="str">
        <f t="shared" si="11"/>
        <v>内部装修</v>
      </c>
      <c r="R42" s="769" t="s">
        <v>21</v>
      </c>
      <c r="S42" s="770">
        <f t="shared" si="12"/>
        <v>100</v>
      </c>
      <c r="T42" s="769" t="s">
        <v>21</v>
      </c>
      <c r="U42" s="770">
        <f t="shared" si="13"/>
        <v>100</v>
      </c>
      <c r="V42" s="769" t="s">
        <v>21</v>
      </c>
      <c r="W42" s="770">
        <f t="shared" si="14"/>
        <v>100</v>
      </c>
      <c r="X42" s="1807"/>
      <c r="Y42" s="3274"/>
      <c r="Z42" s="1808" t="str">
        <f t="shared" si="18"/>
        <v>内部装修</v>
      </c>
      <c r="AA42" s="1805">
        <f t="shared" si="15"/>
        <v>1</v>
      </c>
      <c r="AB42" s="1805">
        <f t="shared" si="16"/>
        <v>1</v>
      </c>
      <c r="AC42" s="1805">
        <f t="shared" si="17"/>
        <v>1</v>
      </c>
    </row>
    <row r="43" spans="1:29" ht="15">
      <c r="A43" s="469"/>
      <c r="B43" s="419" t="s">
        <v>2560</v>
      </c>
      <c r="C43" s="2598" t="s">
        <v>3055</v>
      </c>
      <c r="D43" s="432">
        <v>100</v>
      </c>
      <c r="E43" s="2599" t="s">
        <v>3055</v>
      </c>
      <c r="F43" s="458">
        <f>SUMIF(124:124,E43,125:125)-SUMIF(124:124,C43,125:125)+100</f>
        <v>100</v>
      </c>
      <c r="G43" s="2598" t="s">
        <v>3055</v>
      </c>
      <c r="H43" s="432">
        <f>SUMIF(124:124,G43,125:125)-SUMIF(124:124,C43,125:125)+100</f>
        <v>100</v>
      </c>
      <c r="I43" s="2599" t="s">
        <v>3055</v>
      </c>
      <c r="J43" s="432">
        <f>SUMIF(124:124,I43,125:125)-SUMIF(124:124,C43,125:125)+100</f>
        <v>100</v>
      </c>
      <c r="K43" s="423">
        <v>2</v>
      </c>
      <c r="L43" s="1137"/>
      <c r="M43" s="1128"/>
      <c r="N43" s="1128"/>
      <c r="O43" s="1128"/>
      <c r="P43" s="3316"/>
      <c r="Q43" s="1804" t="str">
        <f t="shared" si="11"/>
        <v>内部装修维护情况</v>
      </c>
      <c r="R43" s="769" t="s">
        <v>21</v>
      </c>
      <c r="S43" s="770">
        <f t="shared" si="12"/>
        <v>100</v>
      </c>
      <c r="T43" s="769" t="s">
        <v>21</v>
      </c>
      <c r="U43" s="770">
        <f t="shared" si="13"/>
        <v>100</v>
      </c>
      <c r="V43" s="769" t="s">
        <v>21</v>
      </c>
      <c r="W43" s="770">
        <f t="shared" si="14"/>
        <v>100</v>
      </c>
      <c r="X43" s="1807"/>
      <c r="Y43" s="3274"/>
      <c r="Z43" s="1808" t="str">
        <f t="shared" si="18"/>
        <v>内部装修维护情况</v>
      </c>
      <c r="AA43" s="1805">
        <f t="shared" si="15"/>
        <v>1</v>
      </c>
      <c r="AB43" s="1805">
        <f t="shared" si="16"/>
        <v>1</v>
      </c>
      <c r="AC43" s="1805">
        <f t="shared" si="17"/>
        <v>1</v>
      </c>
    </row>
    <row r="44" spans="1:29" s="116" customFormat="1" ht="15">
      <c r="A44" s="470"/>
      <c r="B44" s="1381">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9"/>
      <c r="M44" s="1130"/>
      <c r="N44" s="1130"/>
      <c r="O44" s="1130"/>
      <c r="P44" s="3316"/>
      <c r="Q44" s="1789">
        <f t="shared" si="11"/>
        <v>111</v>
      </c>
      <c r="R44" s="765" t="s">
        <v>21</v>
      </c>
      <c r="S44" s="766">
        <f t="shared" si="12"/>
        <v>100</v>
      </c>
      <c r="T44" s="765" t="s">
        <v>21</v>
      </c>
      <c r="U44" s="766">
        <f t="shared" si="13"/>
        <v>100</v>
      </c>
      <c r="V44" s="765" t="s">
        <v>21</v>
      </c>
      <c r="W44" s="766">
        <f t="shared" si="14"/>
        <v>100</v>
      </c>
      <c r="X44" s="767"/>
      <c r="Y44" s="3274"/>
      <c r="Z44" s="55">
        <f t="shared" si="18"/>
        <v>111</v>
      </c>
      <c r="AA44" s="768">
        <f t="shared" si="15"/>
        <v>1</v>
      </c>
      <c r="AB44" s="768">
        <f t="shared" si="16"/>
        <v>1</v>
      </c>
      <c r="AC44" s="768">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7"/>
      <c r="M45" s="1128"/>
      <c r="N45" s="1128"/>
      <c r="O45" s="1128"/>
      <c r="P45" s="3316"/>
      <c r="Q45" s="1804">
        <f t="shared" si="11"/>
        <v>111</v>
      </c>
      <c r="R45" s="769" t="s">
        <v>21</v>
      </c>
      <c r="S45" s="770">
        <f t="shared" si="12"/>
        <v>100</v>
      </c>
      <c r="T45" s="769" t="s">
        <v>21</v>
      </c>
      <c r="U45" s="770">
        <f t="shared" si="13"/>
        <v>100</v>
      </c>
      <c r="V45" s="769" t="s">
        <v>21</v>
      </c>
      <c r="W45" s="770">
        <f t="shared" si="14"/>
        <v>100</v>
      </c>
      <c r="X45" s="1807"/>
      <c r="Y45" s="3274"/>
      <c r="Z45" s="1808">
        <f t="shared" si="18"/>
        <v>111</v>
      </c>
      <c r="AA45" s="1805">
        <f t="shared" si="15"/>
        <v>1</v>
      </c>
      <c r="AB45" s="1805">
        <f t="shared" si="16"/>
        <v>1</v>
      </c>
      <c r="AC45" s="1805">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7"/>
      <c r="M46" s="1128"/>
      <c r="N46" s="1128"/>
      <c r="O46" s="1128"/>
      <c r="P46" s="3317"/>
      <c r="Q46" s="1804">
        <f t="shared" si="11"/>
        <v>111</v>
      </c>
      <c r="R46" s="769" t="s">
        <v>20</v>
      </c>
      <c r="S46" s="770">
        <f t="shared" si="12"/>
        <v>100</v>
      </c>
      <c r="T46" s="769" t="s">
        <v>20</v>
      </c>
      <c r="U46" s="770">
        <f t="shared" si="13"/>
        <v>100</v>
      </c>
      <c r="V46" s="769" t="s">
        <v>20</v>
      </c>
      <c r="W46" s="770">
        <f t="shared" si="14"/>
        <v>100</v>
      </c>
      <c r="X46" s="1807"/>
      <c r="Y46" s="3307"/>
      <c r="Z46" s="1808">
        <f t="shared" si="18"/>
        <v>111</v>
      </c>
      <c r="AA46" s="1805">
        <f t="shared" si="15"/>
        <v>1</v>
      </c>
      <c r="AB46" s="1805">
        <f t="shared" si="16"/>
        <v>1</v>
      </c>
      <c r="AC46" s="1805">
        <f t="shared" si="17"/>
        <v>1</v>
      </c>
    </row>
    <row r="47" spans="1:29" ht="15">
      <c r="A47" s="476" t="s">
        <v>2561</v>
      </c>
      <c r="B47" s="477"/>
      <c r="C47" s="1402" t="s">
        <v>19</v>
      </c>
      <c r="D47" s="1403"/>
      <c r="E47" s="1404">
        <f>'[2]比较法-住宅'!$E$47</f>
        <v>8200</v>
      </c>
      <c r="F47" s="1405"/>
      <c r="G47" s="1406">
        <f>'[2]比较法-住宅'!$G$47</f>
        <v>8000</v>
      </c>
      <c r="H47" s="1407"/>
      <c r="I47" s="1404">
        <f>'[2]比较法-住宅'!$I$47</f>
        <v>7950</v>
      </c>
      <c r="J47" s="1407"/>
      <c r="K47" s="2606"/>
      <c r="L47" s="1140"/>
      <c r="M47" s="1141"/>
      <c r="N47" s="1128"/>
      <c r="O47" s="1141"/>
      <c r="P47" s="3269" t="str">
        <f>A47</f>
        <v>成交单价（元/平方米）</v>
      </c>
      <c r="Q47" s="3269"/>
      <c r="R47" s="3305">
        <f>E47</f>
        <v>8200</v>
      </c>
      <c r="S47" s="3305"/>
      <c r="T47" s="3305">
        <f>G47</f>
        <v>8000</v>
      </c>
      <c r="U47" s="3305"/>
      <c r="V47" s="3305">
        <f>I47</f>
        <v>7950</v>
      </c>
      <c r="W47" s="3305"/>
      <c r="X47" s="754"/>
      <c r="Y47" s="776"/>
      <c r="Z47" s="754"/>
      <c r="AA47" s="754"/>
      <c r="AB47" s="754"/>
      <c r="AC47" s="754"/>
    </row>
    <row r="48" spans="1:29" ht="15.75" thickBot="1">
      <c r="A48" s="483" t="s">
        <v>2562</v>
      </c>
      <c r="B48" s="484"/>
      <c r="C48" s="1408">
        <f>R49</f>
        <v>8220</v>
      </c>
      <c r="D48" s="1409"/>
      <c r="E48" s="1410">
        <f>R48</f>
        <v>8207</v>
      </c>
      <c r="F48" s="1410"/>
      <c r="G48" s="1408">
        <f>T48</f>
        <v>8087</v>
      </c>
      <c r="H48" s="1409"/>
      <c r="I48" s="1410">
        <f>V48</f>
        <v>8365</v>
      </c>
      <c r="J48" s="1409"/>
      <c r="K48" s="2607"/>
      <c r="L48" s="1140"/>
      <c r="M48" s="1141"/>
      <c r="N48" s="1141"/>
      <c r="O48" s="1141"/>
      <c r="P48" s="3269" t="str">
        <f>A48</f>
        <v>比较价值（元/平方米）</v>
      </c>
      <c r="Q48" s="3269"/>
      <c r="R48" s="3305">
        <f>IF(F1="售价",ROUND(PRODUCT(R47,AA7:AA46),0),ROUND(PRODUCT(R47,AA7:AA46),1))</f>
        <v>8207</v>
      </c>
      <c r="S48" s="3305"/>
      <c r="T48" s="3305">
        <f>IF(F1="售价",ROUND(PRODUCT(T47,AB7:AB46),0),ROUND(PRODUCT(T47,AB7:AB46),1))</f>
        <v>8087</v>
      </c>
      <c r="U48" s="3305"/>
      <c r="V48" s="3305">
        <f>IF(F1="售价",ROUND(PRODUCT(V47,AC7:AC46),0),ROUND(PRODUCT(V47,AC7:AC46),1))</f>
        <v>8365</v>
      </c>
      <c r="W48" s="3305"/>
      <c r="X48" s="754"/>
      <c r="Y48" s="754"/>
      <c r="Z48" s="754"/>
      <c r="AA48" s="754"/>
      <c r="AB48" s="754"/>
      <c r="AC48" s="754"/>
    </row>
    <row r="49" spans="1:29" ht="15.75" thickBot="1">
      <c r="A49" s="489" t="s">
        <v>2563</v>
      </c>
      <c r="B49" s="490"/>
      <c r="C49" s="1411">
        <f>R49</f>
        <v>8220</v>
      </c>
      <c r="D49" s="1412"/>
      <c r="E49" s="1412"/>
      <c r="F49" s="1412"/>
      <c r="G49" s="1412"/>
      <c r="H49" s="1412"/>
      <c r="I49" s="1412"/>
      <c r="J49" s="1412"/>
      <c r="K49" s="2608"/>
      <c r="L49" s="1140"/>
      <c r="M49" s="1141"/>
      <c r="N49" s="1141"/>
      <c r="O49" s="1141"/>
      <c r="P49" s="3263" t="str">
        <f>A49</f>
        <v>估价对象XX用房的比较价值（楼面单价，元/平方米）</v>
      </c>
      <c r="Q49" s="3264"/>
      <c r="R49" s="3306">
        <f>IF(F1="售价",ROUND(AVERAGE(R48:V48),0),ROUND(AVERAGE(R48:V48),1))</f>
        <v>8220</v>
      </c>
      <c r="S49" s="3306"/>
      <c r="T49" s="3306"/>
      <c r="U49" s="3306"/>
      <c r="V49" s="3306"/>
      <c r="W49" s="3306"/>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2564</v>
      </c>
      <c r="D52" s="495"/>
      <c r="E52" s="496">
        <f>IF(E47&lt;E48,E48/E47-1,E47/E48-1)</f>
        <v>8.5365853658525559E-4</v>
      </c>
      <c r="F52" s="497" t="str">
        <f>IF(OR(E52&gt;=0.3,E52&lt;=-0.3),"超过30%","")</f>
        <v/>
      </c>
      <c r="G52" s="496">
        <f>IF(G47&lt;G48,G48/G47-1,G47/G48-1)</f>
        <v>1.0874999999999968E-2</v>
      </c>
      <c r="H52" s="497" t="str">
        <f>IF(OR(G52&gt;=0.3,G52&lt;=-0.3),"超过30%","")</f>
        <v/>
      </c>
      <c r="I52" s="496">
        <f>IF(I47&lt;I48,I48/I47-1,I47/I48-1)</f>
        <v>5.220125786163532E-2</v>
      </c>
      <c r="J52" s="497" t="str">
        <f>IF(OR(I52&gt;=0.3,I52&lt;=-0.3),"超过30%","")</f>
        <v/>
      </c>
      <c r="K52" s="1102"/>
      <c r="L52" s="1103"/>
      <c r="M52" s="1141"/>
      <c r="N52" s="1141"/>
      <c r="O52" s="1141"/>
    </row>
    <row r="53" spans="1:29" ht="13.5" customHeight="1">
      <c r="A53" s="1141"/>
      <c r="B53" s="1141"/>
      <c r="C53" s="494" t="s">
        <v>2565</v>
      </c>
      <c r="D53" s="498"/>
      <c r="E53" s="496">
        <f>IF(E48&lt;G48,G48/E48-1,E48/G48-1)</f>
        <v>1.4838629899839306E-2</v>
      </c>
      <c r="F53" s="497" t="str">
        <f>IF(OR(E53&gt;=0.2,E53&lt;=-0.2),"超过20%","")</f>
        <v/>
      </c>
      <c r="G53" s="496">
        <f>IF(G48&lt;I48,I48/G48-1,G48/I48-1)</f>
        <v>3.4376159267961004E-2</v>
      </c>
      <c r="H53" s="497" t="str">
        <f>IF(OR(G53&gt;=0.2,G53&lt;=-0.2),"超过20%","")</f>
        <v/>
      </c>
      <c r="I53" s="496">
        <f>IF(I48&lt;E48,E48/I48-1,I48/E48-1)</f>
        <v>1.9251858169855085E-2</v>
      </c>
      <c r="J53" s="497" t="str">
        <f>IF(OR(I53&gt;=0.2,I53&lt;=-0.2),"超过20%","")</f>
        <v/>
      </c>
      <c r="K53" s="1102"/>
      <c r="L53" s="1103"/>
      <c r="M53" s="1141"/>
      <c r="N53" s="1141"/>
      <c r="O53" s="1141"/>
    </row>
    <row r="54" spans="1:29" s="499" customFormat="1" ht="13.5" customHeight="1">
      <c r="A54" s="1142"/>
      <c r="B54" s="1142"/>
      <c r="C54" s="494" t="s">
        <v>2566</v>
      </c>
      <c r="D54" s="498"/>
      <c r="E54" s="496">
        <f>IF(E47&lt;G47,G47/E47-1,E47/G47-1)</f>
        <v>2.4999999999999911E-2</v>
      </c>
      <c r="F54" s="497" t="str">
        <f>IF(OR(E54&gt;=0.3,E54&lt;=-0.3),"超过30%","")</f>
        <v/>
      </c>
      <c r="G54" s="496">
        <f>IF(G47&lt;I47,I47/G47-1,G47/I47-1)</f>
        <v>6.2893081761006275E-3</v>
      </c>
      <c r="H54" s="497" t="str">
        <f>IF(OR(G54&gt;=0.3,G54&lt;=-0.3),"超过30%","")</f>
        <v/>
      </c>
      <c r="I54" s="496">
        <f>IF(I47&lt;E47,E47/I47-1,I47/E47-1)</f>
        <v>3.1446540880503138E-2</v>
      </c>
      <c r="J54" s="497" t="str">
        <f>IF(OR(I54&gt;=0.3,I54&lt;=-0.3),"超过30%","")</f>
        <v/>
      </c>
      <c r="K54" s="1145"/>
      <c r="L54" s="1146"/>
      <c r="M54" s="1142"/>
      <c r="N54" s="1142"/>
      <c r="O54" s="1142"/>
      <c r="P54" s="2610"/>
    </row>
    <row r="55" spans="1:29" s="499" customFormat="1">
      <c r="A55" s="1142"/>
      <c r="B55" s="1143"/>
      <c r="C55" s="1147"/>
      <c r="D55" s="1142"/>
      <c r="E55" s="1142"/>
      <c r="F55" s="1142"/>
      <c r="G55" s="1142"/>
      <c r="H55" s="1142"/>
      <c r="I55" s="1142"/>
      <c r="J55" s="1142"/>
      <c r="K55" s="1145"/>
      <c r="L55" s="1146"/>
      <c r="M55" s="1142"/>
      <c r="N55" s="1142"/>
      <c r="O55" s="1142"/>
      <c r="P55" s="2610"/>
    </row>
    <row r="56" spans="1:29">
      <c r="A56" s="1141"/>
      <c r="B56" s="1143"/>
      <c r="C56" s="1147"/>
      <c r="D56" s="1141"/>
      <c r="E56" s="1141"/>
      <c r="F56" s="1141"/>
      <c r="G56" s="1141"/>
      <c r="H56" s="1141"/>
      <c r="I56" s="1141"/>
      <c r="J56" s="1141"/>
      <c r="K56" s="1102"/>
      <c r="L56" s="1103"/>
      <c r="M56" s="1141"/>
      <c r="N56" s="1141"/>
      <c r="O56" s="1141"/>
    </row>
    <row r="57" spans="1:29" ht="21.75" thickBot="1">
      <c r="A57" s="758" t="s">
        <v>2567</v>
      </c>
      <c r="B57" s="754"/>
      <c r="C57" s="759"/>
      <c r="D57" s="759"/>
      <c r="E57" s="759"/>
      <c r="F57" s="760"/>
      <c r="G57" s="760"/>
      <c r="H57" s="759"/>
      <c r="I57" s="759"/>
      <c r="J57" s="759"/>
      <c r="K57" s="1157"/>
      <c r="L57" s="1158"/>
      <c r="M57" s="1156"/>
      <c r="N57" s="1156"/>
      <c r="O57" s="1156"/>
      <c r="P57" s="2611"/>
      <c r="Q57" s="501"/>
    </row>
    <row r="58" spans="1:29" s="505" customFormat="1" ht="15">
      <c r="A58" s="502" t="s">
        <v>2568</v>
      </c>
      <c r="B58" s="503"/>
      <c r="C58" s="1570" t="str">
        <f>YEAR(C7)&amp;"-"&amp;MONTH(C7)</f>
        <v>2018-4</v>
      </c>
      <c r="D58" s="1569">
        <f>EDATE(C58,-1)</f>
        <v>43160</v>
      </c>
      <c r="E58" s="1569">
        <f>EDATE(D58,-1)</f>
        <v>43132</v>
      </c>
      <c r="F58" s="1569">
        <f t="shared" ref="F58:O58" si="19">EDATE(E58,-1)</f>
        <v>43101</v>
      </c>
      <c r="G58" s="1569">
        <f t="shared" si="19"/>
        <v>43070</v>
      </c>
      <c r="H58" s="1569">
        <f t="shared" si="19"/>
        <v>43040</v>
      </c>
      <c r="I58" s="1569">
        <f t="shared" si="19"/>
        <v>43009</v>
      </c>
      <c r="J58" s="1569">
        <f t="shared" si="19"/>
        <v>42979</v>
      </c>
      <c r="K58" s="1569">
        <f t="shared" si="19"/>
        <v>42948</v>
      </c>
      <c r="L58" s="1569">
        <f t="shared" si="19"/>
        <v>42917</v>
      </c>
      <c r="M58" s="1569">
        <f t="shared" si="19"/>
        <v>42887</v>
      </c>
      <c r="N58" s="1569">
        <f t="shared" si="19"/>
        <v>42856</v>
      </c>
      <c r="O58" s="1569">
        <f t="shared" si="19"/>
        <v>42826</v>
      </c>
      <c r="P58" s="1564"/>
    </row>
    <row r="59" spans="1:29" s="116" customFormat="1" ht="15">
      <c r="A59" s="506"/>
      <c r="B59" s="2612"/>
      <c r="C59" s="1567">
        <v>100</v>
      </c>
      <c r="D59" s="508">
        <v>99</v>
      </c>
      <c r="E59" s="509">
        <v>98</v>
      </c>
      <c r="F59" s="508">
        <v>97</v>
      </c>
      <c r="G59" s="509">
        <v>96</v>
      </c>
      <c r="H59" s="508">
        <v>95</v>
      </c>
      <c r="I59" s="509">
        <v>94</v>
      </c>
      <c r="J59" s="508">
        <v>93</v>
      </c>
      <c r="K59" s="509">
        <v>92</v>
      </c>
      <c r="L59" s="508">
        <v>91</v>
      </c>
      <c r="M59" s="509">
        <v>90</v>
      </c>
      <c r="N59" s="508">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2570</v>
      </c>
      <c r="B61" s="507"/>
      <c r="C61" s="519" t="s">
        <v>2571</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住宅</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15"/>
      <c r="Q66" s="501"/>
    </row>
    <row r="67" spans="1:17" ht="15.75" thickTop="1">
      <c r="A67" s="531"/>
      <c r="B67" s="543" t="s">
        <v>2542</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57"/>
      <c r="E73" s="557"/>
      <c r="F73" s="557"/>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99</v>
      </c>
      <c r="E77" s="541">
        <f>D77-$K15</f>
        <v>98</v>
      </c>
      <c r="F77" s="541">
        <f>E77-$K15</f>
        <v>97</v>
      </c>
      <c r="G77" s="541">
        <f>F77-$K15</f>
        <v>96</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2090</v>
      </c>
      <c r="C82" s="536" t="s">
        <v>2588</v>
      </c>
      <c r="D82" s="536" t="s">
        <v>2589</v>
      </c>
      <c r="E82" s="536" t="s">
        <v>2590</v>
      </c>
      <c r="F82" s="536" t="s">
        <v>2591</v>
      </c>
      <c r="G82" s="536" t="s">
        <v>2592</v>
      </c>
      <c r="H82" s="536"/>
      <c r="I82" s="536"/>
      <c r="J82" s="536"/>
      <c r="K82" s="536"/>
      <c r="L82" s="536"/>
      <c r="M82" s="1377"/>
      <c r="N82" s="1150"/>
      <c r="O82" s="1150"/>
      <c r="P82" s="2615"/>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2594</v>
      </c>
      <c r="C86" s="551"/>
      <c r="D86" s="551"/>
      <c r="E86" s="551"/>
      <c r="F86" s="551"/>
      <c r="G86" s="551"/>
      <c r="H86" s="551"/>
      <c r="I86" s="551"/>
      <c r="J86" s="551"/>
      <c r="K86" s="551"/>
      <c r="L86" s="577"/>
      <c r="M86" s="578"/>
      <c r="N86" s="1148"/>
      <c r="O86" s="1148"/>
      <c r="P86" s="2615"/>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15"/>
      <c r="Q87" s="501"/>
    </row>
    <row r="88" spans="1:17" s="116" customFormat="1" ht="15.75" thickTop="1">
      <c r="A88" s="576"/>
      <c r="B88" s="535" t="s">
        <v>2595</v>
      </c>
      <c r="C88" s="551"/>
      <c r="D88" s="551"/>
      <c r="E88" s="551"/>
      <c r="F88" s="2620"/>
      <c r="G88" s="551"/>
      <c r="H88" s="551"/>
      <c r="I88" s="551"/>
      <c r="J88" s="551"/>
      <c r="K88" s="551"/>
      <c r="L88" s="551"/>
      <c r="M88" s="578"/>
      <c r="N88" s="1148"/>
      <c r="O88" s="1148"/>
      <c r="P88" s="2615"/>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15"/>
      <c r="Q89" s="501"/>
    </row>
    <row r="90" spans="1:17" s="468" customFormat="1" ht="15.75" thickTop="1">
      <c r="A90" s="550"/>
      <c r="B90" s="535">
        <f>B27</f>
        <v>111</v>
      </c>
      <c r="C90" s="551"/>
      <c r="D90" s="551"/>
      <c r="E90" s="551"/>
      <c r="F90" s="551"/>
      <c r="G90" s="551"/>
      <c r="H90" s="552"/>
      <c r="I90" s="552"/>
      <c r="J90" s="552"/>
      <c r="K90" s="552"/>
      <c r="L90" s="553"/>
      <c r="M90" s="554"/>
      <c r="N90" s="1151"/>
      <c r="O90" s="1151"/>
      <c r="P90" s="2616"/>
      <c r="Q90" s="556"/>
    </row>
    <row r="91" spans="1:17" s="468" customFormat="1" ht="15.75" thickBot="1">
      <c r="A91" s="550"/>
      <c r="B91" s="540"/>
      <c r="C91" s="557"/>
      <c r="D91" s="557"/>
      <c r="E91" s="557"/>
      <c r="F91" s="557"/>
      <c r="G91" s="557"/>
      <c r="H91" s="559"/>
      <c r="I91" s="559"/>
      <c r="J91" s="559"/>
      <c r="K91" s="559"/>
      <c r="L91" s="559"/>
      <c r="M91" s="560"/>
      <c r="N91" s="1151"/>
      <c r="O91" s="1151"/>
      <c r="P91" s="2616"/>
      <c r="Q91" s="556"/>
    </row>
    <row r="92" spans="1:17" ht="15.75" thickTop="1">
      <c r="A92" s="531"/>
      <c r="B92" s="535">
        <f>B28</f>
        <v>111</v>
      </c>
      <c r="C92" s="551"/>
      <c r="D92" s="551"/>
      <c r="E92" s="551"/>
      <c r="F92" s="551"/>
      <c r="G92" s="580"/>
      <c r="H92" s="580"/>
      <c r="I92" s="580"/>
      <c r="J92" s="580"/>
      <c r="K92" s="581"/>
      <c r="L92" s="582"/>
      <c r="M92" s="583"/>
      <c r="N92" s="1149"/>
      <c r="O92" s="1149"/>
      <c r="P92" s="2615"/>
      <c r="Q92" s="501"/>
    </row>
    <row r="93" spans="1:17" ht="15.75" thickBot="1">
      <c r="A93" s="531"/>
      <c r="B93" s="540"/>
      <c r="C93" s="557"/>
      <c r="D93" s="533"/>
      <c r="E93" s="533"/>
      <c r="F93" s="533"/>
      <c r="G93" s="533"/>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57"/>
      <c r="E95" s="557"/>
      <c r="F95" s="557"/>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67"/>
      <c r="D97" s="567"/>
      <c r="E97" s="567"/>
      <c r="F97" s="567"/>
      <c r="G97" s="533"/>
      <c r="H97" s="533"/>
      <c r="I97" s="533"/>
      <c r="J97" s="533"/>
      <c r="K97" s="533"/>
      <c r="L97" s="533"/>
      <c r="M97" s="534"/>
      <c r="N97" s="1150"/>
      <c r="O97" s="1150"/>
      <c r="P97" s="2615"/>
      <c r="Q97" s="501"/>
    </row>
    <row r="98" spans="1:17" ht="15.75" thickTop="1">
      <c r="A98" s="531"/>
      <c r="B98" s="543">
        <f>B31</f>
        <v>111</v>
      </c>
      <c r="C98" s="584"/>
      <c r="D98" s="584"/>
      <c r="E98" s="584"/>
      <c r="F98" s="584"/>
      <c r="G98" s="584"/>
      <c r="H98" s="584"/>
      <c r="I98" s="584"/>
      <c r="J98" s="584"/>
      <c r="K98" s="585"/>
      <c r="L98" s="586"/>
      <c r="M98" s="587"/>
      <c r="N98" s="1149"/>
      <c r="O98" s="1149"/>
      <c r="P98" s="2615"/>
      <c r="Q98" s="501"/>
    </row>
    <row r="99" spans="1:17" ht="15.75" thickBot="1">
      <c r="A99" s="2621"/>
      <c r="B99" s="566"/>
      <c r="C99" s="588"/>
      <c r="D99" s="588"/>
      <c r="E99" s="588"/>
      <c r="F99" s="588"/>
      <c r="G99" s="588"/>
      <c r="H99" s="588"/>
      <c r="I99" s="588"/>
      <c r="J99" s="588"/>
      <c r="K99" s="588"/>
      <c r="L99" s="588"/>
      <c r="M99" s="589"/>
      <c r="N99" s="1150"/>
      <c r="O99" s="1150"/>
      <c r="P99" s="2615"/>
      <c r="Q99" s="501"/>
    </row>
    <row r="100" spans="1:17">
      <c r="A100" s="524" t="s">
        <v>2547</v>
      </c>
      <c r="B100" s="525" t="s">
        <v>2596</v>
      </c>
      <c r="C100" s="2942" t="s">
        <v>3249</v>
      </c>
      <c r="D100" s="2942" t="s">
        <v>3250</v>
      </c>
      <c r="E100" s="2942" t="s">
        <v>3251</v>
      </c>
      <c r="F100" s="2942" t="s">
        <v>3252</v>
      </c>
      <c r="G100" s="527"/>
      <c r="H100" s="527"/>
      <c r="I100" s="527"/>
      <c r="J100" s="527"/>
      <c r="K100" s="528"/>
      <c r="L100" s="529"/>
      <c r="M100" s="530"/>
      <c r="N100" s="1149"/>
      <c r="O100" s="1149"/>
      <c r="P100" s="2615"/>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50"/>
      <c r="O101" s="1150"/>
      <c r="P101" s="2615"/>
      <c r="Q101" s="501"/>
    </row>
    <row r="102" spans="1:17" ht="29.25" thickTop="1">
      <c r="A102" s="531"/>
      <c r="B102" s="535" t="s">
        <v>2597</v>
      </c>
      <c r="C102" s="575" t="str">
        <f>C103&amp;"(含)"&amp;"-"&amp;D103</f>
        <v>0(含)-10000</v>
      </c>
      <c r="D102" s="575" t="str">
        <f t="shared" ref="D102:L102" si="27">D103&amp;"(含)"&amp;"-"&amp;E103</f>
        <v>10000(含)-20000</v>
      </c>
      <c r="E102" s="575" t="str">
        <f t="shared" si="27"/>
        <v>20000(含)-30000</v>
      </c>
      <c r="F102" s="575" t="str">
        <f t="shared" si="27"/>
        <v>30000(含)-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15"/>
      <c r="Q102" s="501"/>
    </row>
    <row r="103" spans="1:17" s="468" customFormat="1">
      <c r="A103" s="590"/>
      <c r="B103" s="591"/>
      <c r="C103" s="592">
        <v>0</v>
      </c>
      <c r="D103" s="592">
        <v>10000</v>
      </c>
      <c r="E103" s="592">
        <v>20000</v>
      </c>
      <c r="F103" s="592">
        <v>30000</v>
      </c>
      <c r="G103" s="592"/>
      <c r="H103" s="592"/>
      <c r="I103" s="592"/>
      <c r="J103" s="593"/>
      <c r="K103" s="593"/>
      <c r="L103" s="594"/>
      <c r="M103" s="595"/>
      <c r="N103" s="1151"/>
      <c r="O103" s="1151"/>
      <c r="P103" s="2616"/>
      <c r="Q103" s="556"/>
    </row>
    <row r="104" spans="1:17" s="468" customFormat="1" ht="15.75" thickBot="1">
      <c r="A104" s="550"/>
      <c r="B104" s="540"/>
      <c r="C104" s="557">
        <v>100</v>
      </c>
      <c r="D104" s="533">
        <v>101</v>
      </c>
      <c r="E104" s="533">
        <v>102</v>
      </c>
      <c r="F104" s="533">
        <v>103</v>
      </c>
      <c r="G104" s="533"/>
      <c r="H104" s="533"/>
      <c r="I104" s="533"/>
      <c r="J104" s="533"/>
      <c r="K104" s="533"/>
      <c r="L104" s="533"/>
      <c r="M104" s="533"/>
      <c r="N104" s="1150"/>
      <c r="O104" s="1150"/>
      <c r="P104" s="2616"/>
      <c r="Q104" s="556"/>
    </row>
    <row r="105" spans="1:17" ht="15" thickTop="1">
      <c r="A105" s="596"/>
      <c r="B105" s="535" t="s">
        <v>2598</v>
      </c>
      <c r="C105" s="2940" t="s">
        <v>3253</v>
      </c>
      <c r="D105" s="2940" t="s">
        <v>3254</v>
      </c>
      <c r="E105" s="2941" t="s">
        <v>3255</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15"/>
      <c r="Q106" s="501"/>
    </row>
    <row r="107" spans="1:17" ht="15" thickTop="1">
      <c r="A107" s="596"/>
      <c r="B107" s="535" t="s">
        <v>2599</v>
      </c>
      <c r="C107" s="2941" t="s">
        <v>3256</v>
      </c>
      <c r="D107" s="2941" t="s">
        <v>3258</v>
      </c>
      <c r="E107" s="580"/>
      <c r="F107" s="580"/>
      <c r="G107" s="580"/>
      <c r="H107" s="580"/>
      <c r="I107" s="580"/>
      <c r="J107" s="580"/>
      <c r="K107" s="581"/>
      <c r="L107" s="582"/>
      <c r="M107" s="583"/>
      <c r="N107" s="1149"/>
      <c r="O107" s="1149"/>
      <c r="P107" s="2615"/>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15"/>
      <c r="Q108" s="501"/>
    </row>
    <row r="109" spans="1:17" ht="15" thickTop="1">
      <c r="A109" s="596"/>
      <c r="B109" s="535" t="s">
        <v>2600</v>
      </c>
      <c r="C109" s="2940" t="s">
        <v>3259</v>
      </c>
      <c r="D109" s="2940" t="s">
        <v>3260</v>
      </c>
      <c r="E109" s="2940" t="s">
        <v>3261</v>
      </c>
      <c r="F109" s="2941" t="s">
        <v>3262</v>
      </c>
      <c r="G109" s="580"/>
      <c r="H109" s="580"/>
      <c r="I109" s="580"/>
      <c r="J109" s="580"/>
      <c r="K109" s="581"/>
      <c r="L109" s="582"/>
      <c r="M109" s="583"/>
      <c r="N109" s="1149"/>
      <c r="O109" s="1149"/>
      <c r="P109" s="2615"/>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0"/>
      <c r="O110" s="1150"/>
      <c r="P110" s="2615"/>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1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16"/>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16"/>
      <c r="Q113" s="556"/>
    </row>
    <row r="114" spans="1:17" ht="15" thickTop="1">
      <c r="A114" s="596"/>
      <c r="B114" s="535" t="s">
        <v>2601</v>
      </c>
      <c r="C114" s="2940" t="s">
        <v>3263</v>
      </c>
      <c r="D114" s="2940" t="s">
        <v>3264</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50"/>
      <c r="O115" s="1150"/>
      <c r="P115" s="2615"/>
      <c r="Q115" s="501"/>
    </row>
    <row r="116" spans="1:17" ht="15" thickTop="1">
      <c r="A116" s="596"/>
      <c r="B116" s="535" t="s">
        <v>2602</v>
      </c>
      <c r="C116" s="2940" t="s">
        <v>3265</v>
      </c>
      <c r="D116" s="2940" t="s">
        <v>3266</v>
      </c>
      <c r="E116" s="2940" t="s">
        <v>3267</v>
      </c>
      <c r="F116" s="2940" t="s">
        <v>3268</v>
      </c>
      <c r="G116" s="2940" t="s">
        <v>3269</v>
      </c>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2603</v>
      </c>
      <c r="C118" s="580"/>
      <c r="D118" s="580"/>
      <c r="E118" s="580"/>
      <c r="F118" s="580"/>
      <c r="G118" s="580"/>
      <c r="H118" s="580"/>
      <c r="I118" s="580"/>
      <c r="J118" s="580"/>
      <c r="K118" s="581"/>
      <c r="L118" s="582"/>
      <c r="M118" s="583"/>
      <c r="N118" s="1149"/>
      <c r="O118" s="1149"/>
      <c r="P118" s="261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15"/>
      <c r="Q119" s="501"/>
    </row>
    <row r="120" spans="1:17" s="468" customFormat="1" ht="28.5" thickTop="1">
      <c r="A120" s="590"/>
      <c r="B120" s="535" t="s">
        <v>2558</v>
      </c>
      <c r="C120" s="551"/>
      <c r="D120" s="551"/>
      <c r="E120" s="551"/>
      <c r="F120" s="551"/>
      <c r="G120" s="551"/>
      <c r="H120" s="551"/>
      <c r="I120" s="551"/>
      <c r="J120" s="551"/>
      <c r="K120" s="551"/>
      <c r="L120" s="577"/>
      <c r="M120" s="578"/>
      <c r="N120" s="1151"/>
      <c r="O120" s="1151"/>
      <c r="P120" s="2616"/>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16"/>
      <c r="Q121" s="556"/>
    </row>
    <row r="122" spans="1:17" ht="15" thickTop="1">
      <c r="A122" s="596"/>
      <c r="B122" s="535" t="s">
        <v>2604</v>
      </c>
      <c r="C122" s="2940" t="s">
        <v>3259</v>
      </c>
      <c r="D122" s="2940" t="s">
        <v>3260</v>
      </c>
      <c r="E122" s="2940" t="s">
        <v>3261</v>
      </c>
      <c r="F122" s="2941" t="s">
        <v>3262</v>
      </c>
      <c r="G122" s="580"/>
      <c r="H122" s="580"/>
      <c r="I122" s="580"/>
      <c r="J122" s="580"/>
      <c r="K122" s="581"/>
      <c r="L122" s="582"/>
      <c r="M122" s="583"/>
      <c r="N122" s="1149"/>
      <c r="O122" s="1149"/>
      <c r="P122" s="2615"/>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57"/>
      <c r="E129" s="557"/>
      <c r="F129" s="557"/>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row r="136" spans="1:17" ht="15" thickBot="1">
      <c r="B136" s="2622" t="s">
        <v>2606</v>
      </c>
    </row>
    <row r="137" spans="1:17" ht="15">
      <c r="B137" s="2623" t="s">
        <v>2607</v>
      </c>
      <c r="C137" s="2624"/>
      <c r="D137" s="2624"/>
      <c r="E137" s="2624"/>
      <c r="F137" s="2624"/>
      <c r="G137" s="2625"/>
      <c r="H137" s="2626"/>
      <c r="I137" s="2627" t="s">
        <v>2608</v>
      </c>
      <c r="J137" s="2624"/>
      <c r="K137" s="2628"/>
    </row>
    <row r="138" spans="1:17" ht="15">
      <c r="B138" s="2629"/>
      <c r="C138" s="144" t="s">
        <v>2609</v>
      </c>
      <c r="D138" s="144" t="s">
        <v>2610</v>
      </c>
      <c r="E138" s="2630" t="s">
        <v>2611</v>
      </c>
      <c r="F138" s="2631" t="s">
        <v>2612</v>
      </c>
      <c r="G138" s="144" t="s">
        <v>2610</v>
      </c>
      <c r="H138" s="145" t="s">
        <v>2611</v>
      </c>
      <c r="I138" s="2632"/>
      <c r="J138" s="144" t="s">
        <v>2613</v>
      </c>
      <c r="K138" s="145" t="s">
        <v>2614</v>
      </c>
    </row>
    <row r="139" spans="1:17" ht="15">
      <c r="B139" s="1081">
        <v>6</v>
      </c>
      <c r="C139" s="1082">
        <v>96</v>
      </c>
      <c r="D139" s="2633" t="s">
        <v>2615</v>
      </c>
      <c r="E139" s="1083">
        <v>100</v>
      </c>
      <c r="F139" s="1084">
        <v>102.5</v>
      </c>
      <c r="G139" s="2633" t="s">
        <v>2615</v>
      </c>
      <c r="H139" s="1085">
        <v>105</v>
      </c>
      <c r="I139" s="2634" t="s">
        <v>2616</v>
      </c>
      <c r="J139" s="1082">
        <v>20</v>
      </c>
      <c r="K139" s="1086">
        <f>C145/(J139-2)</f>
        <v>4.0555555555555553E-3</v>
      </c>
    </row>
    <row r="140" spans="1:17" ht="15">
      <c r="B140" s="1087">
        <v>5</v>
      </c>
      <c r="C140" s="1088">
        <v>100</v>
      </c>
      <c r="D140" s="1088"/>
      <c r="E140" s="1089"/>
      <c r="F140" s="1090">
        <v>102</v>
      </c>
      <c r="G140" s="1088"/>
      <c r="H140" s="1091"/>
      <c r="I140" s="2635" t="s">
        <v>2617</v>
      </c>
      <c r="J140" s="313">
        <f>ROUNDUP((J139-1)/2,0)</f>
        <v>10</v>
      </c>
      <c r="K140" s="1092">
        <v>100</v>
      </c>
    </row>
    <row r="141" spans="1:17" ht="15">
      <c r="B141" s="1087">
        <v>4</v>
      </c>
      <c r="C141" s="1088">
        <v>102</v>
      </c>
      <c r="D141" s="1088"/>
      <c r="E141" s="1089"/>
      <c r="F141" s="1090">
        <v>101.5</v>
      </c>
      <c r="G141" s="1088"/>
      <c r="H141" s="1091"/>
      <c r="I141" s="2635" t="s">
        <v>2618</v>
      </c>
      <c r="J141" s="313">
        <v>1</v>
      </c>
      <c r="K141" s="1093">
        <f>ROUND(100+(J141-J140)*K139*100,1)</f>
        <v>96.4</v>
      </c>
    </row>
    <row r="142" spans="1:17" ht="15">
      <c r="B142" s="1087">
        <v>3</v>
      </c>
      <c r="C142" s="1088">
        <v>103</v>
      </c>
      <c r="D142" s="1088"/>
      <c r="E142" s="1089"/>
      <c r="F142" s="1090">
        <v>101</v>
      </c>
      <c r="G142" s="1088"/>
      <c r="H142" s="1091"/>
      <c r="I142" s="2635" t="s">
        <v>2619</v>
      </c>
      <c r="J142" s="313">
        <f>J139</f>
        <v>20</v>
      </c>
      <c r="K142" s="1094">
        <v>95</v>
      </c>
    </row>
    <row r="143" spans="1:17" ht="15">
      <c r="B143" s="1087">
        <v>2</v>
      </c>
      <c r="C143" s="1088">
        <v>100</v>
      </c>
      <c r="D143" s="1088"/>
      <c r="E143" s="1089"/>
      <c r="F143" s="1090">
        <v>100.5</v>
      </c>
      <c r="G143" s="1088"/>
      <c r="H143" s="1091"/>
      <c r="I143" s="2635" t="s">
        <v>2620</v>
      </c>
      <c r="J143" s="1088">
        <v>15</v>
      </c>
      <c r="K143" s="1093">
        <f>ROUND(100+(J143-J140)*K139*100,1)</f>
        <v>102</v>
      </c>
    </row>
    <row r="144" spans="1:17" ht="15">
      <c r="B144" s="1087">
        <v>1</v>
      </c>
      <c r="C144" s="1088">
        <v>98</v>
      </c>
      <c r="D144" s="2636" t="s">
        <v>2621</v>
      </c>
      <c r="E144" s="1089">
        <v>102</v>
      </c>
      <c r="F144" s="1095">
        <v>100</v>
      </c>
      <c r="G144" s="2636" t="s">
        <v>2621</v>
      </c>
      <c r="H144" s="1091">
        <v>105</v>
      </c>
      <c r="I144" s="2635" t="s">
        <v>2620</v>
      </c>
      <c r="J144" s="1088">
        <v>18</v>
      </c>
      <c r="K144" s="1093">
        <f>ROUND(100+(J144-J140)*K139*100,1)</f>
        <v>103.2</v>
      </c>
    </row>
    <row r="145" spans="2:11" ht="15.75" thickBot="1">
      <c r="B145" s="2637" t="s">
        <v>2622</v>
      </c>
      <c r="C145" s="1096">
        <f>ROUND(MAX(C139:C144)/MIN(C139:C144)-1,3)</f>
        <v>7.2999999999999995E-2</v>
      </c>
      <c r="D145" s="1097"/>
      <c r="E145" s="1097"/>
      <c r="F145" s="2638" t="s">
        <v>2623</v>
      </c>
      <c r="G145" s="2639"/>
      <c r="H145" s="2640"/>
      <c r="I145" s="2641" t="s">
        <v>2620</v>
      </c>
      <c r="J145" s="1098">
        <v>8</v>
      </c>
      <c r="K145" s="1099">
        <f>ROUND(100+(J145-J140)*K139*100,1)</f>
        <v>99.2</v>
      </c>
    </row>
    <row r="147" spans="2:11">
      <c r="B147" s="2622" t="s">
        <v>2624</v>
      </c>
    </row>
    <row r="148" spans="2:11">
      <c r="B148" s="2622"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0" sqref="F4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3173</v>
      </c>
      <c r="D1" s="3059" t="s">
        <v>3540</v>
      </c>
      <c r="E1" s="1815" t="s">
        <v>1387</v>
      </c>
      <c r="F1" s="1278">
        <f ca="1">J53</f>
        <v>38.950000000000003</v>
      </c>
      <c r="G1" s="1830">
        <f>MATCH(C1,'数据-取费表'!A6:A16,0)+5</f>
        <v>7</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2488</v>
      </c>
      <c r="C2" s="1839" t="s">
        <v>1516</v>
      </c>
      <c r="D2" s="1839"/>
      <c r="E2" s="1840"/>
      <c r="F2" s="1841"/>
      <c r="G2" s="1842"/>
      <c r="H2" s="1834"/>
      <c r="I2" s="1834"/>
      <c r="J2" s="1834"/>
      <c r="K2" s="1835"/>
      <c r="L2" s="1834"/>
      <c r="M2" s="1834"/>
    </row>
    <row r="3" spans="1:37" ht="18" customHeight="1" thickBot="1">
      <c r="A3" s="1843" t="s">
        <v>1517</v>
      </c>
      <c r="B3" s="1844">
        <f ca="1">IF(ISERROR(B2*10000/F43),0,ROUND(B2*10000/F43,0))</f>
        <v>4636</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176</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176</v>
      </c>
      <c r="D6" s="162" t="s">
        <v>3014</v>
      </c>
      <c r="E6" s="345" t="s">
        <v>1405</v>
      </c>
      <c r="F6" s="346">
        <f ca="1">INDIRECT("'数据-取费表'!u"&amp;$G$1)</f>
        <v>1</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1293" t="s">
        <v>1406</v>
      </c>
      <c r="F7" s="346">
        <f ca="1">IF(INDIRECT("'数据-取费表'!ah"&amp;$G$1)="",INDIRECT("'数据-取费表'!k"&amp;$G$1),INDIRECT("'数据-取费表'!ah"&amp;$G$1))</f>
        <v>5366.96</v>
      </c>
      <c r="G7" s="1845"/>
      <c r="H7" s="347"/>
      <c r="I7" s="3332"/>
      <c r="J7" s="349"/>
      <c r="K7" s="350"/>
      <c r="L7" s="345" t="s">
        <v>1406</v>
      </c>
      <c r="M7" s="346">
        <f ca="1">F7</f>
        <v>5366.96</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3023</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1701</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1182</v>
      </c>
      <c r="D14" s="1794" t="s">
        <v>1418</v>
      </c>
      <c r="E14" s="1788"/>
      <c r="F14" s="362"/>
      <c r="G14" s="1845"/>
      <c r="H14" s="1198" t="s">
        <v>1035</v>
      </c>
      <c r="I14" s="345" t="s">
        <v>1419</v>
      </c>
      <c r="J14" s="24">
        <f ca="1">C29</f>
        <v>1701</v>
      </c>
      <c r="K14" s="15"/>
      <c r="L14" s="976"/>
      <c r="M14" s="977"/>
    </row>
    <row r="15" spans="1:37" s="1852" customFormat="1" ht="18" customHeight="1" thickBot="1">
      <c r="A15" s="1198" t="s">
        <v>1036</v>
      </c>
      <c r="B15" s="345" t="s">
        <v>1420</v>
      </c>
      <c r="C15" s="24">
        <f ca="1">ROUND(C14*F15,0)</f>
        <v>35</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45</v>
      </c>
      <c r="K16" s="1332" t="s">
        <v>1425</v>
      </c>
      <c r="L16" s="1333"/>
      <c r="M16" s="1289"/>
    </row>
    <row r="17" spans="1:37" s="1852" customFormat="1" ht="18" customHeight="1">
      <c r="A17" s="1198" t="s">
        <v>1390</v>
      </c>
      <c r="B17" s="345" t="s">
        <v>1426</v>
      </c>
      <c r="C17" s="24">
        <f ca="1">ROUND(F17*(F43+INDIRECT("'数据-取费表'!S"&amp;$G$1))/10000,0)</f>
        <v>107</v>
      </c>
      <c r="D17" s="345" t="s">
        <v>1427</v>
      </c>
      <c r="E17" s="345" t="s">
        <v>1428</v>
      </c>
      <c r="F17" s="26">
        <f>'数据-取费表'!B35</f>
        <v>200</v>
      </c>
      <c r="G17" s="1848"/>
      <c r="H17" s="1198" t="s">
        <v>1035</v>
      </c>
      <c r="I17" s="345" t="s">
        <v>1429</v>
      </c>
      <c r="J17" s="24">
        <f ca="1">ROUND(IF(项目基本情况!B11="自然人",J5*M17,J18+J19+J20),1)</f>
        <v>19.399999999999999</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18</v>
      </c>
      <c r="D18" s="345" t="s">
        <v>1421</v>
      </c>
      <c r="E18" s="345" t="s">
        <v>1422</v>
      </c>
      <c r="F18" s="365">
        <f>'数据-取费表'!B36</f>
        <v>1.4999999999999999E-2</v>
      </c>
      <c r="G18" s="1848"/>
      <c r="H18" s="1198" t="s">
        <v>1034</v>
      </c>
      <c r="I18" s="345" t="s">
        <v>1433</v>
      </c>
      <c r="J18" s="24">
        <f ca="1">ROUND(J5*M18/(1+'数据-取费表'!C42),2)</f>
        <v>0</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1342</v>
      </c>
      <c r="D19" s="138" t="s">
        <v>1436</v>
      </c>
      <c r="E19" s="1812"/>
      <c r="F19" s="26"/>
      <c r="G19" s="1845"/>
      <c r="H19" s="1198" t="s">
        <v>1036</v>
      </c>
      <c r="I19" s="345" t="s">
        <v>1437</v>
      </c>
      <c r="J19" s="24">
        <f ca="1">IF(K19="按租金收入计税",ROUND(J5*M19,2),ROUND(C29*M19*0.7,2))</f>
        <v>14.29</v>
      </c>
      <c r="K19" s="1822" t="s">
        <v>1438</v>
      </c>
      <c r="L19" s="345" t="s">
        <v>1422</v>
      </c>
      <c r="M19" s="365">
        <f>IF(K19="按租金收入计税",'数据-取费表'!B51,'数据-取费表'!B50)</f>
        <v>1.2E-2</v>
      </c>
    </row>
    <row r="20" spans="1:37" s="1852" customFormat="1" ht="18" customHeight="1">
      <c r="A20" s="1198" t="s">
        <v>1039</v>
      </c>
      <c r="B20" s="345" t="s">
        <v>1439</v>
      </c>
      <c r="C20" s="24">
        <f ca="1">ROUND(C19*F20,0)</f>
        <v>27</v>
      </c>
      <c r="D20" s="367" t="s">
        <v>1440</v>
      </c>
      <c r="E20" s="345" t="s">
        <v>1422</v>
      </c>
      <c r="F20" s="365">
        <f>'数据-取费表'!B37</f>
        <v>0.02</v>
      </c>
      <c r="G20" s="1848"/>
      <c r="H20" s="1198" t="s">
        <v>1389</v>
      </c>
      <c r="I20" s="162" t="s">
        <v>1441</v>
      </c>
      <c r="J20" s="25">
        <f ca="1">ROUND(M20*M21/10000,2)</f>
        <v>5.13</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4273.41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f ca="1">ROUND(J14*M22,1)</f>
        <v>25.5</v>
      </c>
      <c r="K22" s="1792"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1792"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1812"/>
      <c r="F25" s="26"/>
      <c r="G25" s="1845"/>
      <c r="H25" s="1324" t="s">
        <v>1031</v>
      </c>
      <c r="I25" s="1339" t="s">
        <v>1463</v>
      </c>
      <c r="J25" s="353">
        <f ca="1">J5-J16</f>
        <v>-45</v>
      </c>
      <c r="K25" s="1340" t="s">
        <v>1464</v>
      </c>
      <c r="L25" s="1341"/>
      <c r="M25" s="1342"/>
    </row>
    <row r="26" spans="1:37">
      <c r="A26" s="1198" t="s">
        <v>1034</v>
      </c>
      <c r="B26" s="345" t="s">
        <v>1465</v>
      </c>
      <c r="C26" s="24">
        <f ca="1">ROUND((C19+C20)*F26,0)</f>
        <v>137</v>
      </c>
      <c r="D26" s="367" t="s">
        <v>1466</v>
      </c>
      <c r="E26" s="356" t="s">
        <v>1467</v>
      </c>
      <c r="F26" s="355">
        <f ca="1">INDIRECT("'数据-取费表'!q"&amp;$G$1)</f>
        <v>0.1</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2E-3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1701</v>
      </c>
      <c r="D29" s="1337"/>
      <c r="E29" s="1335"/>
      <c r="F29" s="1338"/>
      <c r="G29" s="1848"/>
      <c r="H29" s="378" t="s">
        <v>1033</v>
      </c>
      <c r="I29" s="379" t="s">
        <v>1479</v>
      </c>
      <c r="J29" s="380">
        <f ca="1">ROUND(J26/(1+F40)^F41,0)</f>
        <v>0</v>
      </c>
      <c r="K29" s="381" t="s">
        <v>1480</v>
      </c>
      <c r="L29" s="382"/>
      <c r="M29" s="383">
        <f ca="1">INDIRECT("'数据-取费表'!k"&amp;$G$1)</f>
        <v>5366.96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66</v>
      </c>
      <c r="D30" s="1332" t="s">
        <v>1425</v>
      </c>
      <c r="E30" s="1333"/>
      <c r="F30" s="1289"/>
      <c r="G30" s="1845"/>
      <c r="H30" s="740"/>
      <c r="I30" s="741"/>
      <c r="J30" s="742"/>
      <c r="K30" s="743"/>
      <c r="L30" s="744"/>
      <c r="M30" s="745"/>
    </row>
    <row r="31" spans="1:37" ht="18" customHeight="1">
      <c r="A31" s="1198" t="s">
        <v>1035</v>
      </c>
      <c r="B31" s="345" t="s">
        <v>1429</v>
      </c>
      <c r="C31" s="24">
        <f ca="1">ROUND(IF(项目基本情况!B11="自然人",C5*F31,C32+C33+C34),1)</f>
        <v>35.6</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9.39</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21.12</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5.13</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4273.41</v>
      </c>
      <c r="G35" s="1845"/>
      <c r="H35" s="740"/>
      <c r="I35" s="1854"/>
      <c r="J35" s="1855"/>
      <c r="K35" s="1856"/>
      <c r="L35" s="1853"/>
      <c r="M35" s="1853"/>
    </row>
    <row r="36" spans="1:18" ht="18" customHeight="1">
      <c r="A36" s="1347" t="s">
        <v>1039</v>
      </c>
      <c r="B36" s="345" t="s">
        <v>1449</v>
      </c>
      <c r="C36" s="24">
        <f ca="1">ROUND(C29*F36,1)</f>
        <v>25.5</v>
      </c>
      <c r="D36" s="1792"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2.6</v>
      </c>
      <c r="D37" s="1792"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1.8</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1483</v>
      </c>
      <c r="C39" s="353">
        <f ca="1">C5-C30</f>
        <v>110</v>
      </c>
      <c r="D39" s="1340" t="s">
        <v>1484</v>
      </c>
      <c r="E39" s="1341"/>
      <c r="F39" s="1342"/>
      <c r="G39" s="1845"/>
      <c r="H39" s="1853"/>
      <c r="I39" s="1854"/>
      <c r="J39" s="1855"/>
      <c r="K39" s="1859"/>
      <c r="L39" s="1853"/>
      <c r="M39" s="1853"/>
    </row>
    <row r="40" spans="1:18" ht="18" customHeight="1">
      <c r="A40" s="342" t="s">
        <v>1032</v>
      </c>
      <c r="B40" s="343" t="s">
        <v>1485</v>
      </c>
      <c r="C40" s="344">
        <f ca="1">ROUND(C39*(1-((1+F42)/(1+F40))^F41)/(F40-F42),0)</f>
        <v>2488</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4636</v>
      </c>
      <c r="D43" s="381" t="s">
        <v>1488</v>
      </c>
      <c r="E43" s="382" t="s">
        <v>1489</v>
      </c>
      <c r="F43" s="383">
        <f ca="1">INDIRECT("'数据-取费表'!k"&amp;$G$1)</f>
        <v>5366.96</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-5695</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2488</v>
      </c>
      <c r="R47" s="1880" t="s">
        <v>1529</v>
      </c>
    </row>
    <row r="48" spans="1:18" s="1836" customFormat="1" ht="28.5" thickBot="1">
      <c r="A48" s="1355" t="s">
        <v>1135</v>
      </c>
      <c r="B48" s="343" t="s">
        <v>1401</v>
      </c>
      <c r="C48" s="1811">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3015</v>
      </c>
      <c r="E49" s="1824" t="s">
        <v>1491</v>
      </c>
      <c r="F49" s="1276"/>
      <c r="G49" s="1885"/>
      <c r="H49" s="788"/>
      <c r="I49" s="1881" t="s">
        <v>1534</v>
      </c>
      <c r="J49" s="1886">
        <v>2012</v>
      </c>
      <c r="K49" s="1883" t="s">
        <v>1535</v>
      </c>
      <c r="L49" s="1887"/>
      <c r="O49" s="1888" t="s">
        <v>1042</v>
      </c>
      <c r="P49" s="1879" t="s">
        <v>1536</v>
      </c>
      <c r="Q49" s="1880">
        <f ca="1">C29</f>
        <v>1701</v>
      </c>
      <c r="R49" s="1880" t="s">
        <v>1529</v>
      </c>
    </row>
    <row r="50" spans="1:18" s="1836" customFormat="1" ht="13.5" thickBot="1">
      <c r="A50" s="1192"/>
      <c r="B50" s="1195"/>
      <c r="C50" s="1363"/>
      <c r="D50" s="1169"/>
      <c r="E50" s="1272" t="s">
        <v>1406</v>
      </c>
      <c r="F50" s="1273">
        <f ca="1">F7</f>
        <v>5366.96</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-521</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2488</v>
      </c>
      <c r="R53" s="1880" t="s">
        <v>1047</v>
      </c>
    </row>
    <row r="54" spans="1:18" s="1836" customFormat="1" ht="13.5" thickBot="1">
      <c r="A54" s="1401"/>
      <c r="B54" s="1819" t="s">
        <v>1388</v>
      </c>
      <c r="C54" s="1175"/>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1701</v>
      </c>
      <c r="D56" s="1908"/>
      <c r="E56" s="1909"/>
      <c r="F56" s="1901"/>
      <c r="I56" s="1910" t="s">
        <v>1554</v>
      </c>
      <c r="J56" s="1911" t="s">
        <v>3031</v>
      </c>
      <c r="K56" s="1881" t="s">
        <v>1555</v>
      </c>
      <c r="L56" s="1884" t="str">
        <f ca="1">IF(L48&lt;J51,"——",L48-J53)</f>
        <v>——</v>
      </c>
      <c r="O56" s="1878" t="s">
        <v>1040</v>
      </c>
      <c r="P56" s="1879" t="s">
        <v>1528</v>
      </c>
      <c r="Q56" s="1880">
        <f ca="1">C40+J29</f>
        <v>2488</v>
      </c>
      <c r="R56" s="1880" t="s">
        <v>1529</v>
      </c>
    </row>
    <row r="57" spans="1:18" s="1836" customFormat="1" ht="24.75" thickBot="1">
      <c r="A57" s="1912"/>
      <c r="B57" s="1166" t="s">
        <v>1478</v>
      </c>
      <c r="C57" s="280">
        <f ca="1">C29</f>
        <v>1701</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176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148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142.88</v>
      </c>
      <c r="D61" s="1822" t="s">
        <v>1438</v>
      </c>
      <c r="E61" s="1166" t="s">
        <v>1494</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1496</v>
      </c>
      <c r="C62" s="25">
        <f ca="1">IF(项目基本情况!B11="自然人","——",ROUND(F62*F63/10000,2))</f>
        <v>5.13</v>
      </c>
      <c r="D62" s="1181" t="s">
        <v>1497</v>
      </c>
      <c r="E62" s="1166" t="s">
        <v>1498</v>
      </c>
      <c r="F62" s="369">
        <f t="shared" si="0"/>
        <v>12</v>
      </c>
      <c r="I62" s="1923" t="s">
        <v>1570</v>
      </c>
      <c r="J62" s="1924" t="s">
        <v>1571</v>
      </c>
      <c r="K62" s="1924" t="s">
        <v>1572</v>
      </c>
      <c r="L62" s="1924" t="s">
        <v>1573</v>
      </c>
      <c r="M62" s="1925" t="s">
        <v>1574</v>
      </c>
      <c r="O62" s="1878" t="s">
        <v>1046</v>
      </c>
      <c r="P62" s="1879" t="s">
        <v>1575</v>
      </c>
      <c r="Q62" s="1880">
        <f ca="1">Q56+Q57</f>
        <v>2488</v>
      </c>
      <c r="R62" s="1880" t="s">
        <v>1047</v>
      </c>
    </row>
    <row r="63" spans="1:18" s="1836" customFormat="1" ht="13.5" thickBot="1">
      <c r="A63" s="370"/>
      <c r="B63" s="1172"/>
      <c r="C63" s="29"/>
      <c r="D63" s="1182"/>
      <c r="E63" s="1166" t="s">
        <v>1499</v>
      </c>
      <c r="F63" s="346">
        <f t="shared" ca="1" si="0"/>
        <v>4273.41</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f ca="1">ROUND(C57*F64,1)</f>
        <v>25.5</v>
      </c>
      <c r="D64" s="1180" t="s">
        <v>1502</v>
      </c>
      <c r="E64" s="1166" t="s">
        <v>1494</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2.6</v>
      </c>
      <c r="D65" s="1180" t="s">
        <v>1454</v>
      </c>
      <c r="E65" s="1166" t="s">
        <v>1455</v>
      </c>
      <c r="F65" s="374">
        <f t="shared" ca="1" si="0"/>
        <v>1.5E-3</v>
      </c>
      <c r="I65" s="1923" t="s">
        <v>1579</v>
      </c>
      <c r="J65" s="1924">
        <v>40</v>
      </c>
      <c r="K65" s="1924">
        <v>30</v>
      </c>
      <c r="L65" s="1924">
        <v>50</v>
      </c>
      <c r="M65" s="1926">
        <v>0.02</v>
      </c>
      <c r="O65" s="1878" t="s">
        <v>1040</v>
      </c>
      <c r="P65" s="1879" t="s">
        <v>1580</v>
      </c>
      <c r="Q65" s="1880">
        <f ca="1">C40+J29</f>
        <v>2488</v>
      </c>
      <c r="R65" s="1880" t="s">
        <v>1529</v>
      </c>
    </row>
    <row r="66" spans="1:18" s="1836" customFormat="1" ht="16.5" thickBot="1">
      <c r="A66" s="1198" t="s">
        <v>1504</v>
      </c>
      <c r="B66" s="1166" t="s">
        <v>1439</v>
      </c>
      <c r="C66" s="24">
        <f ca="1">ROUND(C48*F66,1)</f>
        <v>0</v>
      </c>
      <c r="D66" s="1180" t="s">
        <v>1505</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-176</v>
      </c>
      <c r="D67" s="1179" t="s">
        <v>1464</v>
      </c>
      <c r="E67" s="1184"/>
      <c r="F67" s="1185"/>
      <c r="O67" s="1888" t="s">
        <v>1042</v>
      </c>
      <c r="P67" s="1879" t="s">
        <v>1562</v>
      </c>
      <c r="Q67" s="1927">
        <f ca="1">L51</f>
        <v>-521</v>
      </c>
      <c r="R67" s="1880" t="s">
        <v>1582</v>
      </c>
    </row>
    <row r="68" spans="1:18" s="1836" customFormat="1" ht="16.5" thickBot="1">
      <c r="A68" s="1163" t="s">
        <v>1032</v>
      </c>
      <c r="B68" s="1164" t="s">
        <v>1485</v>
      </c>
      <c r="C68" s="344">
        <f ca="1">ROUND(C67*(1-((1+F70)/(1+F68))^F69)/(F68-F70),0)</f>
        <v>-3207</v>
      </c>
      <c r="D68" s="1181" t="s">
        <v>1469</v>
      </c>
      <c r="E68" s="1166" t="s">
        <v>1470</v>
      </c>
      <c r="F68" s="355">
        <f ca="1">F40</f>
        <v>4.4999999999999998E-2</v>
      </c>
      <c r="O68" s="1888" t="s">
        <v>1043</v>
      </c>
      <c r="P68" s="1928" t="s">
        <v>1583</v>
      </c>
      <c r="Q68" s="1880">
        <f ca="1">ROUND(Q69-Q70*Q71,0)</f>
        <v>-26</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110</v>
      </c>
      <c r="R69" s="1880" t="s">
        <v>1529</v>
      </c>
    </row>
    <row r="70" spans="1:18" s="1836" customFormat="1" ht="13.5" thickBot="1">
      <c r="A70" s="1170"/>
      <c r="B70" s="1171"/>
      <c r="C70" s="353"/>
      <c r="D70" s="1182"/>
      <c r="E70" s="1166" t="s">
        <v>1477</v>
      </c>
      <c r="F70" s="1270"/>
      <c r="O70" s="1888" t="s">
        <v>1049</v>
      </c>
      <c r="P70" s="1928" t="s">
        <v>1585</v>
      </c>
      <c r="Q70" s="1880">
        <f ca="1">C13</f>
        <v>1701</v>
      </c>
      <c r="R70" s="1880" t="s">
        <v>1529</v>
      </c>
    </row>
    <row r="71" spans="1:18" s="1836" customFormat="1" ht="13.5" thickBot="1">
      <c r="A71" s="1187" t="s">
        <v>1033</v>
      </c>
      <c r="B71" s="1188" t="s">
        <v>1487</v>
      </c>
      <c r="C71" s="380">
        <f ca="1">ROUND(C68*10000/F71,0)</f>
        <v>-5975</v>
      </c>
      <c r="D71" s="1189" t="s">
        <v>1488</v>
      </c>
      <c r="E71" s="1190" t="s">
        <v>1489</v>
      </c>
      <c r="F71" s="383">
        <f ca="1">F43</f>
        <v>5366.96</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136</v>
      </c>
      <c r="D75" s="1836"/>
      <c r="E75" s="1836"/>
      <c r="F75" s="1836"/>
      <c r="K75" s="1862"/>
      <c r="L75" s="1836"/>
      <c r="O75" s="1878" t="s">
        <v>1046</v>
      </c>
      <c r="P75" s="1879" t="s">
        <v>1549</v>
      </c>
      <c r="Q75" s="1880">
        <f ca="1">Q65+Q66</f>
        <v>2488</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-0.23599999999999999</v>
      </c>
    </row>
    <row r="80" spans="1:18">
      <c r="B80" s="384" t="s">
        <v>1511</v>
      </c>
      <c r="C80" s="316">
        <f ca="1">ROUND(C75/C39,3)</f>
        <v>1.236</v>
      </c>
    </row>
    <row r="81" spans="2:3">
      <c r="B81" s="312" t="s">
        <v>1512</v>
      </c>
      <c r="C81" s="280"/>
    </row>
    <row r="82" spans="2:3">
      <c r="B82" s="315" t="s">
        <v>1513</v>
      </c>
      <c r="C82" s="317">
        <f ca="1">1-C83</f>
        <v>0.31599999999999995</v>
      </c>
    </row>
    <row r="83" spans="2:3">
      <c r="B83" s="315" t="s">
        <v>1514</v>
      </c>
      <c r="C83" s="316">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滨州新湖房地产开发有限公司：</v>
      </c>
    </row>
    <row r="4" spans="1:1" ht="36">
      <c r="A4" s="1942" t="str">
        <f>"受贵公司委托，我公司对"&amp;项目基本情况!S1&amp;"进行了预评估。"</f>
        <v>受贵公司委托，我公司对山东省滨州市盛华路588号房地产抵押价值进行了预评估。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估价对象为山东省滨州市盛华路588号房地产，为所有。根据，估价对象（分摊）出让国有建设用地使用权面积为51051.35平方米。根据，估价对象建筑面积为64165.63平方米。</v>
      </c>
    </row>
    <row r="8" spans="1:1" ht="57.75">
      <c r="A8" s="1945" t="s">
        <v>1614</v>
      </c>
    </row>
    <row r="9" spans="1:1" ht="18.75">
      <c r="A9" s="1944" t="s">
        <v>1615</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盛华路588号房地产,为开发建设的居住项目，该项目尚在开发建设中。根据，估价对象（分摊）出让国有建设用地使用权面积为51051.35平方米。根据，估价对象规划建筑面积为64165.63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2018年4月17日（评估专业人员实地查勘之日）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3471</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9" t="s">
        <v>1588</v>
      </c>
      <c r="I3" s="1834"/>
      <c r="J3" s="1834"/>
      <c r="K3" s="1835"/>
      <c r="L3" s="1834"/>
      <c r="M3" s="1834"/>
    </row>
    <row r="4" spans="1:37" ht="18" customHeight="1">
      <c r="A4" s="338" t="s">
        <v>1595</v>
      </c>
      <c r="B4" s="339" t="s">
        <v>1596</v>
      </c>
      <c r="C4" s="339" t="s">
        <v>1597</v>
      </c>
      <c r="D4" s="339" t="s">
        <v>1598</v>
      </c>
      <c r="E4" s="340" t="s">
        <v>1599</v>
      </c>
      <c r="F4" s="341"/>
      <c r="G4" s="1845"/>
      <c r="H4" s="338" t="s">
        <v>1595</v>
      </c>
      <c r="I4" s="339" t="s">
        <v>1596</v>
      </c>
      <c r="J4" s="339" t="s">
        <v>1597</v>
      </c>
      <c r="K4" s="339" t="s">
        <v>1598</v>
      </c>
      <c r="L4" s="340" t="s">
        <v>1599</v>
      </c>
      <c r="M4" s="341"/>
    </row>
    <row r="5" spans="1:37" ht="18" customHeight="1">
      <c r="A5" s="342">
        <v>1</v>
      </c>
      <c r="B5" s="343" t="s">
        <v>1600</v>
      </c>
      <c r="C5" s="1287" t="e">
        <f ca="1">C6+C10+C12</f>
        <v>#N/A</v>
      </c>
      <c r="D5" s="1816" t="s">
        <v>1601</v>
      </c>
      <c r="E5" s="1288"/>
      <c r="F5" s="1289"/>
      <c r="G5" s="1845"/>
      <c r="H5" s="342">
        <v>1</v>
      </c>
      <c r="I5" s="343" t="s">
        <v>1600</v>
      </c>
      <c r="J5" s="1287" t="e">
        <f ca="1">J6+J10+J12</f>
        <v>#N/A</v>
      </c>
      <c r="K5" s="1816" t="s">
        <v>1601</v>
      </c>
      <c r="L5" s="1288"/>
      <c r="M5" s="1289"/>
    </row>
    <row r="6" spans="1:37" ht="18" customHeight="1">
      <c r="A6" s="1286" t="s">
        <v>1035</v>
      </c>
      <c r="B6" s="3331" t="s">
        <v>1403</v>
      </c>
      <c r="C6" s="1291" t="e">
        <f ca="1">ROUND(F6*F8*F7*(1-F9),0)</f>
        <v>#N/A</v>
      </c>
      <c r="D6" s="162" t="s">
        <v>3011</v>
      </c>
      <c r="E6" s="345" t="s">
        <v>1405</v>
      </c>
      <c r="F6" s="346" t="e">
        <f ca="1">INDIRECT("'数据-取费表'!u"&amp;$G$1)</f>
        <v>#N/A</v>
      </c>
      <c r="G6" s="1845"/>
      <c r="H6" s="1286" t="s">
        <v>1035</v>
      </c>
      <c r="I6" s="3331" t="s">
        <v>1403</v>
      </c>
      <c r="J6" s="344" t="e">
        <f ca="1">ROUND(M6*M8*M7*(1-M9),0)</f>
        <v>#N/A</v>
      </c>
      <c r="K6" s="1828" t="s">
        <v>3012</v>
      </c>
      <c r="L6" s="345" t="s">
        <v>1405</v>
      </c>
      <c r="M6" s="346" t="e">
        <f ca="1">INDIRECT("'数据-取费表'!z"&amp;$G$1)</f>
        <v>#N/A</v>
      </c>
    </row>
    <row r="7" spans="1:37" ht="18" customHeight="1">
      <c r="A7" s="1290"/>
      <c r="B7" s="3332"/>
      <c r="C7" s="1292"/>
      <c r="D7" s="350"/>
      <c r="E7" s="1293"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ROUND(IF(F10="押一",C6/12*F11,IF(F10="押二",C6/12*2*F11,IF(F10="押三",C6/12*3*F11,C11*F11))),0)</f>
        <v>#N/A</v>
      </c>
      <c r="D10" s="1818" t="s">
        <v>3022</v>
      </c>
      <c r="E10" s="356" t="s">
        <v>1410</v>
      </c>
      <c r="F10" s="1361" t="s">
        <v>3042</v>
      </c>
      <c r="G10" s="1845"/>
      <c r="H10" s="1286" t="s">
        <v>1039</v>
      </c>
      <c r="I10" s="1817" t="s">
        <v>1409</v>
      </c>
      <c r="J10" s="344">
        <f ca="1">ROUND(IF(M10="押一",J6/12*M11,IF(M10="押二",J6/12*2*M11,IF(M10="押三",J6/12*3*M11,J11*M11))),0)</f>
        <v>0</v>
      </c>
      <c r="K10" s="1829" t="s">
        <v>3024</v>
      </c>
      <c r="L10" s="356" t="s">
        <v>1410</v>
      </c>
      <c r="M10" s="1361"/>
    </row>
    <row r="11" spans="1:37" ht="18" customHeight="1">
      <c r="A11" s="351"/>
      <c r="B11" s="1819" t="s">
        <v>1602</v>
      </c>
      <c r="C11" s="1175"/>
      <c r="D11" s="350"/>
      <c r="E11" s="356" t="s">
        <v>1412</v>
      </c>
      <c r="F11" s="357">
        <f ca="1">'数据-取费表'!B39</f>
        <v>1.4999999999999999E-2</v>
      </c>
      <c r="G11" s="1845"/>
      <c r="H11" s="1294"/>
      <c r="I11" s="1819" t="s">
        <v>1603</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ROUND(INDIRECT("'数据-取费表'!l"&amp;$G$1)*F43+'数据-取费表'!L14*INDIRECT("'数据-取费表'!S"&amp;$G$1),0)</f>
        <v>#N/A</v>
      </c>
      <c r="D14" s="1794" t="s">
        <v>1418</v>
      </c>
      <c r="E14" s="1788"/>
      <c r="F14" s="362"/>
      <c r="G14" s="1845"/>
      <c r="H14" s="1198" t="s">
        <v>1035</v>
      </c>
      <c r="I14" s="345" t="s">
        <v>1419</v>
      </c>
      <c r="J14" s="24" t="e">
        <f ca="1">C29</f>
        <v>#N/A</v>
      </c>
      <c r="K14" s="15"/>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ROUND(INDIRECT("'数据-取费表'!l"&amp;$G$1)*F43*F16,0)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1333"/>
      <c r="M16" s="1289"/>
    </row>
    <row r="17" spans="1:37" s="1852" customFormat="1" ht="18" customHeight="1">
      <c r="A17" s="1198" t="s">
        <v>1390</v>
      </c>
      <c r="B17" s="345" t="s">
        <v>1426</v>
      </c>
      <c r="C17" s="24" t="e">
        <f ca="1">ROUND(F17*(F43+INDIRECT("'数据-取费表'!S"&amp;$G$1)),0)</f>
        <v>#N/A</v>
      </c>
      <c r="D17" s="345" t="s">
        <v>1427</v>
      </c>
      <c r="E17" s="345" t="s">
        <v>1428</v>
      </c>
      <c r="F17" s="26">
        <f>'数据-取费表'!B35</f>
        <v>200</v>
      </c>
      <c r="G17" s="1848"/>
      <c r="H17" s="1198" t="s">
        <v>1035</v>
      </c>
      <c r="I17" s="345" t="s">
        <v>1429</v>
      </c>
      <c r="J17" s="24" t="e">
        <f ca="1">ROUND(IF(项目基本情况!B11="自然人",J5*M17,J18+J19+J20),0)</f>
        <v>#N/A</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ROUND(J5*M18/(1+'数据-取费表'!C42),0)</f>
        <v>#N/A</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1812"/>
      <c r="F19" s="26"/>
      <c r="G19" s="1845"/>
      <c r="H19" s="1198" t="s">
        <v>1036</v>
      </c>
      <c r="I19" s="345" t="s">
        <v>1437</v>
      </c>
      <c r="J19" s="24" t="e">
        <f ca="1">IF(K19="按租金收入计税",ROUND(J5*M19,0),ROUND(C29*M19*0.7,0))</f>
        <v>#N/A</v>
      </c>
      <c r="K19" s="1822" t="s">
        <v>1438</v>
      </c>
      <c r="L19" s="345" t="s">
        <v>1422</v>
      </c>
      <c r="M19" s="365">
        <f>IF(K19="按租金收入计税",'数据-取费表'!B51,'数据-取费表'!B50)</f>
        <v>1.2E-2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ROUND(M20*M21,0)</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t="e">
        <f ca="1">ROUND(J14*M22,0)</f>
        <v>#N/A</v>
      </c>
      <c r="K22" s="179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ROUND(J13*M23,0)</f>
        <v>#N/A</v>
      </c>
      <c r="K23" s="1792" t="s">
        <v>1454</v>
      </c>
      <c r="L23" s="345" t="s">
        <v>1455</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t="e">
        <f ca="1">ROUND(J5*M24,0)</f>
        <v>#N/A</v>
      </c>
      <c r="K24" s="1337" t="s">
        <v>1459</v>
      </c>
      <c r="L24" s="1335" t="s">
        <v>1455</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1460</v>
      </c>
      <c r="B25" s="345" t="s">
        <v>1461</v>
      </c>
      <c r="C25" s="24"/>
      <c r="D25" s="138" t="s">
        <v>1462</v>
      </c>
      <c r="E25" s="1812"/>
      <c r="F25" s="26"/>
      <c r="G25" s="1845"/>
      <c r="H25" s="1324" t="s">
        <v>1031</v>
      </c>
      <c r="I25" s="1339" t="s">
        <v>1463</v>
      </c>
      <c r="J25" s="353" t="e">
        <f ca="1">J5-J16</f>
        <v>#N/A</v>
      </c>
      <c r="K25" s="1340" t="s">
        <v>1464</v>
      </c>
      <c r="L25" s="1341"/>
      <c r="M25" s="1342"/>
    </row>
    <row r="26" spans="1:37" ht="18" customHeight="1">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1333"/>
      <c r="F30" s="1289"/>
      <c r="G30" s="1845"/>
      <c r="H30" s="740"/>
      <c r="I30" s="741"/>
      <c r="J30" s="742"/>
      <c r="K30" s="743"/>
      <c r="L30" s="744"/>
      <c r="M30" s="745"/>
    </row>
    <row r="31" spans="1:37" ht="18" customHeight="1">
      <c r="A31" s="1198" t="s">
        <v>1035</v>
      </c>
      <c r="B31" s="345" t="s">
        <v>1429</v>
      </c>
      <c r="C31" s="24" t="e">
        <f ca="1">ROUND(IF(项目基本情况!B11="自然人",C5*F31,C32+C33+C34),0)</f>
        <v>#N/A</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IF(项目基本情况!B11="自然人","——",ROUND(C5*F32/(1+'数据-取费表'!C42),0))</f>
        <v>#N/A</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IF(项目基本情况!B11="自然人","——",IF(D33="按租金收入计税",ROUND(C5*F33,0),IF(D33="按房产原值计税",ROUND(C29*F33*0.7,0),INDIRECT("'数据-取费表'!Aj"&amp;$G$1))))</f>
        <v>#N/A</v>
      </c>
      <c r="D33" s="1822" t="s">
        <v>1438</v>
      </c>
      <c r="E33" s="345" t="s">
        <v>1422</v>
      </c>
      <c r="F33" s="365">
        <f>IF(D33="按票据","——",IF(D33="按租金收入计税",'数据-取费表'!B51,'数据-取费表'!B50))</f>
        <v>1.2E-2</v>
      </c>
      <c r="G33" s="1845"/>
      <c r="H33" s="1853"/>
      <c r="I33" s="1854"/>
      <c r="J33" s="1855"/>
      <c r="K33" s="1856"/>
      <c r="L33" s="1853"/>
      <c r="M33" s="1853"/>
    </row>
    <row r="34" spans="1:18" ht="18" customHeight="1">
      <c r="A34" s="1286" t="s">
        <v>1389</v>
      </c>
      <c r="B34" s="162" t="s">
        <v>1441</v>
      </c>
      <c r="C34" s="25" t="e">
        <f ca="1">IF(项目基本情况!B11="自然人","——",ROUND(F34*F35,))</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ROUND(C29*F36,0)</f>
        <v>#N/A</v>
      </c>
      <c r="D36" s="179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ROUND(C13*F37,0)</f>
        <v>#N/A</v>
      </c>
      <c r="D37" s="1792" t="s">
        <v>1454</v>
      </c>
      <c r="E37" s="345" t="s">
        <v>1455</v>
      </c>
      <c r="F37" s="374" t="e">
        <f ca="1">INDIRECT("'数据-取费表'!Al"&amp;$G$1)</f>
        <v>#N/A</v>
      </c>
      <c r="G37" s="1845"/>
      <c r="H37" s="1853"/>
      <c r="I37" s="1854"/>
      <c r="J37" s="1855"/>
      <c r="K37" s="746"/>
      <c r="L37" s="1853"/>
      <c r="M37" s="1853"/>
    </row>
    <row r="38" spans="1:18" ht="18" customHeight="1" thickBot="1">
      <c r="A38" s="1334" t="s">
        <v>1393</v>
      </c>
      <c r="B38" s="1335" t="s">
        <v>1439</v>
      </c>
      <c r="C38" s="1336" t="e">
        <f ca="1">ROUND(C5*F38,1)</f>
        <v>#N/A</v>
      </c>
      <c r="D38" s="1337" t="s">
        <v>1459</v>
      </c>
      <c r="E38" s="1335" t="s">
        <v>1455</v>
      </c>
      <c r="F38" s="1331" t="e">
        <f ca="1">INDIRECT("'数据-取费表'!Am"&amp;$G$1)</f>
        <v>#N/A</v>
      </c>
      <c r="G38" s="1845"/>
      <c r="H38" s="1853"/>
      <c r="I38" s="1854"/>
      <c r="J38" s="1855"/>
      <c r="K38" s="1859"/>
      <c r="L38" s="1853"/>
      <c r="M38" s="1853"/>
    </row>
    <row r="39" spans="1:18" ht="24.6" customHeight="1" thickTop="1">
      <c r="A39" s="1324" t="s">
        <v>1031</v>
      </c>
      <c r="B39" s="1339" t="s">
        <v>1483</v>
      </c>
      <c r="C39" s="353" t="e">
        <f ca="1">C5-C30</f>
        <v>#N/A</v>
      </c>
      <c r="D39" s="1340" t="s">
        <v>1484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194"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1811"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ROUND(F49*F51*F50*(1-F52),0)</f>
        <v>#N/A</v>
      </c>
      <c r="D49" s="1271" t="s">
        <v>1404</v>
      </c>
      <c r="E49" s="1824" t="s">
        <v>1491</v>
      </c>
      <c r="F49" s="1276"/>
      <c r="G49" s="1885"/>
      <c r="H49" s="788"/>
      <c r="I49" s="1881" t="s">
        <v>1534</v>
      </c>
      <c r="J49" s="1886">
        <v>2012</v>
      </c>
      <c r="K49" s="1883" t="s">
        <v>1535</v>
      </c>
      <c r="L49" s="1887"/>
      <c r="O49" s="1888" t="s">
        <v>1042</v>
      </c>
      <c r="P49" s="1879" t="s">
        <v>1536</v>
      </c>
      <c r="Q49" s="1880" t="e">
        <f ca="1">C29</f>
        <v>#N/A</v>
      </c>
      <c r="R49" s="1880" t="s">
        <v>1529</v>
      </c>
    </row>
    <row r="50" spans="1:18" s="1836" customFormat="1" ht="13.5" thickBot="1">
      <c r="A50" s="1192"/>
      <c r="B50" s="1195"/>
      <c r="C50" s="1196"/>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54</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t="e">
        <f ca="1">J53</f>
        <v>#N/A</v>
      </c>
      <c r="R52" s="1880" t="s">
        <v>1546</v>
      </c>
    </row>
    <row r="53" spans="1:18" s="1836" customFormat="1" ht="30.75" customHeight="1" thickBot="1">
      <c r="A53" s="1356" t="s">
        <v>1137</v>
      </c>
      <c r="B53" s="367" t="s">
        <v>1409</v>
      </c>
      <c r="C53" s="359">
        <f ca="1">ROUND(IF(F53="押一",C49/12*F11,IF(F53="押二",C49/12*2*F11,IF(F53="押三",C49/12*3*F11,C54*F11))),0)</f>
        <v>0</v>
      </c>
      <c r="D53" s="1818" t="s">
        <v>3025</v>
      </c>
      <c r="E53" s="356" t="s">
        <v>1410</v>
      </c>
      <c r="F53" s="1361"/>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191"/>
      <c r="B54" s="1935" t="s">
        <v>1603</v>
      </c>
      <c r="C54" s="1175"/>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3">
        <v>2</v>
      </c>
      <c r="B56" s="1174" t="s">
        <v>1414</v>
      </c>
      <c r="C56" s="274" t="e">
        <f ca="1">C13</f>
        <v>#N/A</v>
      </c>
      <c r="D56" s="1908"/>
      <c r="E56" s="1909"/>
      <c r="F56" s="1901"/>
      <c r="I56" s="1910" t="s">
        <v>1554</v>
      </c>
      <c r="J56" s="1911" t="s">
        <v>3031</v>
      </c>
      <c r="K56" s="1881" t="s">
        <v>1555</v>
      </c>
      <c r="L56" s="1884" t="e">
        <f ca="1">IF(L48&lt;J51,"——",L48-J51)</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ROUND(IF(项目基本情况!B11="自然人",C48*F59,C60+C61+C62),0)</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IF(项目基本情况!B11="自然人","——",ROUND(C48*F60/(1+'数据-取费表'!C42),0))</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1493</v>
      </c>
      <c r="C61" s="24" t="e">
        <f ca="1">IF(项目基本情况!B11="自然人","——",IF(D61="按租金收入计税",ROUND(C48*F61,0),IF(D61="按房产原值计税",ROUND(C57*F61*0.7,0),INDIRECT("'数据-取费表'!Aj"&amp;$G$1))))</f>
        <v>#N/A</v>
      </c>
      <c r="D61" s="1822" t="s">
        <v>1438</v>
      </c>
      <c r="E61" s="1166" t="s">
        <v>1494</v>
      </c>
      <c r="F61" s="365">
        <f t="shared" si="0"/>
        <v>1.2E-2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1496</v>
      </c>
      <c r="C62" s="25" t="e">
        <f ca="1">IF(项目基本情况!B11="自然人","——",ROUND(F62*F63,0))</f>
        <v>#N/A</v>
      </c>
      <c r="D62" s="1181" t="s">
        <v>1497</v>
      </c>
      <c r="E62" s="1166" t="s">
        <v>1498</v>
      </c>
      <c r="F62" s="369">
        <f t="shared" si="0"/>
        <v>12</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0"/>
      <c r="B63" s="1172"/>
      <c r="C63" s="29"/>
      <c r="D63" s="1182"/>
      <c r="E63" s="1166" t="s">
        <v>1499</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t="e">
        <f ca="1">ROUND(C57*F64,0)</f>
        <v>#N/A</v>
      </c>
      <c r="D64" s="1180" t="s">
        <v>1502</v>
      </c>
      <c r="E64" s="1166" t="s">
        <v>1494</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ROUND(C56*F65,0)</f>
        <v>#N/A</v>
      </c>
      <c r="D65" s="1180" t="s">
        <v>1454</v>
      </c>
      <c r="E65" s="1166" t="s">
        <v>1455</v>
      </c>
      <c r="F65" s="374"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8" t="s">
        <v>1504</v>
      </c>
      <c r="B66" s="1166" t="s">
        <v>1439</v>
      </c>
      <c r="C66" s="24" t="e">
        <f ca="1">ROUND(C48*F66,0)</f>
        <v>#N/A</v>
      </c>
      <c r="D66" s="1180" t="s">
        <v>1505</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t="e">
        <f ca="1">F42</f>
        <v>#N/A</v>
      </c>
      <c r="O70" s="1888" t="s">
        <v>1049</v>
      </c>
      <c r="P70" s="1928" t="s">
        <v>1585</v>
      </c>
      <c r="Q70" s="1880" t="e">
        <f ca="1">C13</f>
        <v>#N/A</v>
      </c>
      <c r="R70" s="1880" t="s">
        <v>1529</v>
      </c>
    </row>
    <row r="71" spans="1:18" s="1836" customFormat="1" ht="13.5" thickBot="1">
      <c r="A71" s="1187" t="s">
        <v>1033</v>
      </c>
      <c r="B71" s="1188" t="s">
        <v>1487</v>
      </c>
      <c r="C71" s="380" t="e">
        <f ca="1">ROUND(C68/F71,0)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4" t="s">
        <v>1076</v>
      </c>
      <c r="B1" s="3355"/>
      <c r="C1" s="3356"/>
      <c r="D1" s="3357">
        <f>SUM(I10,I15,I20,I21,I23)</f>
        <v>0</v>
      </c>
      <c r="E1" s="3357"/>
      <c r="F1" s="3357"/>
      <c r="G1" s="3357"/>
      <c r="H1" s="3357"/>
      <c r="I1" s="3358"/>
    </row>
    <row r="2" spans="1:9">
      <c r="A2" s="3344" t="s">
        <v>1077</v>
      </c>
      <c r="B2" s="3345" t="s">
        <v>1078</v>
      </c>
      <c r="C2" s="3345"/>
      <c r="D2" s="1296" t="s">
        <v>1079</v>
      </c>
      <c r="E2" s="1296" t="s">
        <v>1080</v>
      </c>
      <c r="F2" s="1296" t="s">
        <v>1081</v>
      </c>
      <c r="G2" s="1296" t="s">
        <v>1082</v>
      </c>
      <c r="H2" s="1296" t="s">
        <v>1083</v>
      </c>
      <c r="I2" s="1297" t="s">
        <v>1084</v>
      </c>
    </row>
    <row r="3" spans="1:9">
      <c r="A3" s="3344"/>
      <c r="B3" s="3345" t="s">
        <v>1085</v>
      </c>
      <c r="C3" s="3345"/>
      <c r="D3" s="1298"/>
      <c r="E3" s="1296"/>
      <c r="F3" s="1299"/>
      <c r="G3" s="1299"/>
      <c r="H3" s="1300"/>
      <c r="I3" s="1301">
        <f>ROUND(D3*E3*F3*G3*H3/10000,0)</f>
        <v>0</v>
      </c>
    </row>
    <row r="4" spans="1:9">
      <c r="A4" s="3344"/>
      <c r="B4" s="3345" t="s">
        <v>1086</v>
      </c>
      <c r="C4" s="3345"/>
      <c r="D4" s="1298"/>
      <c r="E4" s="1296"/>
      <c r="F4" s="1299"/>
      <c r="G4" s="1299"/>
      <c r="H4" s="1300"/>
      <c r="I4" s="1301">
        <f t="shared" ref="I4:I9" si="0">ROUND(D4*E4*F4*G4*H4/10000,0)</f>
        <v>0</v>
      </c>
    </row>
    <row r="5" spans="1:9">
      <c r="A5" s="3344"/>
      <c r="B5" s="3345" t="s">
        <v>1087</v>
      </c>
      <c r="C5" s="3345"/>
      <c r="D5" s="1298"/>
      <c r="E5" s="1296"/>
      <c r="F5" s="1299"/>
      <c r="G5" s="1299"/>
      <c r="H5" s="1300"/>
      <c r="I5" s="1301">
        <f t="shared" si="0"/>
        <v>0</v>
      </c>
    </row>
    <row r="6" spans="1:9">
      <c r="A6" s="3344"/>
      <c r="B6" s="3345" t="s">
        <v>1088</v>
      </c>
      <c r="C6" s="3345"/>
      <c r="D6" s="1298"/>
      <c r="E6" s="1296"/>
      <c r="F6" s="1299"/>
      <c r="G6" s="1299"/>
      <c r="H6" s="1300"/>
      <c r="I6" s="1301">
        <f t="shared" si="0"/>
        <v>0</v>
      </c>
    </row>
    <row r="7" spans="1:9">
      <c r="A7" s="3344"/>
      <c r="B7" s="3345" t="s">
        <v>1089</v>
      </c>
      <c r="C7" s="3345"/>
      <c r="D7" s="1298"/>
      <c r="E7" s="1296"/>
      <c r="F7" s="1299"/>
      <c r="G7" s="1299"/>
      <c r="H7" s="1300"/>
      <c r="I7" s="1301">
        <f t="shared" si="0"/>
        <v>0</v>
      </c>
    </row>
    <row r="8" spans="1:9">
      <c r="A8" s="3344"/>
      <c r="B8" s="3345" t="s">
        <v>1090</v>
      </c>
      <c r="C8" s="3345"/>
      <c r="D8" s="1298"/>
      <c r="E8" s="1296"/>
      <c r="F8" s="1299"/>
      <c r="G8" s="1299"/>
      <c r="H8" s="1300"/>
      <c r="I8" s="1301">
        <f t="shared" si="0"/>
        <v>0</v>
      </c>
    </row>
    <row r="9" spans="1:9">
      <c r="A9" s="3344"/>
      <c r="B9" s="3345" t="s">
        <v>1091</v>
      </c>
      <c r="C9" s="3345"/>
      <c r="D9" s="1298"/>
      <c r="E9" s="1296"/>
      <c r="F9" s="1299"/>
      <c r="G9" s="1299"/>
      <c r="H9" s="1300"/>
      <c r="I9" s="1301">
        <f t="shared" si="0"/>
        <v>0</v>
      </c>
    </row>
    <row r="10" spans="1:9">
      <c r="A10" s="3344"/>
      <c r="B10" s="3346" t="s">
        <v>1092</v>
      </c>
      <c r="C10" s="3346"/>
      <c r="D10" s="1302"/>
      <c r="E10" s="1302" t="e">
        <f>ROUND(D1*10000/D10/H9,0)</f>
        <v>#DIV/0!</v>
      </c>
      <c r="F10" s="1303"/>
      <c r="G10" s="1303"/>
      <c r="H10" s="1304"/>
      <c r="I10" s="1305">
        <f>SUM(I3:I9)</f>
        <v>0</v>
      </c>
    </row>
    <row r="11" spans="1:9" ht="14.25">
      <c r="A11" s="3344" t="s">
        <v>1093</v>
      </c>
      <c r="B11" s="3345" t="s">
        <v>1094</v>
      </c>
      <c r="C11" s="3345"/>
      <c r="D11" s="1298" t="s">
        <v>1095</v>
      </c>
      <c r="E11" s="1298" t="s">
        <v>1096</v>
      </c>
      <c r="F11" s="1299" t="s">
        <v>1097</v>
      </c>
      <c r="G11" s="1299" t="s">
        <v>1083</v>
      </c>
      <c r="H11" s="1306" t="s">
        <v>1098</v>
      </c>
      <c r="I11" s="1297" t="s">
        <v>1084</v>
      </c>
    </row>
    <row r="12" spans="1:9">
      <c r="A12" s="3344"/>
      <c r="B12" s="3345" t="s">
        <v>1099</v>
      </c>
      <c r="C12" s="3345"/>
      <c r="D12" s="1298"/>
      <c r="E12" s="1298"/>
      <c r="F12" s="1299"/>
      <c r="G12" s="1300"/>
      <c r="H12" s="1307"/>
      <c r="I12" s="1297">
        <f>ROUND(D12*E12*F12*G12/10000,0)</f>
        <v>0</v>
      </c>
    </row>
    <row r="13" spans="1:9">
      <c r="A13" s="3344"/>
      <c r="B13" s="3345" t="s">
        <v>1100</v>
      </c>
      <c r="C13" s="3345"/>
      <c r="D13" s="1298"/>
      <c r="E13" s="1298"/>
      <c r="F13" s="1299"/>
      <c r="G13" s="1300"/>
      <c r="H13" s="1307"/>
      <c r="I13" s="1297">
        <f>ROUND(D13*E13*F13*G13/10000,0)</f>
        <v>0</v>
      </c>
    </row>
    <row r="14" spans="1:9">
      <c r="A14" s="3344"/>
      <c r="B14" s="3345" t="s">
        <v>1101</v>
      </c>
      <c r="C14" s="3345"/>
      <c r="D14" s="1298"/>
      <c r="E14" s="1298"/>
      <c r="F14" s="1299"/>
      <c r="G14" s="1300"/>
      <c r="H14" s="1307"/>
      <c r="I14" s="1297">
        <f>ROUND(D14*E14*F14*G14/10000,0)</f>
        <v>0</v>
      </c>
    </row>
    <row r="15" spans="1:9">
      <c r="A15" s="3344"/>
      <c r="B15" s="3346" t="s">
        <v>1092</v>
      </c>
      <c r="C15" s="3346"/>
      <c r="D15" s="1302"/>
      <c r="E15" s="1302">
        <f>SUM(E12:E14)</f>
        <v>0</v>
      </c>
      <c r="F15" s="1303"/>
      <c r="G15" s="1300"/>
      <c r="H15" s="1307"/>
      <c r="I15" s="1308">
        <f>SUM(I12:I14)</f>
        <v>0</v>
      </c>
    </row>
    <row r="16" spans="1:9" ht="24">
      <c r="A16" s="3344" t="s">
        <v>1102</v>
      </c>
      <c r="B16" s="3345" t="s">
        <v>1103</v>
      </c>
      <c r="C16" s="3345"/>
      <c r="D16" s="1298" t="s">
        <v>1079</v>
      </c>
      <c r="E16" s="1309" t="s">
        <v>1104</v>
      </c>
      <c r="F16" s="1299" t="s">
        <v>1105</v>
      </c>
      <c r="G16" s="1300" t="s">
        <v>1083</v>
      </c>
      <c r="H16" s="1306" t="s">
        <v>1098</v>
      </c>
      <c r="I16" s="1297" t="s">
        <v>1084</v>
      </c>
    </row>
    <row r="17" spans="1:9" ht="14.25">
      <c r="A17" s="3344"/>
      <c r="B17" s="3345" t="s">
        <v>1106</v>
      </c>
      <c r="C17" s="3345"/>
      <c r="D17" s="1298"/>
      <c r="E17" s="1298"/>
      <c r="F17" s="1299"/>
      <c r="G17" s="1300"/>
      <c r="H17" s="1310"/>
      <c r="I17" s="1311">
        <f>ROUND(D17*E17*F17*G17/10000,0)</f>
        <v>0</v>
      </c>
    </row>
    <row r="18" spans="1:9" ht="14.25">
      <c r="A18" s="3344"/>
      <c r="B18" s="3345" t="s">
        <v>1107</v>
      </c>
      <c r="C18" s="3345"/>
      <c r="D18" s="1298"/>
      <c r="E18" s="1298"/>
      <c r="F18" s="1299"/>
      <c r="G18" s="1300"/>
      <c r="H18" s="1310"/>
      <c r="I18" s="1311">
        <f>ROUND(D18*E18*F18*G18/10000,0)</f>
        <v>0</v>
      </c>
    </row>
    <row r="19" spans="1:9" ht="14.25">
      <c r="A19" s="3344"/>
      <c r="B19" s="3345" t="s">
        <v>1108</v>
      </c>
      <c r="C19" s="3345"/>
      <c r="D19" s="1298"/>
      <c r="E19" s="1298"/>
      <c r="F19" s="1299"/>
      <c r="G19" s="1300"/>
      <c r="H19" s="1310"/>
      <c r="I19" s="1311">
        <f>ROUND(D19*E19*F19*G19/10000,0)</f>
        <v>0</v>
      </c>
    </row>
    <row r="20" spans="1:9">
      <c r="A20" s="3344"/>
      <c r="B20" s="3346" t="s">
        <v>1092</v>
      </c>
      <c r="C20" s="3346"/>
      <c r="D20" s="1302">
        <f>SUM(D17:D19)</f>
        <v>0</v>
      </c>
      <c r="E20" s="1302"/>
      <c r="F20" s="1303"/>
      <c r="G20" s="1300"/>
      <c r="H20" s="1307"/>
      <c r="I20" s="1308">
        <f>SUM(I17:I19)</f>
        <v>0</v>
      </c>
    </row>
    <row r="21" spans="1:9">
      <c r="A21" s="3344" t="s">
        <v>1109</v>
      </c>
      <c r="B21" s="3347"/>
      <c r="C21" s="3347"/>
      <c r="D21" s="3347"/>
      <c r="E21" s="3347"/>
      <c r="F21" s="3347"/>
      <c r="G21" s="3347"/>
      <c r="H21" s="1759">
        <v>0.1</v>
      </c>
      <c r="I21" s="1305">
        <f>ROUND(I10*H21,0)</f>
        <v>0</v>
      </c>
    </row>
    <row r="22" spans="1:9" ht="14.25">
      <c r="A22" s="3348" t="s">
        <v>1110</v>
      </c>
      <c r="B22" s="3349"/>
      <c r="C22" s="3350"/>
      <c r="D22" s="1312" t="s">
        <v>1111</v>
      </c>
      <c r="E22" s="1312" t="s">
        <v>1112</v>
      </c>
      <c r="F22" s="1313" t="s">
        <v>1113</v>
      </c>
      <c r="G22" s="1313" t="s">
        <v>1114</v>
      </c>
      <c r="H22" s="1306" t="s">
        <v>1115</v>
      </c>
      <c r="I22" s="1297" t="s">
        <v>1116</v>
      </c>
    </row>
    <row r="23" spans="1:9" ht="14.25" thickBot="1">
      <c r="A23" s="3351"/>
      <c r="B23" s="3352"/>
      <c r="C23" s="3353"/>
      <c r="D23" s="1314"/>
      <c r="E23" s="1314"/>
      <c r="F23" s="1314"/>
      <c r="G23" s="1315"/>
      <c r="H23" s="1316"/>
      <c r="I23" s="1317">
        <f>ROUND(E23*D23*F23*(1-G23)/10000,0)</f>
        <v>0</v>
      </c>
    </row>
    <row r="26" spans="1:9">
      <c r="A26" s="1318" t="s">
        <v>1117</v>
      </c>
      <c r="B26" s="1318"/>
      <c r="C26" s="1318"/>
      <c r="D26" s="1318"/>
      <c r="E26" s="3341">
        <f>C27-C30-C31-C32</f>
        <v>0</v>
      </c>
      <c r="F26" s="3341"/>
      <c r="G26" s="3341"/>
      <c r="H26" s="1731" t="s">
        <v>1340</v>
      </c>
    </row>
    <row r="27" spans="1:9">
      <c r="A27" s="1319">
        <v>1</v>
      </c>
      <c r="B27" s="1320" t="s">
        <v>1118</v>
      </c>
      <c r="C27" s="1320">
        <f>C28+C29</f>
        <v>0</v>
      </c>
      <c r="D27" s="1320"/>
      <c r="E27" s="3342"/>
      <c r="F27" s="3342"/>
      <c r="G27" s="3342"/>
    </row>
    <row r="28" spans="1:9">
      <c r="A28" s="1321" t="s">
        <v>1119</v>
      </c>
      <c r="B28" s="1320" t="s">
        <v>1120</v>
      </c>
      <c r="C28" s="1320"/>
      <c r="D28" s="1320"/>
      <c r="E28" s="3342"/>
      <c r="F28" s="3342"/>
      <c r="G28" s="334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43"/>
      <c r="F32" s="3343"/>
      <c r="G32" s="3343"/>
    </row>
    <row r="33" spans="1:7" hidden="1">
      <c r="A33" s="3338" t="s">
        <v>1129</v>
      </c>
      <c r="B33" s="3339"/>
      <c r="C33" s="3339"/>
      <c r="D33" s="3340"/>
      <c r="E33" s="3341"/>
      <c r="F33" s="3341"/>
      <c r="G33" s="3341"/>
    </row>
    <row r="34" spans="1:7" hidden="1">
      <c r="A34" s="1323">
        <v>1</v>
      </c>
      <c r="B34" s="1320" t="s">
        <v>1130</v>
      </c>
      <c r="C34" s="1320"/>
      <c r="D34" s="1320"/>
      <c r="E34" s="3342"/>
      <c r="F34" s="3342"/>
      <c r="G34" s="3342"/>
    </row>
    <row r="35" spans="1:7" hidden="1">
      <c r="A35" s="1323">
        <v>2</v>
      </c>
      <c r="B35" s="1320" t="s">
        <v>1131</v>
      </c>
      <c r="C35" s="1320"/>
      <c r="D35" s="1320"/>
      <c r="E35" s="3342"/>
      <c r="F35" s="3342"/>
      <c r="G35" s="3342"/>
    </row>
    <row r="36" spans="1:7" hidden="1">
      <c r="A36" s="1323">
        <v>3</v>
      </c>
      <c r="B36" s="1320" t="s">
        <v>1132</v>
      </c>
      <c r="C36" s="1320"/>
      <c r="D36" s="1320"/>
      <c r="E36" s="3342"/>
      <c r="F36" s="3342"/>
      <c r="G36" s="3342"/>
    </row>
    <row r="37" spans="1:7" hidden="1">
      <c r="A37" s="1323">
        <v>4</v>
      </c>
      <c r="B37" s="1320" t="s">
        <v>1133</v>
      </c>
      <c r="C37" s="1320"/>
      <c r="D37" s="1320"/>
      <c r="E37" s="3342"/>
      <c r="F37" s="3342"/>
      <c r="G37" s="3342"/>
    </row>
    <row r="38" spans="1:7" hidden="1">
      <c r="A38" s="3338" t="s">
        <v>1134</v>
      </c>
      <c r="B38" s="3339"/>
      <c r="C38" s="3339"/>
      <c r="D38" s="3340"/>
      <c r="E38" s="3341"/>
      <c r="F38" s="3341"/>
      <c r="G38" s="33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2626</v>
      </c>
      <c r="C1" s="1628" t="s">
        <v>2514</v>
      </c>
      <c r="D1" s="1615" t="s">
        <v>3471</v>
      </c>
      <c r="E1" s="2642"/>
      <c r="F1" s="2569" t="s">
        <v>3045</v>
      </c>
      <c r="G1" s="1625" t="s">
        <v>2627</v>
      </c>
      <c r="H1" s="1624"/>
      <c r="I1" s="1624"/>
      <c r="J1" s="1624"/>
      <c r="K1" s="1626"/>
      <c r="L1" s="1627"/>
      <c r="M1" s="1628"/>
      <c r="N1" s="1628"/>
      <c r="O1" s="1628"/>
      <c r="P1" s="2643"/>
      <c r="Q1" s="2644"/>
      <c r="R1" s="2644"/>
      <c r="S1" s="2644"/>
      <c r="T1" s="2644"/>
      <c r="U1" s="2644"/>
      <c r="V1" s="2644"/>
      <c r="W1" s="2644"/>
      <c r="X1" s="2644"/>
      <c r="Y1" s="2644"/>
      <c r="Z1" s="2644"/>
      <c r="AA1" s="2644"/>
      <c r="AB1" s="2644"/>
      <c r="AC1" s="2645"/>
    </row>
    <row r="2" spans="1:29" s="396" customFormat="1" ht="28.5" customHeight="1" thickTop="1">
      <c r="A2" s="1611" t="s">
        <v>2314</v>
      </c>
      <c r="B2" s="1413" t="e">
        <f>IF(C2="——",ROUND(C49*D3/10000,0),ROUND(C49*D3/10000,0)-D2)</f>
        <v>#N/A</v>
      </c>
      <c r="C2" s="2571" t="s">
        <v>70</v>
      </c>
      <c r="D2" s="1360" t="e">
        <f ca="1">SUMIF(INDIRECT("'"&amp;F2&amp;"'"&amp;"!A:A"),"承租人权益价值",INDIRECT("'"&amp;F2&amp;"'"&amp;"!c:c"))</f>
        <v>#REF!</v>
      </c>
      <c r="E2" s="2572" t="s">
        <v>2315</v>
      </c>
      <c r="F2" s="2573"/>
      <c r="G2" s="1122"/>
      <c r="H2" s="1122"/>
      <c r="I2" s="1122"/>
      <c r="J2" s="1122"/>
      <c r="K2" s="1122"/>
      <c r="L2" s="1125"/>
      <c r="M2" s="1126"/>
      <c r="N2" s="1126"/>
      <c r="O2" s="1126"/>
      <c r="P2" s="2646"/>
      <c r="Q2" s="1126"/>
      <c r="R2" s="1126"/>
      <c r="S2" s="1126"/>
      <c r="T2" s="1126"/>
      <c r="U2" s="1126"/>
      <c r="V2" s="1126"/>
      <c r="W2" s="1126"/>
      <c r="X2" s="1126"/>
      <c r="Y2" s="1126"/>
      <c r="Z2" s="1126"/>
      <c r="AA2" s="1126"/>
      <c r="AB2" s="1126"/>
      <c r="AC2" s="2647"/>
    </row>
    <row r="3" spans="1:29" s="396" customFormat="1" ht="28.5" customHeight="1" thickBot="1">
      <c r="A3" s="245" t="s">
        <v>2316</v>
      </c>
      <c r="B3" s="606" t="e">
        <f>IF(C2="——",C49,ROUND(B2*10000/D3,0))</f>
        <v>#N/A</v>
      </c>
      <c r="C3" s="398" t="s">
        <v>2628</v>
      </c>
      <c r="D3" s="397">
        <f>IF(D1="",'数据-汇总表'!E3,SUMIF('数据-汇总表'!$C19:$C33,D1,'数据-汇总表'!$E19:$E33))</f>
        <v>0</v>
      </c>
      <c r="E3" s="2648"/>
      <c r="F3" s="1123"/>
      <c r="G3" s="1122"/>
      <c r="H3" s="1122"/>
      <c r="I3" s="1122"/>
      <c r="J3" s="1122"/>
      <c r="K3" s="1124"/>
      <c r="L3" s="1125"/>
      <c r="M3" s="1126"/>
      <c r="N3" s="1126"/>
      <c r="O3" s="1126"/>
      <c r="P3" s="2646"/>
      <c r="Q3" s="1126"/>
      <c r="R3" s="1126"/>
      <c r="S3" s="1126"/>
      <c r="T3" s="1126"/>
      <c r="U3" s="1126"/>
      <c r="V3" s="1126"/>
      <c r="W3" s="1126"/>
      <c r="X3" s="1126"/>
      <c r="Y3" s="1126"/>
      <c r="Z3" s="1126"/>
      <c r="AA3" s="1126"/>
      <c r="AB3" s="1126"/>
      <c r="AC3" s="2648"/>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5" t="s">
        <v>2632</v>
      </c>
      <c r="AC4" s="3276" t="s">
        <v>2633</v>
      </c>
    </row>
    <row r="5" spans="1:29" ht="15">
      <c r="A5" s="402"/>
      <c r="B5" s="403"/>
      <c r="C5" s="3296" t="s">
        <v>2526</v>
      </c>
      <c r="D5" s="3297"/>
      <c r="E5" s="3308" t="s">
        <v>3517</v>
      </c>
      <c r="F5" s="3304"/>
      <c r="G5" s="3309" t="s">
        <v>3518</v>
      </c>
      <c r="H5" s="3297"/>
      <c r="I5" s="3309" t="s">
        <v>3519</v>
      </c>
      <c r="J5" s="3297"/>
      <c r="K5" s="607"/>
      <c r="L5" s="1127"/>
      <c r="M5" s="1128"/>
      <c r="N5" s="1128"/>
      <c r="O5" s="1128"/>
      <c r="P5" s="3284"/>
      <c r="Q5" s="3285"/>
      <c r="R5" s="3290"/>
      <c r="S5" s="3291"/>
      <c r="T5" s="3290"/>
      <c r="U5" s="3291"/>
      <c r="V5" s="3275"/>
      <c r="W5" s="3275"/>
      <c r="X5" s="1807"/>
      <c r="Y5" s="3290"/>
      <c r="Z5" s="3291"/>
      <c r="AA5" s="3277"/>
      <c r="AB5" s="3275"/>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5"/>
      <c r="AC6" s="3278"/>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8"/>
      <c r="L7" s="1129"/>
      <c r="M7" s="1130"/>
      <c r="N7" s="1130"/>
      <c r="O7" s="1130"/>
      <c r="P7" s="329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768">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8"/>
      <c r="L8" s="1129"/>
      <c r="M8" s="1130"/>
      <c r="N8" s="1130"/>
      <c r="O8" s="1130"/>
      <c r="P8" s="3298" t="s">
        <v>2536</v>
      </c>
      <c r="Q8" s="3299"/>
      <c r="R8" s="765" t="s">
        <v>17</v>
      </c>
      <c r="S8" s="766">
        <f t="shared" si="0"/>
        <v>100</v>
      </c>
      <c r="T8" s="765" t="s">
        <v>17</v>
      </c>
      <c r="U8" s="766">
        <f t="shared" si="1"/>
        <v>100</v>
      </c>
      <c r="V8" s="765" t="s">
        <v>17</v>
      </c>
      <c r="W8" s="766">
        <f t="shared" si="2"/>
        <v>100</v>
      </c>
      <c r="X8" s="767"/>
      <c r="Y8" s="3298" t="s">
        <v>2536</v>
      </c>
      <c r="Z8" s="3299"/>
      <c r="AA8" s="768">
        <f t="shared" ref="AA8:AA46" si="3">D8/F8</f>
        <v>1</v>
      </c>
      <c r="AB8" s="768">
        <f t="shared" ref="AB8:AB46" si="4">D8/H8</f>
        <v>1</v>
      </c>
      <c r="AC8" s="768">
        <f t="shared" ref="AC8:AC46" si="5">D8/J8</f>
        <v>1</v>
      </c>
    </row>
    <row r="9" spans="1:29" s="116" customFormat="1">
      <c r="A9" s="413" t="s">
        <v>2537</v>
      </c>
      <c r="B9" s="71" t="s">
        <v>2538</v>
      </c>
      <c r="C9" s="2934" t="s">
        <v>3515</v>
      </c>
      <c r="D9" s="133">
        <v>100</v>
      </c>
      <c r="E9" s="415" t="s">
        <v>1377</v>
      </c>
      <c r="F9" s="416">
        <f>SUMIF(63:63,E9,64:64)-SUMIF(63:63,C9,64:64)+100</f>
        <v>100</v>
      </c>
      <c r="G9" s="415" t="s">
        <v>1377</v>
      </c>
      <c r="H9" s="133">
        <f>SUMIF(63:63,G9,64:64)-SUMIF(63:63,C9,64:64)+100</f>
        <v>100</v>
      </c>
      <c r="I9" s="415" t="s">
        <v>1377</v>
      </c>
      <c r="J9" s="133">
        <f>SUMIF(63:63,I9,64:64)-SUMIF(63:63,C9,64:64)+100</f>
        <v>100</v>
      </c>
      <c r="K9" s="608"/>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3274</v>
      </c>
      <c r="F10" s="422">
        <f>SUMIF(65:65,E10,66:66)-SUMIF(65:65,C10,66:66)+100</f>
        <v>100</v>
      </c>
      <c r="G10" s="420" t="s">
        <v>3274</v>
      </c>
      <c r="H10" s="134">
        <f>SUMIF(65:65,G10,66:66)-SUMIF(65:65,C10,66:66)+100</f>
        <v>100</v>
      </c>
      <c r="I10" s="420" t="s">
        <v>3274</v>
      </c>
      <c r="J10" s="134">
        <f>SUMIF(65:65,I10,66:66)-SUMIF(65:65,C10,66:66)+100</f>
        <v>100</v>
      </c>
      <c r="K10" s="609">
        <v>2</v>
      </c>
      <c r="L10" s="1132"/>
      <c r="M10" s="1133"/>
      <c r="N10" s="1133"/>
      <c r="O10" s="1133"/>
      <c r="P10" s="3268"/>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419" t="s">
        <v>2542</v>
      </c>
      <c r="C11" s="426"/>
      <c r="D11" s="134">
        <v>100</v>
      </c>
      <c r="E11" s="427"/>
      <c r="F11" s="422">
        <f>LOOKUP(E11,68:68,69:69)-LOOKUP(C11,68:68,69:69)+100</f>
        <v>100</v>
      </c>
      <c r="G11" s="426"/>
      <c r="H11" s="134">
        <f>LOOKUP(G11,68:68,69:69)-LOOKUP(C11,68:68,69:69)+100</f>
        <v>100</v>
      </c>
      <c r="I11" s="426"/>
      <c r="J11" s="134">
        <f>LOOKUP(I11,68:68,69:69)-LOOKUP(C11,68:68,69:69)+100</f>
        <v>100</v>
      </c>
      <c r="K11" s="609"/>
      <c r="L11" s="1135"/>
      <c r="M11" s="1128"/>
      <c r="N11" s="1128"/>
      <c r="O11" s="1128"/>
      <c r="P11" s="3268"/>
      <c r="Q11" s="1789" t="str">
        <f t="shared" si="6"/>
        <v>容积率</v>
      </c>
      <c r="R11" s="765" t="s">
        <v>17</v>
      </c>
      <c r="S11" s="766">
        <f t="shared" si="0"/>
        <v>100</v>
      </c>
      <c r="T11" s="765" t="s">
        <v>17</v>
      </c>
      <c r="U11" s="766">
        <f t="shared" si="1"/>
        <v>100</v>
      </c>
      <c r="V11" s="765" t="s">
        <v>17</v>
      </c>
      <c r="W11" s="766">
        <f t="shared" si="2"/>
        <v>100</v>
      </c>
      <c r="X11" s="767"/>
      <c r="Y11" s="3117"/>
      <c r="Z11" s="55" t="str">
        <f t="shared" si="7"/>
        <v>容积率</v>
      </c>
      <c r="AA11" s="768">
        <f t="shared" si="3"/>
        <v>1</v>
      </c>
      <c r="AB11" s="768">
        <f t="shared" si="4"/>
        <v>1</v>
      </c>
      <c r="AC11" s="768">
        <f t="shared" si="5"/>
        <v>1</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9"/>
      <c r="M12" s="1130"/>
      <c r="N12" s="1130"/>
      <c r="O12" s="1130"/>
      <c r="P12" s="3268"/>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268"/>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268"/>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15">
      <c r="A15" s="437" t="s">
        <v>2543</v>
      </c>
      <c r="B15" s="69" t="s">
        <v>2637</v>
      </c>
      <c r="C15" s="2588">
        <f>估价对象房地状况!C4</f>
        <v>0</v>
      </c>
      <c r="D15" s="438">
        <v>100</v>
      </c>
      <c r="E15" s="439"/>
      <c r="F15" s="440">
        <f>SUMIF(76:76,E16,77:77)-SUMIF(76:76,C16,77:77)+100</f>
        <v>104</v>
      </c>
      <c r="G15" s="441"/>
      <c r="H15" s="438">
        <f>SUMIF(76:76,G16,77:77)-SUMIF(76:76,C16,77:77)+100</f>
        <v>104</v>
      </c>
      <c r="I15" s="439"/>
      <c r="J15" s="438">
        <f>SUMIF(76:76,I16,77:77)-SUMIF(76:76,C16,77:77)+100</f>
        <v>104</v>
      </c>
      <c r="K15" s="611">
        <v>2</v>
      </c>
      <c r="L15" s="1137"/>
      <c r="M15" s="1128"/>
      <c r="N15" s="1128"/>
      <c r="O15" s="1128"/>
      <c r="P15" s="3313" t="s">
        <v>2544</v>
      </c>
      <c r="Q15" s="1804" t="str">
        <f t="shared" si="6"/>
        <v>商业繁华度</v>
      </c>
      <c r="R15" s="769" t="s">
        <v>17</v>
      </c>
      <c r="S15" s="770">
        <f t="shared" si="0"/>
        <v>104</v>
      </c>
      <c r="T15" s="769" t="s">
        <v>17</v>
      </c>
      <c r="U15" s="770">
        <f t="shared" si="1"/>
        <v>104</v>
      </c>
      <c r="V15" s="769" t="s">
        <v>17</v>
      </c>
      <c r="W15" s="770">
        <f t="shared" si="2"/>
        <v>104</v>
      </c>
      <c r="X15" s="1807"/>
      <c r="Y15" s="3271" t="s">
        <v>2544</v>
      </c>
      <c r="Z15" s="1808" t="str">
        <f t="shared" si="7"/>
        <v>商业繁华度</v>
      </c>
      <c r="AA15" s="1805">
        <f t="shared" si="3"/>
        <v>0.96153846153846156</v>
      </c>
      <c r="AB15" s="1805">
        <f t="shared" si="4"/>
        <v>0.96153846153846156</v>
      </c>
      <c r="AC15" s="1805">
        <f t="shared" si="5"/>
        <v>0.96153846153846156</v>
      </c>
    </row>
    <row r="16" spans="1:29" ht="15">
      <c r="A16" s="425"/>
      <c r="B16" s="443"/>
      <c r="C16" s="444" t="s">
        <v>3275</v>
      </c>
      <c r="D16" s="445"/>
      <c r="E16" s="444" t="s">
        <v>3055</v>
      </c>
      <c r="F16" s="446"/>
      <c r="G16" s="444" t="s">
        <v>3055</v>
      </c>
      <c r="H16" s="447"/>
      <c r="I16" s="444" t="s">
        <v>3055</v>
      </c>
      <c r="J16" s="445"/>
      <c r="K16" s="612"/>
      <c r="L16" s="1137"/>
      <c r="M16" s="1128"/>
      <c r="N16" s="1128"/>
      <c r="O16" s="1128"/>
      <c r="P16" s="3314"/>
      <c r="Q16" s="1804"/>
      <c r="R16" s="769"/>
      <c r="S16" s="770"/>
      <c r="T16" s="769"/>
      <c r="U16" s="770"/>
      <c r="V16" s="769"/>
      <c r="W16" s="770"/>
      <c r="X16" s="1807"/>
      <c r="Y16" s="3272"/>
      <c r="Z16" s="1808"/>
      <c r="AA16" s="1805">
        <v>1</v>
      </c>
      <c r="AB16" s="1805">
        <v>1</v>
      </c>
      <c r="AC16" s="1805">
        <v>1</v>
      </c>
    </row>
    <row r="17" spans="1:29" ht="15">
      <c r="A17" s="425"/>
      <c r="B17" s="448" t="s">
        <v>2089</v>
      </c>
      <c r="C17" s="2592">
        <f>估价对象房地状况!C6</f>
        <v>0</v>
      </c>
      <c r="D17" s="447">
        <v>100</v>
      </c>
      <c r="E17" s="449"/>
      <c r="F17" s="450">
        <f>SUMIF(78:78,E18,79:79)-SUMIF(78:78,C18,79:79)+100</f>
        <v>104</v>
      </c>
      <c r="G17" s="451"/>
      <c r="H17" s="452">
        <f>SUMIF(78:78,G18,79:79)-SUMIF(78:78,C18,79:79)+100</f>
        <v>104</v>
      </c>
      <c r="I17" s="449"/>
      <c r="J17" s="452">
        <f>SUMIF(78:78,I18,79:79)-SUMIF(78:78,C18,79:79)+100</f>
        <v>104</v>
      </c>
      <c r="K17" s="611">
        <v>2</v>
      </c>
      <c r="L17" s="1137"/>
      <c r="M17" s="1128"/>
      <c r="N17" s="1128"/>
      <c r="O17" s="1128"/>
      <c r="P17" s="3314"/>
      <c r="Q17" s="1804" t="str">
        <f>B17</f>
        <v>交通便捷度</v>
      </c>
      <c r="R17" s="769" t="s">
        <v>17</v>
      </c>
      <c r="S17" s="770">
        <f>F17</f>
        <v>104</v>
      </c>
      <c r="T17" s="769" t="s">
        <v>17</v>
      </c>
      <c r="U17" s="770">
        <f>H17</f>
        <v>104</v>
      </c>
      <c r="V17" s="769" t="s">
        <v>17</v>
      </c>
      <c r="W17" s="770">
        <f>J17</f>
        <v>104</v>
      </c>
      <c r="X17" s="1807"/>
      <c r="Y17" s="3272"/>
      <c r="Z17" s="1808" t="str">
        <f>Q17</f>
        <v>交通便捷度</v>
      </c>
      <c r="AA17" s="1805">
        <f t="shared" si="3"/>
        <v>0.96153846153846156</v>
      </c>
      <c r="AB17" s="1805">
        <f t="shared" si="4"/>
        <v>0.96153846153846156</v>
      </c>
      <c r="AC17" s="1805">
        <f t="shared" si="5"/>
        <v>0.96153846153846156</v>
      </c>
    </row>
    <row r="18" spans="1:29" ht="15">
      <c r="A18" s="425"/>
      <c r="B18" s="453"/>
      <c r="C18" s="2593" t="s">
        <v>3275</v>
      </c>
      <c r="D18" s="447"/>
      <c r="E18" s="2595" t="s">
        <v>3055</v>
      </c>
      <c r="F18" s="450"/>
      <c r="G18" s="2594" t="s">
        <v>3055</v>
      </c>
      <c r="H18" s="445"/>
      <c r="I18" s="2595" t="s">
        <v>3055</v>
      </c>
      <c r="J18" s="445"/>
      <c r="K18" s="612"/>
      <c r="L18" s="1137"/>
      <c r="M18" s="1128"/>
      <c r="N18" s="1128"/>
      <c r="O18" s="1128"/>
      <c r="P18" s="3314"/>
      <c r="Q18" s="1804"/>
      <c r="R18" s="769"/>
      <c r="S18" s="770"/>
      <c r="T18" s="769"/>
      <c r="U18" s="770"/>
      <c r="V18" s="769"/>
      <c r="W18" s="770"/>
      <c r="X18" s="1807"/>
      <c r="Y18" s="3272"/>
      <c r="Z18" s="1808"/>
      <c r="AA18" s="1805">
        <v>1</v>
      </c>
      <c r="AB18" s="1805">
        <v>1</v>
      </c>
      <c r="AC18" s="1805">
        <v>1</v>
      </c>
    </row>
    <row r="19" spans="1:29" ht="15">
      <c r="A19" s="425"/>
      <c r="B19" s="448" t="s">
        <v>2638</v>
      </c>
      <c r="C19" s="2592">
        <f>估价对象房地状况!C7</f>
        <v>0</v>
      </c>
      <c r="D19" s="452">
        <v>100</v>
      </c>
      <c r="E19" s="454"/>
      <c r="F19" s="455">
        <f>SUMIF(80:80,E20,81:81)-SUMIF(80:80,C20,81:81)+100</f>
        <v>102</v>
      </c>
      <c r="G19" s="456"/>
      <c r="H19" s="447">
        <f>SUMIF(80:80,G20,81:81)-SUMIF(80:80,C20,81:81)+100</f>
        <v>102</v>
      </c>
      <c r="I19" s="454"/>
      <c r="J19" s="447">
        <f>SUMIF(80:80,I20,81:81)-SUMIF(80:80,C20,81:81)+100</f>
        <v>102</v>
      </c>
      <c r="K19" s="611">
        <v>2</v>
      </c>
      <c r="L19" s="1137"/>
      <c r="M19" s="1128"/>
      <c r="N19" s="1128"/>
      <c r="O19" s="1128"/>
      <c r="P19" s="3314"/>
      <c r="Q19" s="1804" t="str">
        <f>B19</f>
        <v>公共配套设施</v>
      </c>
      <c r="R19" s="769" t="s">
        <v>17</v>
      </c>
      <c r="S19" s="770">
        <f>F19</f>
        <v>102</v>
      </c>
      <c r="T19" s="769" t="s">
        <v>17</v>
      </c>
      <c r="U19" s="770">
        <f>H19</f>
        <v>102</v>
      </c>
      <c r="V19" s="769" t="s">
        <v>17</v>
      </c>
      <c r="W19" s="770">
        <f>J19</f>
        <v>102</v>
      </c>
      <c r="X19" s="1807"/>
      <c r="Y19" s="3272"/>
      <c r="Z19" s="1808" t="str">
        <f>Q19</f>
        <v>公共配套设施</v>
      </c>
      <c r="AA19" s="1805">
        <f t="shared" si="3"/>
        <v>0.98039215686274506</v>
      </c>
      <c r="AB19" s="1805">
        <f t="shared" si="4"/>
        <v>0.98039215686274506</v>
      </c>
      <c r="AC19" s="1805">
        <f t="shared" si="5"/>
        <v>0.98039215686274506</v>
      </c>
    </row>
    <row r="20" spans="1:29" ht="15">
      <c r="A20" s="425"/>
      <c r="B20" s="453"/>
      <c r="C20" s="444" t="s">
        <v>3276</v>
      </c>
      <c r="D20" s="445"/>
      <c r="E20" s="2590" t="s">
        <v>3055</v>
      </c>
      <c r="F20" s="446"/>
      <c r="G20" s="2589" t="s">
        <v>3055</v>
      </c>
      <c r="H20" s="445"/>
      <c r="I20" s="2590" t="s">
        <v>3055</v>
      </c>
      <c r="J20" s="445"/>
      <c r="K20" s="612"/>
      <c r="L20" s="1137"/>
      <c r="M20" s="1128"/>
      <c r="N20" s="1128"/>
      <c r="O20" s="1128"/>
      <c r="P20" s="3314"/>
      <c r="Q20" s="1804"/>
      <c r="R20" s="769"/>
      <c r="S20" s="770"/>
      <c r="T20" s="769"/>
      <c r="U20" s="770"/>
      <c r="V20" s="769"/>
      <c r="W20" s="770"/>
      <c r="X20" s="1807"/>
      <c r="Y20" s="3272"/>
      <c r="Z20" s="1808"/>
      <c r="AA20" s="1805">
        <v>1</v>
      </c>
      <c r="AB20" s="1805">
        <v>1</v>
      </c>
      <c r="AC20" s="1805">
        <v>1</v>
      </c>
    </row>
    <row r="21" spans="1:29" ht="15">
      <c r="A21" s="425"/>
      <c r="B21" s="1379" t="s">
        <v>2639</v>
      </c>
      <c r="C21" s="2592">
        <f>估价对象房地状况!C8</f>
        <v>0</v>
      </c>
      <c r="D21" s="452">
        <v>100</v>
      </c>
      <c r="E21" s="454"/>
      <c r="F21" s="455">
        <f>SUMIF(82:82,E22,83:83)-SUMIF(82:82,C22,83:83)+100</f>
        <v>100</v>
      </c>
      <c r="G21" s="456"/>
      <c r="H21" s="447">
        <f>SUMIF(82:82,G22,83:83)-SUMIF(82:82,C22,83:83)+100</f>
        <v>100</v>
      </c>
      <c r="I21" s="454"/>
      <c r="J21" s="447">
        <f>SUMIF(82:82,I22,83:83)-SUMIF(82:82,C22,83:83)+100</f>
        <v>100</v>
      </c>
      <c r="K21" s="611">
        <v>2</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6"/>
      <c r="G22" s="444" t="s">
        <v>3052</v>
      </c>
      <c r="H22" s="445"/>
      <c r="I22" s="444" t="s">
        <v>3052</v>
      </c>
      <c r="J22" s="445"/>
      <c r="K22" s="1378"/>
      <c r="L22" s="1137"/>
      <c r="M22" s="1128"/>
      <c r="N22" s="1128"/>
      <c r="O22" s="1128"/>
      <c r="P22" s="3314"/>
      <c r="Q22" s="1804"/>
      <c r="R22" s="769"/>
      <c r="S22" s="770"/>
      <c r="T22" s="769"/>
      <c r="U22" s="770"/>
      <c r="V22" s="769"/>
      <c r="W22" s="770"/>
      <c r="X22" s="1807"/>
      <c r="Y22" s="3272"/>
      <c r="Z22" s="1808"/>
      <c r="AA22" s="1805">
        <v>1</v>
      </c>
      <c r="AB22" s="1805">
        <v>1</v>
      </c>
      <c r="AC22" s="1805">
        <v>1</v>
      </c>
    </row>
    <row r="23" spans="1:29" ht="15">
      <c r="A23" s="425"/>
      <c r="B23" s="448" t="s">
        <v>2092</v>
      </c>
      <c r="C23" s="2649">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7"/>
      <c r="M23" s="1128"/>
      <c r="N23" s="1128"/>
      <c r="O23" s="1128"/>
      <c r="P23" s="3314"/>
      <c r="Q23" s="1804" t="str">
        <f>B23</f>
        <v>自然及人文环境</v>
      </c>
      <c r="R23" s="769" t="s">
        <v>17</v>
      </c>
      <c r="S23" s="770">
        <f>F23</f>
        <v>100</v>
      </c>
      <c r="T23" s="769" t="s">
        <v>17</v>
      </c>
      <c r="U23" s="770">
        <f>H23</f>
        <v>100</v>
      </c>
      <c r="V23" s="769" t="s">
        <v>17</v>
      </c>
      <c r="W23" s="770">
        <f>J23</f>
        <v>100</v>
      </c>
      <c r="X23" s="1807"/>
      <c r="Y23" s="3272"/>
      <c r="Z23" s="1808" t="str">
        <f>Q23</f>
        <v>自然及人文环境</v>
      </c>
      <c r="AA23" s="1805">
        <f t="shared" si="3"/>
        <v>1</v>
      </c>
      <c r="AB23" s="1805">
        <f t="shared" si="4"/>
        <v>1</v>
      </c>
      <c r="AC23" s="1805">
        <f t="shared" si="5"/>
        <v>1</v>
      </c>
    </row>
    <row r="24" spans="1:29" ht="15">
      <c r="A24" s="425"/>
      <c r="B24" s="453"/>
      <c r="C24" s="444" t="s">
        <v>3055</v>
      </c>
      <c r="D24" s="445"/>
      <c r="E24" s="2590" t="s">
        <v>3055</v>
      </c>
      <c r="F24" s="446"/>
      <c r="G24" s="2589" t="s">
        <v>3055</v>
      </c>
      <c r="H24" s="445"/>
      <c r="I24" s="2590" t="s">
        <v>3055</v>
      </c>
      <c r="J24" s="445"/>
      <c r="K24" s="612"/>
      <c r="L24" s="1137"/>
      <c r="M24" s="1128"/>
      <c r="N24" s="1128"/>
      <c r="O24" s="1128"/>
      <c r="P24" s="3314"/>
      <c r="Q24" s="1804"/>
      <c r="R24" s="769"/>
      <c r="S24" s="770"/>
      <c r="T24" s="769"/>
      <c r="U24" s="770"/>
      <c r="V24" s="769"/>
      <c r="W24" s="770"/>
      <c r="X24" s="1807"/>
      <c r="Y24" s="3272"/>
      <c r="Z24" s="1808"/>
      <c r="AA24" s="1805">
        <v>1</v>
      </c>
      <c r="AB24" s="1805">
        <v>1</v>
      </c>
      <c r="AC24" s="1805">
        <v>1</v>
      </c>
    </row>
    <row r="25" spans="1:29" ht="15">
      <c r="A25" s="425"/>
      <c r="B25" s="419" t="s">
        <v>2640</v>
      </c>
      <c r="C25" s="613" t="s">
        <v>3436</v>
      </c>
      <c r="D25" s="432">
        <v>100</v>
      </c>
      <c r="E25" s="613" t="s">
        <v>3436</v>
      </c>
      <c r="F25" s="458">
        <f>SUMIF(86:86,E25,87:87)-SUMIF(86:86,C25,87:87)+100</f>
        <v>100</v>
      </c>
      <c r="G25" s="613" t="s">
        <v>3436</v>
      </c>
      <c r="H25" s="432">
        <f>SUMIF(86:86,G25,87:87)-SUMIF(86:86,C25,87:87)+100</f>
        <v>100</v>
      </c>
      <c r="I25" s="613" t="s">
        <v>3436</v>
      </c>
      <c r="J25" s="432">
        <f>SUMIF(86:86,I25,87:87)-SUMIF(86:86,C25,87:87)+100</f>
        <v>100</v>
      </c>
      <c r="K25" s="609">
        <v>2</v>
      </c>
      <c r="L25" s="1137"/>
      <c r="M25" s="1128"/>
      <c r="N25" s="1128"/>
      <c r="O25" s="1128"/>
      <c r="P25" s="3314"/>
      <c r="Q25" s="1804" t="str">
        <f t="shared" ref="Q25:Q46" si="11">B25</f>
        <v>临街状况</v>
      </c>
      <c r="R25" s="769" t="s">
        <v>17</v>
      </c>
      <c r="S25" s="770">
        <f>F25</f>
        <v>100</v>
      </c>
      <c r="T25" s="769" t="s">
        <v>17</v>
      </c>
      <c r="U25" s="770">
        <f>H25</f>
        <v>100</v>
      </c>
      <c r="V25" s="769" t="s">
        <v>17</v>
      </c>
      <c r="W25" s="770">
        <f>J25</f>
        <v>100</v>
      </c>
      <c r="X25" s="1807"/>
      <c r="Y25" s="3272"/>
      <c r="Z25" s="1808" t="str">
        <f>Q25</f>
        <v>临街状况</v>
      </c>
      <c r="AA25" s="1805">
        <f t="shared" si="3"/>
        <v>1</v>
      </c>
      <c r="AB25" s="1805">
        <f t="shared" si="4"/>
        <v>1</v>
      </c>
      <c r="AC25" s="1805">
        <f t="shared" si="5"/>
        <v>1</v>
      </c>
    </row>
    <row r="26" spans="1:29" ht="15">
      <c r="A26" s="425"/>
      <c r="B26" s="1381" t="s">
        <v>2641</v>
      </c>
      <c r="C26" s="2944" t="s">
        <v>3477</v>
      </c>
      <c r="D26" s="432">
        <v>100</v>
      </c>
      <c r="E26" s="2944" t="s">
        <v>3477</v>
      </c>
      <c r="F26" s="458">
        <f>SUMIF(88:88,E26,89:89)-SUMIF(88:88,C26,89:89)+100</f>
        <v>100</v>
      </c>
      <c r="G26" s="2944" t="s">
        <v>3477</v>
      </c>
      <c r="H26" s="432">
        <f>SUMIF(88:88,G26,89:89)-SUMIF(88:88,C26,89:89)+100</f>
        <v>100</v>
      </c>
      <c r="I26" s="2944" t="s">
        <v>3477</v>
      </c>
      <c r="J26" s="432">
        <f>SUMIF(88:88,I26,89:89)-SUMIF(88:88,C26,89:89)+100</f>
        <v>100</v>
      </c>
      <c r="K26" s="610"/>
      <c r="L26" s="1137"/>
      <c r="M26" s="1128"/>
      <c r="N26" s="1128"/>
      <c r="O26" s="1128"/>
      <c r="P26" s="3314"/>
      <c r="Q26" s="1804" t="str">
        <f t="shared" si="11"/>
        <v>平面位置/可视性</v>
      </c>
      <c r="R26" s="769" t="s">
        <v>17</v>
      </c>
      <c r="S26" s="770">
        <f>F26</f>
        <v>100</v>
      </c>
      <c r="T26" s="769" t="s">
        <v>17</v>
      </c>
      <c r="U26" s="770">
        <f>H26</f>
        <v>100</v>
      </c>
      <c r="V26" s="769" t="s">
        <v>17</v>
      </c>
      <c r="W26" s="770">
        <f>J26</f>
        <v>100</v>
      </c>
      <c r="X26" s="1807"/>
      <c r="Y26" s="3272"/>
      <c r="Z26" s="1808" t="str">
        <f>Q26</f>
        <v>平面位置/可视性</v>
      </c>
      <c r="AA26" s="1805">
        <f t="shared" si="3"/>
        <v>1</v>
      </c>
      <c r="AB26" s="1805">
        <f t="shared" si="4"/>
        <v>1</v>
      </c>
      <c r="AC26" s="1805">
        <f t="shared" si="5"/>
        <v>1</v>
      </c>
    </row>
    <row r="27" spans="1:29" s="116" customFormat="1" ht="15">
      <c r="A27" s="428"/>
      <c r="B27" s="448" t="s">
        <v>2642</v>
      </c>
      <c r="C27" s="2650" t="s">
        <v>3276</v>
      </c>
      <c r="D27" s="459">
        <v>100</v>
      </c>
      <c r="E27" s="2650" t="s">
        <v>3276</v>
      </c>
      <c r="F27" s="461">
        <f>SUMIF(90:90,E27,91:91)-SUMIF(90:90,C27,91:91)+100</f>
        <v>100</v>
      </c>
      <c r="G27" s="2650" t="s">
        <v>3276</v>
      </c>
      <c r="H27" s="459">
        <f>SUMIF(90:90,G27,91:91)-SUMIF(90:90,C27,91:91)+100</f>
        <v>100</v>
      </c>
      <c r="I27" s="2650" t="s">
        <v>3276</v>
      </c>
      <c r="J27" s="459">
        <f>SUMIF(90:90,I27,91:91)-SUMIF(90:90,C27,91:91)+100</f>
        <v>100</v>
      </c>
      <c r="K27" s="609">
        <v>2</v>
      </c>
      <c r="L27" s="1129"/>
      <c r="M27" s="1130"/>
      <c r="N27" s="1130"/>
      <c r="O27" s="1130"/>
      <c r="P27" s="3314"/>
      <c r="Q27" s="1789" t="str">
        <f t="shared" si="11"/>
        <v>人流量</v>
      </c>
      <c r="R27" s="765" t="s">
        <v>17</v>
      </c>
      <c r="S27" s="766">
        <f>F27</f>
        <v>100</v>
      </c>
      <c r="T27" s="765" t="s">
        <v>17</v>
      </c>
      <c r="U27" s="766">
        <f>H27</f>
        <v>100</v>
      </c>
      <c r="V27" s="765" t="s">
        <v>17</v>
      </c>
      <c r="W27" s="766">
        <f>J27</f>
        <v>100</v>
      </c>
      <c r="X27" s="767"/>
      <c r="Y27" s="3272"/>
      <c r="Z27" s="55" t="str">
        <f>Q27</f>
        <v>人流量</v>
      </c>
      <c r="AA27" s="1805">
        <f>D27/F27</f>
        <v>1</v>
      </c>
      <c r="AB27" s="1805">
        <f>D27/H27</f>
        <v>1</v>
      </c>
      <c r="AC27" s="1805">
        <f>D27/J27</f>
        <v>1</v>
      </c>
    </row>
    <row r="28" spans="1:29" ht="15">
      <c r="A28" s="425"/>
      <c r="B28" s="419" t="s">
        <v>2643</v>
      </c>
      <c r="C28" s="613" t="s">
        <v>3520</v>
      </c>
      <c r="D28" s="432">
        <v>100</v>
      </c>
      <c r="E28" s="613" t="s">
        <v>3520</v>
      </c>
      <c r="F28" s="458">
        <f>SUMIF(92:92,E28,93:93)-SUMIF(92:92,C28,93:93)+100</f>
        <v>100</v>
      </c>
      <c r="G28" s="613" t="s">
        <v>3521</v>
      </c>
      <c r="H28" s="432">
        <f>SUMIF(92:92,G28,93:93)-SUMIF(92:92,C28,93:93)+100</f>
        <v>90</v>
      </c>
      <c r="I28" s="613" t="s">
        <v>3521</v>
      </c>
      <c r="J28" s="432">
        <f>SUMIF(92:92,I28,93:93)-SUMIF(92:92,C28,93:93)+100</f>
        <v>90</v>
      </c>
      <c r="K28" s="610"/>
      <c r="L28" s="1137"/>
      <c r="M28" s="1128"/>
      <c r="N28" s="1128"/>
      <c r="O28" s="1128"/>
      <c r="P28" s="3314"/>
      <c r="Q28" s="1804" t="str">
        <f t="shared" si="11"/>
        <v>楼层</v>
      </c>
      <c r="R28" s="769" t="s">
        <v>17</v>
      </c>
      <c r="S28" s="770">
        <f t="shared" ref="S28:S46" si="12">F28</f>
        <v>100</v>
      </c>
      <c r="T28" s="769" t="s">
        <v>17</v>
      </c>
      <c r="U28" s="770">
        <f t="shared" ref="U28:U46" si="13">H28</f>
        <v>90</v>
      </c>
      <c r="V28" s="769" t="s">
        <v>17</v>
      </c>
      <c r="W28" s="770">
        <f t="shared" ref="W28:W46" si="14">J28</f>
        <v>90</v>
      </c>
      <c r="X28" s="1807"/>
      <c r="Y28" s="3272"/>
      <c r="Z28" s="1808" t="str">
        <f t="shared" ref="Z28:Z46" si="15">Q28</f>
        <v>楼层</v>
      </c>
      <c r="AA28" s="1805">
        <f t="shared" si="3"/>
        <v>1</v>
      </c>
      <c r="AB28" s="1805">
        <f t="shared" si="4"/>
        <v>1.1111111111111112</v>
      </c>
      <c r="AC28" s="1805">
        <f t="shared" si="5"/>
        <v>1.1111111111111112</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314"/>
      <c r="Q29" s="1804">
        <f t="shared" si="11"/>
        <v>111</v>
      </c>
      <c r="R29" s="769" t="s">
        <v>17</v>
      </c>
      <c r="S29" s="770">
        <f t="shared" si="12"/>
        <v>100</v>
      </c>
      <c r="T29" s="769" t="s">
        <v>17</v>
      </c>
      <c r="U29" s="770">
        <f t="shared" si="13"/>
        <v>100</v>
      </c>
      <c r="V29" s="769" t="s">
        <v>17</v>
      </c>
      <c r="W29" s="770">
        <f t="shared" si="14"/>
        <v>100</v>
      </c>
      <c r="X29" s="1807"/>
      <c r="Y29" s="3272"/>
      <c r="Z29" s="1808">
        <f t="shared" si="15"/>
        <v>111</v>
      </c>
      <c r="AA29" s="1805">
        <f t="shared" si="3"/>
        <v>1</v>
      </c>
      <c r="AB29" s="1805">
        <f t="shared" si="4"/>
        <v>1</v>
      </c>
      <c r="AC29" s="1805">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314"/>
      <c r="Q30" s="1804">
        <f t="shared" si="11"/>
        <v>111</v>
      </c>
      <c r="R30" s="769" t="s">
        <v>17</v>
      </c>
      <c r="S30" s="770">
        <f t="shared" si="12"/>
        <v>100</v>
      </c>
      <c r="T30" s="769" t="s">
        <v>17</v>
      </c>
      <c r="U30" s="770">
        <f t="shared" si="13"/>
        <v>100</v>
      </c>
      <c r="V30" s="769" t="s">
        <v>17</v>
      </c>
      <c r="W30" s="770">
        <f t="shared" si="14"/>
        <v>100</v>
      </c>
      <c r="X30" s="1807"/>
      <c r="Y30" s="3272"/>
      <c r="Z30" s="1808">
        <f t="shared" si="15"/>
        <v>111</v>
      </c>
      <c r="AA30" s="1805">
        <f t="shared" si="3"/>
        <v>1</v>
      </c>
      <c r="AB30" s="1805">
        <f t="shared" si="4"/>
        <v>1</v>
      </c>
      <c r="AC30" s="1805">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314"/>
      <c r="Q31" s="1804">
        <f t="shared" si="11"/>
        <v>111</v>
      </c>
      <c r="R31" s="769" t="s">
        <v>17</v>
      </c>
      <c r="S31" s="770">
        <f t="shared" si="12"/>
        <v>100</v>
      </c>
      <c r="T31" s="769" t="s">
        <v>17</v>
      </c>
      <c r="U31" s="770">
        <f t="shared" si="13"/>
        <v>100</v>
      </c>
      <c r="V31" s="769" t="s">
        <v>17</v>
      </c>
      <c r="W31" s="770">
        <f t="shared" si="14"/>
        <v>100</v>
      </c>
      <c r="X31" s="1807"/>
      <c r="Y31" s="3272"/>
      <c r="Z31" s="1808">
        <f t="shared" si="15"/>
        <v>111</v>
      </c>
      <c r="AA31" s="1805">
        <f t="shared" si="3"/>
        <v>1</v>
      </c>
      <c r="AB31" s="1805">
        <f t="shared" si="4"/>
        <v>1</v>
      </c>
      <c r="AC31" s="1805">
        <f t="shared" si="5"/>
        <v>1</v>
      </c>
    </row>
    <row r="32" spans="1:29" ht="15">
      <c r="A32" s="437" t="s">
        <v>2547</v>
      </c>
      <c r="B32" s="71" t="s">
        <v>2644</v>
      </c>
      <c r="C32" s="2602" t="s">
        <v>3488</v>
      </c>
      <c r="D32" s="464">
        <v>100</v>
      </c>
      <c r="E32" s="2602" t="s">
        <v>3485</v>
      </c>
      <c r="F32" s="458">
        <f>SUMIF(100:100,E32,101:101)-SUMIF(100:100,C32,101:101)+100</f>
        <v>104</v>
      </c>
      <c r="G32" s="2602" t="s">
        <v>3485</v>
      </c>
      <c r="H32" s="432">
        <f>SUMIF(100:100,G32,101:101)-SUMIF(100:100,C32,101:101)+100</f>
        <v>104</v>
      </c>
      <c r="I32" s="2602" t="s">
        <v>3488</v>
      </c>
      <c r="J32" s="464">
        <f>SUMIF(100:100,I32,101:101)-SUMIF(100:100,C32,101:101)+100</f>
        <v>100</v>
      </c>
      <c r="K32" s="609">
        <v>2</v>
      </c>
      <c r="L32" s="1137"/>
      <c r="M32" s="1128"/>
      <c r="N32" s="1128"/>
      <c r="O32" s="1128"/>
      <c r="P32" s="3315" t="s">
        <v>2549</v>
      </c>
      <c r="Q32" s="1804" t="str">
        <f t="shared" si="11"/>
        <v>商业类型</v>
      </c>
      <c r="R32" s="769" t="s">
        <v>17</v>
      </c>
      <c r="S32" s="770">
        <f t="shared" si="12"/>
        <v>104</v>
      </c>
      <c r="T32" s="769" t="s">
        <v>17</v>
      </c>
      <c r="U32" s="770">
        <f t="shared" si="13"/>
        <v>104</v>
      </c>
      <c r="V32" s="769" t="s">
        <v>17</v>
      </c>
      <c r="W32" s="770">
        <f t="shared" si="14"/>
        <v>100</v>
      </c>
      <c r="X32" s="1807"/>
      <c r="Y32" s="3274" t="s">
        <v>2549</v>
      </c>
      <c r="Z32" s="1808" t="str">
        <f t="shared" si="15"/>
        <v>商业类型</v>
      </c>
      <c r="AA32" s="1805">
        <f t="shared" si="3"/>
        <v>0.96153846153846156</v>
      </c>
      <c r="AB32" s="1805">
        <f t="shared" si="4"/>
        <v>0.96153846153846156</v>
      </c>
      <c r="AC32" s="1805">
        <f t="shared" si="5"/>
        <v>1</v>
      </c>
    </row>
    <row r="33" spans="1:29" s="468" customFormat="1" ht="15">
      <c r="A33" s="465"/>
      <c r="B33" s="419" t="s">
        <v>2550</v>
      </c>
      <c r="C33" s="466">
        <f>'数据-汇总表'!E3</f>
        <v>64165.63</v>
      </c>
      <c r="D33" s="134">
        <v>100</v>
      </c>
      <c r="E33" s="427">
        <v>246</v>
      </c>
      <c r="F33" s="422">
        <f>LOOKUP(E33,103:103,104:104)-LOOKUP(C33,103:103,104:104)+100</f>
        <v>102</v>
      </c>
      <c r="G33" s="426">
        <v>97</v>
      </c>
      <c r="H33" s="134">
        <f>LOOKUP(G33,103:103,104:104)-LOOKUP(C33,103:103,104:104)+100</f>
        <v>104</v>
      </c>
      <c r="I33" s="426">
        <v>120</v>
      </c>
      <c r="J33" s="134">
        <f>LOOKUP(I33,103:103,104:104)-LOOKUP(C33,103:103,104:104)+100</f>
        <v>103</v>
      </c>
      <c r="K33" s="610"/>
      <c r="L33" s="1135"/>
      <c r="M33" s="1138"/>
      <c r="N33" s="1138"/>
      <c r="O33" s="1138"/>
      <c r="P33" s="3316"/>
      <c r="Q33" s="771" t="str">
        <f t="shared" si="11"/>
        <v>项目建筑规模</v>
      </c>
      <c r="R33" s="772" t="s">
        <v>17</v>
      </c>
      <c r="S33" s="773">
        <f t="shared" si="12"/>
        <v>102</v>
      </c>
      <c r="T33" s="772" t="s">
        <v>17</v>
      </c>
      <c r="U33" s="773">
        <f t="shared" si="13"/>
        <v>104</v>
      </c>
      <c r="V33" s="772" t="s">
        <v>17</v>
      </c>
      <c r="W33" s="773">
        <f t="shared" si="14"/>
        <v>103</v>
      </c>
      <c r="X33" s="774"/>
      <c r="Y33" s="3274"/>
      <c r="Z33" s="775" t="str">
        <f t="shared" si="15"/>
        <v>项目建筑规模</v>
      </c>
      <c r="AA33" s="1805">
        <f t="shared" si="3"/>
        <v>0.98039215686274506</v>
      </c>
      <c r="AB33" s="1805">
        <f t="shared" si="4"/>
        <v>0.96153846153846156</v>
      </c>
      <c r="AC33" s="1805">
        <f t="shared" si="5"/>
        <v>0.970873786407767</v>
      </c>
    </row>
    <row r="34" spans="1:29" ht="15">
      <c r="A34" s="469"/>
      <c r="B34" s="419" t="s">
        <v>2551</v>
      </c>
      <c r="C34" s="2604" t="s">
        <v>3043</v>
      </c>
      <c r="D34" s="432">
        <v>100</v>
      </c>
      <c r="E34" s="2604" t="s">
        <v>3043</v>
      </c>
      <c r="F34" s="458">
        <f>SUMIF(105:105,E34,106:106)-SUMIF(105:105,C34,106:106)+100</f>
        <v>100</v>
      </c>
      <c r="G34" s="2604" t="s">
        <v>3043</v>
      </c>
      <c r="H34" s="432">
        <f>SUMIF(105:105,G34,106:106)-SUMIF(105:105,C34,106:106)+100</f>
        <v>100</v>
      </c>
      <c r="I34" s="2604" t="s">
        <v>3043</v>
      </c>
      <c r="J34" s="432">
        <f>SUMIF(105:105,I34,106:106)-SUMIF(105:105,C34,106:106)+100</f>
        <v>100</v>
      </c>
      <c r="K34" s="609">
        <v>2</v>
      </c>
      <c r="L34" s="1137"/>
      <c r="M34" s="1128"/>
      <c r="N34" s="1128"/>
      <c r="O34" s="1128"/>
      <c r="P34" s="3316"/>
      <c r="Q34" s="1804" t="str">
        <f t="shared" si="11"/>
        <v>建筑结构</v>
      </c>
      <c r="R34" s="769" t="s">
        <v>17</v>
      </c>
      <c r="S34" s="770">
        <f t="shared" si="12"/>
        <v>100</v>
      </c>
      <c r="T34" s="769" t="s">
        <v>17</v>
      </c>
      <c r="U34" s="770">
        <f t="shared" si="13"/>
        <v>100</v>
      </c>
      <c r="V34" s="769" t="s">
        <v>17</v>
      </c>
      <c r="W34" s="770">
        <f t="shared" si="14"/>
        <v>100</v>
      </c>
      <c r="X34" s="1807"/>
      <c r="Y34" s="3274"/>
      <c r="Z34" s="1808" t="str">
        <f t="shared" si="15"/>
        <v>建筑结构</v>
      </c>
      <c r="AA34" s="1805">
        <f t="shared" si="3"/>
        <v>1</v>
      </c>
      <c r="AB34" s="1805">
        <f t="shared" si="4"/>
        <v>1</v>
      </c>
      <c r="AC34" s="1805">
        <f t="shared" si="5"/>
        <v>1</v>
      </c>
    </row>
    <row r="35" spans="1:29" ht="15">
      <c r="A35" s="469"/>
      <c r="B35" s="419" t="s">
        <v>2645</v>
      </c>
      <c r="C35" s="2598" t="s">
        <v>3066</v>
      </c>
      <c r="D35" s="432">
        <v>100</v>
      </c>
      <c r="E35" s="2598" t="s">
        <v>3066</v>
      </c>
      <c r="F35" s="458">
        <f>SUMIF(107:107,E35,108:108)-SUMIF(107:107,C35,108:108)+100</f>
        <v>100</v>
      </c>
      <c r="G35" s="2598" t="s">
        <v>3066</v>
      </c>
      <c r="H35" s="432">
        <f>SUMIF(107:107,G35,108:108)-SUMIF(107:107,C35,108:108)+100</f>
        <v>100</v>
      </c>
      <c r="I35" s="2598" t="s">
        <v>3066</v>
      </c>
      <c r="J35" s="432">
        <f>SUMIF(107:107,I35,108:108)-SUMIF(107:107,C35,108:108)+100</f>
        <v>100</v>
      </c>
      <c r="K35" s="609">
        <v>2</v>
      </c>
      <c r="L35" s="1137"/>
      <c r="M35" s="1128"/>
      <c r="N35" s="1128"/>
      <c r="O35" s="1128"/>
      <c r="P35" s="3316"/>
      <c r="Q35" s="1804" t="str">
        <f t="shared" si="11"/>
        <v>公共部分装修</v>
      </c>
      <c r="R35" s="769" t="s">
        <v>17</v>
      </c>
      <c r="S35" s="770">
        <f t="shared" si="12"/>
        <v>100</v>
      </c>
      <c r="T35" s="769" t="s">
        <v>17</v>
      </c>
      <c r="U35" s="770">
        <f t="shared" si="13"/>
        <v>100</v>
      </c>
      <c r="V35" s="769" t="s">
        <v>17</v>
      </c>
      <c r="W35" s="770">
        <f t="shared" si="14"/>
        <v>100</v>
      </c>
      <c r="X35" s="1807"/>
      <c r="Y35" s="3274"/>
      <c r="Z35" s="1808" t="str">
        <f t="shared" si="15"/>
        <v>公共部分装修</v>
      </c>
      <c r="AA35" s="1805">
        <f t="shared" si="3"/>
        <v>1</v>
      </c>
      <c r="AB35" s="1805">
        <f t="shared" si="4"/>
        <v>1</v>
      </c>
      <c r="AC35" s="1805">
        <f t="shared" si="5"/>
        <v>1</v>
      </c>
    </row>
    <row r="36" spans="1:29" ht="15">
      <c r="A36" s="469"/>
      <c r="B36" s="419" t="s">
        <v>2646</v>
      </c>
      <c r="C36" s="471">
        <f>'数据-取费表'!N6</f>
        <v>0</v>
      </c>
      <c r="D36" s="432">
        <v>100</v>
      </c>
      <c r="E36" s="471">
        <v>0.8</v>
      </c>
      <c r="F36" s="458" t="e">
        <f>LOOKUP(E36,110:110,111:111)-LOOKUP(C36,110:110,111:111)+100</f>
        <v>#N/A</v>
      </c>
      <c r="G36" s="471">
        <v>0.8</v>
      </c>
      <c r="H36" s="458" t="e">
        <f>LOOKUP(G36,110:110,111:111)-LOOKUP(C36,110:110,111:111)+100</f>
        <v>#N/A</v>
      </c>
      <c r="I36" s="471">
        <v>0.8</v>
      </c>
      <c r="J36" s="432" t="e">
        <f>LOOKUP(I36,110:110,111:111)-LOOKUP(C36,110:110,111:111)+100</f>
        <v>#N/A</v>
      </c>
      <c r="K36" s="609">
        <v>2</v>
      </c>
      <c r="L36" s="1137"/>
      <c r="M36" s="1128"/>
      <c r="N36" s="1128"/>
      <c r="O36" s="1128"/>
      <c r="P36" s="3316"/>
      <c r="Q36" s="1804" t="str">
        <f t="shared" si="11"/>
        <v>成新度</v>
      </c>
      <c r="R36" s="769" t="s">
        <v>17</v>
      </c>
      <c r="S36" s="770" t="e">
        <f t="shared" si="12"/>
        <v>#N/A</v>
      </c>
      <c r="T36" s="769" t="s">
        <v>17</v>
      </c>
      <c r="U36" s="770" t="e">
        <f t="shared" si="13"/>
        <v>#N/A</v>
      </c>
      <c r="V36" s="769" t="s">
        <v>17</v>
      </c>
      <c r="W36" s="770" t="e">
        <f t="shared" si="14"/>
        <v>#N/A</v>
      </c>
      <c r="X36" s="1807"/>
      <c r="Y36" s="3274"/>
      <c r="Z36" s="1808" t="str">
        <f t="shared" si="15"/>
        <v>成新度</v>
      </c>
      <c r="AA36" s="1805" t="e">
        <f t="shared" si="3"/>
        <v>#N/A</v>
      </c>
      <c r="AB36" s="1805" t="e">
        <f t="shared" si="4"/>
        <v>#N/A</v>
      </c>
      <c r="AC36" s="1805" t="e">
        <f t="shared" si="5"/>
        <v>#N/A</v>
      </c>
    </row>
    <row r="37" spans="1:29" s="116" customFormat="1" ht="15">
      <c r="A37" s="470"/>
      <c r="B37" s="419" t="s">
        <v>2647</v>
      </c>
      <c r="C37" s="2598" t="s">
        <v>3499</v>
      </c>
      <c r="D37" s="134">
        <v>100</v>
      </c>
      <c r="E37" s="2598" t="s">
        <v>3499</v>
      </c>
      <c r="F37" s="458">
        <f>SUMIF(112:112,E37,113:113)-SUMIF(112:112,C37,113:113)+100</f>
        <v>100</v>
      </c>
      <c r="G37" s="2598" t="s">
        <v>3499</v>
      </c>
      <c r="H37" s="432">
        <f>SUMIF(112:112,G37,113:113)-SUMIF(112:112,C37,113:113)+100</f>
        <v>100</v>
      </c>
      <c r="I37" s="2598" t="s">
        <v>3499</v>
      </c>
      <c r="J37" s="432">
        <f>SUMIF(112:112,I37,113:113)-SUMIF(112:112,C37,113:113)+100</f>
        <v>100</v>
      </c>
      <c r="K37" s="609">
        <v>2</v>
      </c>
      <c r="L37" s="1129"/>
      <c r="M37" s="1130"/>
      <c r="N37" s="1130"/>
      <c r="O37" s="1130"/>
      <c r="P37" s="3316"/>
      <c r="Q37" s="1789" t="str">
        <f t="shared" si="11"/>
        <v>市政基础设施</v>
      </c>
      <c r="R37" s="765" t="s">
        <v>17</v>
      </c>
      <c r="S37" s="766">
        <f t="shared" si="12"/>
        <v>100</v>
      </c>
      <c r="T37" s="765" t="s">
        <v>17</v>
      </c>
      <c r="U37" s="766">
        <f t="shared" si="13"/>
        <v>100</v>
      </c>
      <c r="V37" s="765" t="s">
        <v>17</v>
      </c>
      <c r="W37" s="766">
        <f t="shared" si="14"/>
        <v>100</v>
      </c>
      <c r="X37" s="767"/>
      <c r="Y37" s="3274"/>
      <c r="Z37" s="55" t="str">
        <f t="shared" si="15"/>
        <v>市政基础设施</v>
      </c>
      <c r="AA37" s="768">
        <f t="shared" si="3"/>
        <v>1</v>
      </c>
      <c r="AB37" s="768">
        <f t="shared" si="4"/>
        <v>1</v>
      </c>
      <c r="AC37" s="768">
        <f t="shared" si="5"/>
        <v>1</v>
      </c>
    </row>
    <row r="38" spans="1:29" ht="15">
      <c r="A38" s="469"/>
      <c r="B38" s="419" t="s">
        <v>2648</v>
      </c>
      <c r="C38" s="2598" t="s">
        <v>3504</v>
      </c>
      <c r="D38" s="432">
        <v>100</v>
      </c>
      <c r="E38" s="2598" t="s">
        <v>3504</v>
      </c>
      <c r="F38" s="458">
        <f>SUMIF(114:114,E38,115:115)-SUMIF(114:114,C38,115:115)+100</f>
        <v>100</v>
      </c>
      <c r="G38" s="2598" t="s">
        <v>3504</v>
      </c>
      <c r="H38" s="432">
        <f>SUMIF(114:114,G38,115:115)-SUMIF(114:114,C38,115:115)+100</f>
        <v>100</v>
      </c>
      <c r="I38" s="2598" t="s">
        <v>3504</v>
      </c>
      <c r="J38" s="432">
        <f>SUMIF(114:114,I38,115:115)-SUMIF(114:114,C38,115:115)+100</f>
        <v>100</v>
      </c>
      <c r="K38" s="609">
        <v>2</v>
      </c>
      <c r="L38" s="1137"/>
      <c r="M38" s="1128"/>
      <c r="N38" s="1128"/>
      <c r="O38" s="1128"/>
      <c r="P38" s="3316" t="s">
        <v>2549</v>
      </c>
      <c r="Q38" s="1804" t="str">
        <f t="shared" si="11"/>
        <v>业态</v>
      </c>
      <c r="R38" s="769" t="s">
        <v>17</v>
      </c>
      <c r="S38" s="770">
        <f t="shared" si="12"/>
        <v>100</v>
      </c>
      <c r="T38" s="769" t="s">
        <v>17</v>
      </c>
      <c r="U38" s="770">
        <f t="shared" si="13"/>
        <v>100</v>
      </c>
      <c r="V38" s="769" t="s">
        <v>17</v>
      </c>
      <c r="W38" s="770">
        <f t="shared" si="14"/>
        <v>100</v>
      </c>
      <c r="X38" s="1807"/>
      <c r="Y38" s="3274" t="s">
        <v>2549</v>
      </c>
      <c r="Z38" s="1808" t="str">
        <f t="shared" si="15"/>
        <v>业态</v>
      </c>
      <c r="AA38" s="1805">
        <f t="shared" si="3"/>
        <v>1</v>
      </c>
      <c r="AB38" s="1805">
        <f t="shared" si="4"/>
        <v>1</v>
      </c>
      <c r="AC38" s="1805">
        <f t="shared" si="5"/>
        <v>1</v>
      </c>
    </row>
    <row r="39" spans="1:29" ht="15">
      <c r="A39" s="469"/>
      <c r="B39" s="419" t="s">
        <v>2649</v>
      </c>
      <c r="C39" s="2598" t="s">
        <v>3508</v>
      </c>
      <c r="D39" s="432">
        <v>100</v>
      </c>
      <c r="E39" s="2598" t="s">
        <v>3508</v>
      </c>
      <c r="F39" s="458">
        <f>SUMIF(116:116,E39,117:117)-SUMIF(116:116,C39,117:117)+100</f>
        <v>100</v>
      </c>
      <c r="G39" s="2598" t="s">
        <v>3508</v>
      </c>
      <c r="H39" s="432">
        <f>SUMIF(116:116,G39,117:117)-SUMIF(116:116,C39,117:117)+100</f>
        <v>100</v>
      </c>
      <c r="I39" s="2598" t="s">
        <v>3508</v>
      </c>
      <c r="J39" s="432">
        <f>SUMIF(116:116,I39,117:117)-SUMIF(116:116,C39,117:117)+100</f>
        <v>100</v>
      </c>
      <c r="K39" s="609">
        <v>2</v>
      </c>
      <c r="L39" s="1137"/>
      <c r="M39" s="1128"/>
      <c r="N39" s="1128"/>
      <c r="O39" s="1128"/>
      <c r="P39" s="3316"/>
      <c r="Q39" s="1804" t="str">
        <f t="shared" si="11"/>
        <v>层高</v>
      </c>
      <c r="R39" s="769" t="s">
        <v>17</v>
      </c>
      <c r="S39" s="770">
        <f t="shared" si="12"/>
        <v>100</v>
      </c>
      <c r="T39" s="769" t="s">
        <v>17</v>
      </c>
      <c r="U39" s="770">
        <f t="shared" si="13"/>
        <v>100</v>
      </c>
      <c r="V39" s="769" t="s">
        <v>17</v>
      </c>
      <c r="W39" s="770">
        <f t="shared" si="14"/>
        <v>100</v>
      </c>
      <c r="X39" s="1807"/>
      <c r="Y39" s="3274"/>
      <c r="Z39" s="1808" t="str">
        <f t="shared" si="15"/>
        <v>层高</v>
      </c>
      <c r="AA39" s="1805">
        <f t="shared" si="3"/>
        <v>1</v>
      </c>
      <c r="AB39" s="1805">
        <f t="shared" si="4"/>
        <v>1</v>
      </c>
      <c r="AC39" s="1805">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316"/>
      <c r="Q40" s="1804" t="str">
        <f t="shared" si="11"/>
        <v>单套建筑面积</v>
      </c>
      <c r="R40" s="769" t="s">
        <v>17</v>
      </c>
      <c r="S40" s="770">
        <f t="shared" si="12"/>
        <v>100</v>
      </c>
      <c r="T40" s="769" t="s">
        <v>17</v>
      </c>
      <c r="U40" s="770">
        <f t="shared" si="13"/>
        <v>100</v>
      </c>
      <c r="V40" s="769" t="s">
        <v>17</v>
      </c>
      <c r="W40" s="770">
        <f t="shared" si="14"/>
        <v>100</v>
      </c>
      <c r="X40" s="1807"/>
      <c r="Y40" s="3274"/>
      <c r="Z40" s="1808" t="str">
        <f t="shared" si="15"/>
        <v>单套建筑面积</v>
      </c>
      <c r="AA40" s="1805">
        <f t="shared" si="3"/>
        <v>1</v>
      </c>
      <c r="AB40" s="1805">
        <f t="shared" si="4"/>
        <v>1</v>
      </c>
      <c r="AC40" s="1805">
        <f t="shared" si="5"/>
        <v>1</v>
      </c>
    </row>
    <row r="41" spans="1:29" s="468" customFormat="1" ht="15">
      <c r="A41" s="465"/>
      <c r="B41" s="1806" t="s">
        <v>2651</v>
      </c>
      <c r="C41" s="613" t="s">
        <v>3511</v>
      </c>
      <c r="D41" s="432">
        <v>100</v>
      </c>
      <c r="E41" s="613" t="s">
        <v>3511</v>
      </c>
      <c r="F41" s="458">
        <f>SUMIF(120:120,E41,121:121)-SUMIF(120:120,C41,121:121)+100</f>
        <v>100</v>
      </c>
      <c r="G41" s="613" t="s">
        <v>3511</v>
      </c>
      <c r="H41" s="432">
        <f>SUMIF(120:120,G41,121:121)-SUMIF(120:120,C41,121:121)+100</f>
        <v>100</v>
      </c>
      <c r="I41" s="613" t="s">
        <v>3511</v>
      </c>
      <c r="J41" s="432">
        <f>SUMIF(120:120,I41,121:121)-SUMIF(120:120,C41,121:121)+100</f>
        <v>100</v>
      </c>
      <c r="K41" s="609">
        <v>2</v>
      </c>
      <c r="L41" s="1135"/>
      <c r="M41" s="1138"/>
      <c r="N41" s="1138"/>
      <c r="O41" s="1138"/>
      <c r="P41" s="3316"/>
      <c r="Q41" s="771" t="str">
        <f t="shared" si="11"/>
        <v>进深比</v>
      </c>
      <c r="R41" s="772" t="s">
        <v>17</v>
      </c>
      <c r="S41" s="773">
        <f t="shared" si="12"/>
        <v>100</v>
      </c>
      <c r="T41" s="772" t="s">
        <v>17</v>
      </c>
      <c r="U41" s="773">
        <f t="shared" si="13"/>
        <v>100</v>
      </c>
      <c r="V41" s="772" t="s">
        <v>17</v>
      </c>
      <c r="W41" s="773">
        <f t="shared" si="14"/>
        <v>100</v>
      </c>
      <c r="X41" s="774"/>
      <c r="Y41" s="3274"/>
      <c r="Z41" s="775" t="str">
        <f t="shared" si="15"/>
        <v>进深比</v>
      </c>
      <c r="AA41" s="1805">
        <f t="shared" si="3"/>
        <v>1</v>
      </c>
      <c r="AB41" s="1805">
        <f t="shared" si="4"/>
        <v>1</v>
      </c>
      <c r="AC41" s="1805">
        <f t="shared" si="5"/>
        <v>1</v>
      </c>
    </row>
    <row r="42" spans="1:29" ht="15">
      <c r="A42" s="469"/>
      <c r="B42" s="419" t="s">
        <v>2652</v>
      </c>
      <c r="C42" s="2598" t="s">
        <v>3115</v>
      </c>
      <c r="D42" s="432">
        <v>100</v>
      </c>
      <c r="E42" s="2598" t="s">
        <v>3495</v>
      </c>
      <c r="F42" s="458">
        <f>SUMIF(122:122,E42,123:123)-SUMIF(122:122,C42,123:123)+100</f>
        <v>102</v>
      </c>
      <c r="G42" s="2598" t="s">
        <v>3115</v>
      </c>
      <c r="H42" s="432">
        <f>SUMIF(122:122,G42,123:123)-SUMIF(122:122,C42,123:123)+100</f>
        <v>100</v>
      </c>
      <c r="I42" s="2598" t="s">
        <v>3495</v>
      </c>
      <c r="J42" s="432">
        <f>SUMIF(122:122,I42,123:123)-SUMIF(122:122,C42,123:123)+100</f>
        <v>102</v>
      </c>
      <c r="K42" s="609">
        <v>2</v>
      </c>
      <c r="L42" s="1137"/>
      <c r="M42" s="1128"/>
      <c r="N42" s="1128"/>
      <c r="O42" s="1128"/>
      <c r="P42" s="3316"/>
      <c r="Q42" s="1804" t="str">
        <f t="shared" si="11"/>
        <v>内部装修</v>
      </c>
      <c r="R42" s="769" t="s">
        <v>17</v>
      </c>
      <c r="S42" s="770">
        <f t="shared" si="12"/>
        <v>102</v>
      </c>
      <c r="T42" s="769" t="s">
        <v>17</v>
      </c>
      <c r="U42" s="770">
        <f t="shared" si="13"/>
        <v>100</v>
      </c>
      <c r="V42" s="769" t="s">
        <v>17</v>
      </c>
      <c r="W42" s="770">
        <f t="shared" si="14"/>
        <v>102</v>
      </c>
      <c r="X42" s="1807"/>
      <c r="Y42" s="3274"/>
      <c r="Z42" s="1808" t="str">
        <f t="shared" si="15"/>
        <v>内部装修</v>
      </c>
      <c r="AA42" s="1805">
        <f t="shared" si="3"/>
        <v>0.98039215686274506</v>
      </c>
      <c r="AB42" s="1805">
        <f t="shared" si="4"/>
        <v>1</v>
      </c>
      <c r="AC42" s="1805">
        <f t="shared" si="5"/>
        <v>0.98039215686274506</v>
      </c>
    </row>
    <row r="43" spans="1:29" ht="15">
      <c r="A43" s="469"/>
      <c r="B43" s="419" t="s">
        <v>2560</v>
      </c>
      <c r="C43" s="2598" t="s">
        <v>3055</v>
      </c>
      <c r="D43" s="432">
        <v>100</v>
      </c>
      <c r="E43" s="2598" t="s">
        <v>3055</v>
      </c>
      <c r="F43" s="458">
        <f>SUMIF(124:124,E43,125:125)-SUMIF(124:124,C43,125:125)+100</f>
        <v>100</v>
      </c>
      <c r="G43" s="2598" t="s">
        <v>3055</v>
      </c>
      <c r="H43" s="432">
        <f>SUMIF(124:124,G43,125:125)-SUMIF(124:124,C43,125:125)+100</f>
        <v>100</v>
      </c>
      <c r="I43" s="2598" t="s">
        <v>3055</v>
      </c>
      <c r="J43" s="432">
        <f>SUMIF(124:124,I43,125:125)-SUMIF(124:124,C43,125:125)+100</f>
        <v>100</v>
      </c>
      <c r="K43" s="609">
        <v>2</v>
      </c>
      <c r="L43" s="1137"/>
      <c r="M43" s="1128"/>
      <c r="N43" s="1128"/>
      <c r="O43" s="1128"/>
      <c r="P43" s="3316"/>
      <c r="Q43" s="1804" t="str">
        <f t="shared" si="11"/>
        <v>内部装修维护情况</v>
      </c>
      <c r="R43" s="769" t="s">
        <v>17</v>
      </c>
      <c r="S43" s="770">
        <f t="shared" si="12"/>
        <v>100</v>
      </c>
      <c r="T43" s="769" t="s">
        <v>17</v>
      </c>
      <c r="U43" s="770">
        <f t="shared" si="13"/>
        <v>100</v>
      </c>
      <c r="V43" s="769" t="s">
        <v>17</v>
      </c>
      <c r="W43" s="770">
        <f t="shared" si="14"/>
        <v>100</v>
      </c>
      <c r="X43" s="1807"/>
      <c r="Y43" s="3274"/>
      <c r="Z43" s="1808" t="str">
        <f t="shared" si="15"/>
        <v>内部装修维护情况</v>
      </c>
      <c r="AA43" s="1805">
        <f t="shared" si="3"/>
        <v>1</v>
      </c>
      <c r="AB43" s="1805">
        <f t="shared" si="4"/>
        <v>1</v>
      </c>
      <c r="AC43" s="1805">
        <f t="shared" si="5"/>
        <v>1</v>
      </c>
    </row>
    <row r="44" spans="1:29" s="116" customFormat="1" ht="15">
      <c r="A44" s="470"/>
      <c r="B44" s="1381">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9"/>
      <c r="M44" s="1130"/>
      <c r="N44" s="1130"/>
      <c r="O44" s="1130"/>
      <c r="P44" s="3316"/>
      <c r="Q44" s="1789">
        <f t="shared" si="11"/>
        <v>111</v>
      </c>
      <c r="R44" s="765" t="s">
        <v>17</v>
      </c>
      <c r="S44" s="766">
        <f t="shared" si="12"/>
        <v>100</v>
      </c>
      <c r="T44" s="765" t="s">
        <v>17</v>
      </c>
      <c r="U44" s="766">
        <f t="shared" si="13"/>
        <v>100</v>
      </c>
      <c r="V44" s="765" t="s">
        <v>17</v>
      </c>
      <c r="W44" s="766">
        <f t="shared" si="14"/>
        <v>100</v>
      </c>
      <c r="X44" s="767"/>
      <c r="Y44" s="3274"/>
      <c r="Z44" s="55">
        <f t="shared" si="15"/>
        <v>111</v>
      </c>
      <c r="AA44" s="768">
        <f t="shared" si="3"/>
        <v>1</v>
      </c>
      <c r="AB44" s="768">
        <f t="shared" si="4"/>
        <v>1</v>
      </c>
      <c r="AC44" s="768">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316"/>
      <c r="Q45" s="1804">
        <f t="shared" si="11"/>
        <v>111</v>
      </c>
      <c r="R45" s="769" t="s">
        <v>17</v>
      </c>
      <c r="S45" s="770">
        <f t="shared" si="12"/>
        <v>100</v>
      </c>
      <c r="T45" s="769" t="s">
        <v>17</v>
      </c>
      <c r="U45" s="770">
        <f t="shared" si="13"/>
        <v>100</v>
      </c>
      <c r="V45" s="769" t="s">
        <v>17</v>
      </c>
      <c r="W45" s="770">
        <f t="shared" si="14"/>
        <v>100</v>
      </c>
      <c r="X45" s="1807"/>
      <c r="Y45" s="3274"/>
      <c r="Z45" s="1808">
        <f t="shared" si="15"/>
        <v>111</v>
      </c>
      <c r="AA45" s="1805">
        <f t="shared" si="3"/>
        <v>1</v>
      </c>
      <c r="AB45" s="1805">
        <f t="shared" si="4"/>
        <v>1</v>
      </c>
      <c r="AC45" s="1805">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317"/>
      <c r="Q46" s="1804">
        <f t="shared" si="11"/>
        <v>111</v>
      </c>
      <c r="R46" s="769" t="s">
        <v>17</v>
      </c>
      <c r="S46" s="770">
        <f t="shared" si="12"/>
        <v>100</v>
      </c>
      <c r="T46" s="769" t="s">
        <v>17</v>
      </c>
      <c r="U46" s="770">
        <f t="shared" si="13"/>
        <v>100</v>
      </c>
      <c r="V46" s="769" t="s">
        <v>17</v>
      </c>
      <c r="W46" s="770">
        <f t="shared" si="14"/>
        <v>100</v>
      </c>
      <c r="X46" s="1807"/>
      <c r="Y46" s="3307"/>
      <c r="Z46" s="1808">
        <f t="shared" si="15"/>
        <v>111</v>
      </c>
      <c r="AA46" s="1805">
        <f t="shared" si="3"/>
        <v>1</v>
      </c>
      <c r="AB46" s="1805">
        <f t="shared" si="4"/>
        <v>1</v>
      </c>
      <c r="AC46" s="1805">
        <f t="shared" si="5"/>
        <v>1</v>
      </c>
    </row>
    <row r="47" spans="1:29" ht="15">
      <c r="A47" s="476" t="s">
        <v>2561</v>
      </c>
      <c r="B47" s="477"/>
      <c r="C47" s="1402" t="s">
        <v>1</v>
      </c>
      <c r="D47" s="1403"/>
      <c r="E47" s="1404">
        <v>9500</v>
      </c>
      <c r="F47" s="1405"/>
      <c r="G47" s="1406">
        <v>9700</v>
      </c>
      <c r="H47" s="1407"/>
      <c r="I47" s="1404">
        <v>9800</v>
      </c>
      <c r="J47" s="1407"/>
      <c r="K47" s="778"/>
      <c r="L47" s="1140"/>
      <c r="M47" s="1141"/>
      <c r="N47" s="1128"/>
      <c r="O47" s="1141"/>
      <c r="P47" s="3269" t="str">
        <f>A47</f>
        <v>成交单价（元/平方米）</v>
      </c>
      <c r="Q47" s="3269"/>
      <c r="R47" s="3275">
        <f>E47</f>
        <v>9500</v>
      </c>
      <c r="S47" s="3275"/>
      <c r="T47" s="3275">
        <f>G47</f>
        <v>9700</v>
      </c>
      <c r="U47" s="3275"/>
      <c r="V47" s="3275">
        <f>I47</f>
        <v>9800</v>
      </c>
      <c r="W47" s="3275"/>
      <c r="X47" s="754"/>
      <c r="Y47" s="776"/>
      <c r="Z47" s="754"/>
      <c r="AA47" s="754"/>
      <c r="AB47" s="754"/>
      <c r="AC47" s="754"/>
    </row>
    <row r="48" spans="1:29" ht="15.75" thickBot="1">
      <c r="A48" s="483" t="s">
        <v>2653</v>
      </c>
      <c r="B48" s="484"/>
      <c r="C48" s="1408" t="e">
        <f>R49</f>
        <v>#N/A</v>
      </c>
      <c r="D48" s="1409"/>
      <c r="E48" s="1410" t="e">
        <f>R48</f>
        <v>#N/A</v>
      </c>
      <c r="F48" s="1410"/>
      <c r="G48" s="1408" t="e">
        <f>T48</f>
        <v>#N/A</v>
      </c>
      <c r="H48" s="1409"/>
      <c r="I48" s="1410" t="e">
        <f>V48</f>
        <v>#N/A</v>
      </c>
      <c r="J48" s="1409"/>
      <c r="K48" s="779"/>
      <c r="L48" s="1140"/>
      <c r="M48" s="1141"/>
      <c r="N48" s="1128"/>
      <c r="O48" s="1141"/>
      <c r="P48" s="3269" t="str">
        <f>A48</f>
        <v>比较价值（元/平方米）</v>
      </c>
      <c r="Q48" s="3269"/>
      <c r="R48" s="3305" t="e">
        <f>IF(F1="售价",ROUND(PRODUCT(R47,AA7:AA46),0),ROUND(PRODUCT(R47,AA7:AA46),1))</f>
        <v>#N/A</v>
      </c>
      <c r="S48" s="3305"/>
      <c r="T48" s="3305" t="e">
        <f>IF(F1="售价",ROUND(PRODUCT(T47,AB7:AB46),0),ROUND(PRODUCT(T47,AB7:AB46),1))</f>
        <v>#N/A</v>
      </c>
      <c r="U48" s="3305"/>
      <c r="V48" s="3305" t="e">
        <f>IF(F1="售价",ROUND(PRODUCT(V47,AC7:AC46),0),ROUND(PRODUCT(V47,AC7:AC46),1))</f>
        <v>#N/A</v>
      </c>
      <c r="W48" s="3305"/>
      <c r="X48" s="754"/>
      <c r="Y48" s="754"/>
      <c r="Z48" s="754"/>
      <c r="AA48" s="754"/>
      <c r="AB48" s="754"/>
      <c r="AC48" s="754"/>
    </row>
    <row r="49" spans="1:29" ht="15.75" thickBot="1">
      <c r="A49" s="489" t="s">
        <v>2654</v>
      </c>
      <c r="B49" s="490"/>
      <c r="C49" s="1412" t="e">
        <f>R49</f>
        <v>#N/A</v>
      </c>
      <c r="D49" s="1412"/>
      <c r="E49" s="1412"/>
      <c r="F49" s="1412"/>
      <c r="G49" s="1412"/>
      <c r="H49" s="1412"/>
      <c r="I49" s="1412"/>
      <c r="J49" s="1412"/>
      <c r="K49" s="780"/>
      <c r="L49" s="1140"/>
      <c r="M49" s="1141"/>
      <c r="N49" s="1128"/>
      <c r="O49" s="1141"/>
      <c r="P49" s="3263" t="str">
        <f>A49</f>
        <v>估价对象XX用房的比较价值（楼面单价，元/平方米）</v>
      </c>
      <c r="Q49" s="3264"/>
      <c r="R49" s="3306" t="e">
        <f>IF(F1="售价",ROUND(AVERAGE(R48:V48),0),ROUND(AVERAGE(R48:V48),1))</f>
        <v>#N/A</v>
      </c>
      <c r="S49" s="3306"/>
      <c r="T49" s="3306"/>
      <c r="U49" s="3306"/>
      <c r="V49" s="3306"/>
      <c r="W49" s="3306"/>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2"/>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2"/>
      <c r="Q51" s="754"/>
      <c r="R51" s="754"/>
      <c r="S51" s="754"/>
      <c r="T51" s="754"/>
      <c r="U51" s="754"/>
      <c r="V51" s="754"/>
      <c r="W51" s="754"/>
      <c r="X51" s="754"/>
      <c r="Y51" s="754"/>
      <c r="Z51" s="754"/>
      <c r="AA51" s="754"/>
      <c r="AB51" s="754"/>
      <c r="AC51" s="754"/>
    </row>
    <row r="52" spans="1:29" ht="13.5" customHeight="1">
      <c r="A52" s="1141"/>
      <c r="B52" s="1141"/>
      <c r="C52" s="494" t="s">
        <v>2655</v>
      </c>
      <c r="D52" s="495"/>
      <c r="E52" s="496" t="e">
        <f>IF(E47&lt;E48,E48/E47-1,E47/E48-1)</f>
        <v>#N/A</v>
      </c>
      <c r="F52" s="497" t="e">
        <f>IF(OR(E52&gt;=0.3,E52&lt;=-0.3),"超过30%","")</f>
        <v>#N/A</v>
      </c>
      <c r="G52" s="496" t="e">
        <f>IF(G47&lt;G48,G48/G47-1,G47/G48-1)</f>
        <v>#N/A</v>
      </c>
      <c r="H52" s="497" t="e">
        <f>IF(OR(G52&gt;=0.3,G52&lt;=-0.3),"超过30%","")</f>
        <v>#N/A</v>
      </c>
      <c r="I52" s="496" t="e">
        <f>IF(I47&lt;I48,I48/I47-1,I47/I48-1)</f>
        <v>#N/A</v>
      </c>
      <c r="J52" s="497" t="e">
        <f>IF(OR(I52&gt;=0.3,I52&lt;=-0.3),"超过30%","")</f>
        <v>#N/A</v>
      </c>
      <c r="K52" s="1102"/>
      <c r="L52" s="1103"/>
      <c r="M52" s="1141"/>
      <c r="N52" s="1141"/>
      <c r="O52" s="1141"/>
      <c r="P52" s="672"/>
      <c r="Q52" s="754"/>
      <c r="R52" s="754"/>
      <c r="S52" s="754"/>
      <c r="T52" s="754"/>
      <c r="U52" s="754"/>
      <c r="V52" s="754"/>
      <c r="W52" s="754"/>
      <c r="X52" s="754"/>
      <c r="Y52" s="754"/>
      <c r="Z52" s="754"/>
      <c r="AA52" s="754"/>
      <c r="AB52" s="754"/>
      <c r="AC52" s="754"/>
    </row>
    <row r="53" spans="1:29" ht="13.5" customHeight="1">
      <c r="A53" s="1141"/>
      <c r="B53" s="1141"/>
      <c r="C53" s="494" t="s">
        <v>2656</v>
      </c>
      <c r="D53" s="498"/>
      <c r="E53" s="496" t="e">
        <f>IF(E48&lt;G48,G48/E48-1,E48/G48-1)</f>
        <v>#N/A</v>
      </c>
      <c r="F53" s="497" t="e">
        <f>IF(OR(E53&gt;=0.2,E53&lt;=-0.2),"超过20%","")</f>
        <v>#N/A</v>
      </c>
      <c r="G53" s="496" t="e">
        <f>IF(G48&lt;I48,I48/G48-1,G48/I48-1)</f>
        <v>#N/A</v>
      </c>
      <c r="H53" s="497" t="e">
        <f>IF(OR(G53&gt;=0.2,G53&lt;=-0.2),"超过20%","")</f>
        <v>#N/A</v>
      </c>
      <c r="I53" s="496" t="e">
        <f>IF(I48&lt;E48,E48/I48-1,I48/E48-1)</f>
        <v>#N/A</v>
      </c>
      <c r="J53" s="497" t="e">
        <f>IF(OR(I53&gt;=0.2,I53&lt;=-0.2),"超过20%","")</f>
        <v>#N/A</v>
      </c>
      <c r="K53" s="1102"/>
      <c r="L53" s="1103"/>
      <c r="M53" s="1141"/>
      <c r="N53" s="1141"/>
      <c r="O53" s="1141"/>
      <c r="P53" s="672"/>
      <c r="Q53" s="754"/>
      <c r="R53" s="754"/>
      <c r="S53" s="754"/>
      <c r="T53" s="754"/>
      <c r="U53" s="754"/>
      <c r="V53" s="754"/>
      <c r="W53" s="754"/>
      <c r="X53" s="754"/>
      <c r="Y53" s="754"/>
      <c r="Z53" s="754"/>
      <c r="AA53" s="754"/>
      <c r="AB53" s="754"/>
      <c r="AC53" s="754"/>
    </row>
    <row r="54" spans="1:29" s="499" customFormat="1" ht="13.5" customHeight="1">
      <c r="A54" s="1142"/>
      <c r="B54" s="1142"/>
      <c r="C54" s="494" t="s">
        <v>2657</v>
      </c>
      <c r="D54" s="498"/>
      <c r="E54" s="496">
        <f>IF(E47&lt;G47,G47/E47-1,E47/G47-1)</f>
        <v>2.1052631578947434E-2</v>
      </c>
      <c r="F54" s="497" t="str">
        <f>IF(OR(E54&gt;=0.3,E54&lt;=-0.3),"超过30%","")</f>
        <v/>
      </c>
      <c r="G54" s="496">
        <f>IF(G47&lt;I47,I47/G47-1,G47/I47-1)</f>
        <v>1.0309278350515427E-2</v>
      </c>
      <c r="H54" s="497" t="str">
        <f>IF(OR(G54&gt;=0.3,G54&lt;=-0.3),"超过30%","")</f>
        <v/>
      </c>
      <c r="I54" s="496">
        <f>IF(I47&lt;E47,E47/I47-1,I47/E47-1)</f>
        <v>3.1578947368421151E-2</v>
      </c>
      <c r="J54" s="497" t="str">
        <f>IF(OR(I54&gt;=0.3,I54&lt;=-0.3),"超过30%","")</f>
        <v/>
      </c>
      <c r="K54" s="1145"/>
      <c r="L54" s="1146"/>
      <c r="M54" s="1142"/>
      <c r="N54" s="1142"/>
      <c r="O54" s="1142"/>
      <c r="P54" s="2651"/>
      <c r="Q54" s="755"/>
      <c r="R54" s="755"/>
      <c r="S54" s="755"/>
      <c r="T54" s="755"/>
      <c r="U54" s="755"/>
      <c r="V54" s="755"/>
      <c r="W54" s="755"/>
      <c r="X54" s="755"/>
      <c r="Y54" s="755"/>
      <c r="Z54" s="755"/>
      <c r="AA54" s="755"/>
      <c r="AB54" s="755"/>
      <c r="AC54" s="755"/>
    </row>
    <row r="55" spans="1:29" s="499" customFormat="1">
      <c r="A55" s="1142"/>
      <c r="B55" s="1143"/>
      <c r="C55" s="1147"/>
      <c r="D55" s="1142"/>
      <c r="E55" s="1142"/>
      <c r="F55" s="1142"/>
      <c r="G55" s="1142"/>
      <c r="H55" s="1142"/>
      <c r="I55" s="1142"/>
      <c r="J55" s="1142"/>
      <c r="K55" s="1145"/>
      <c r="L55" s="1146"/>
      <c r="M55" s="1142"/>
      <c r="N55" s="1142"/>
      <c r="O55" s="1142"/>
      <c r="P55" s="2651"/>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2"/>
      <c r="Q56" s="754"/>
      <c r="R56" s="754"/>
      <c r="S56" s="754"/>
      <c r="T56" s="754"/>
      <c r="U56" s="754"/>
      <c r="V56" s="754"/>
      <c r="W56" s="754"/>
      <c r="X56" s="754"/>
      <c r="Y56" s="754"/>
      <c r="Z56" s="754"/>
      <c r="AA56" s="754"/>
      <c r="AB56" s="754"/>
      <c r="AC56" s="754"/>
    </row>
    <row r="57" spans="1:29" ht="21.75" thickBot="1">
      <c r="A57" s="758" t="s">
        <v>2658</v>
      </c>
      <c r="B57" s="754"/>
      <c r="C57" s="759"/>
      <c r="D57" s="759"/>
      <c r="E57" s="759"/>
      <c r="F57" s="760"/>
      <c r="G57" s="760"/>
      <c r="H57" s="759"/>
      <c r="I57" s="759"/>
      <c r="J57" s="759"/>
      <c r="K57" s="761"/>
      <c r="L57" s="1158"/>
      <c r="M57" s="1156"/>
      <c r="N57" s="1156"/>
      <c r="O57" s="1156"/>
      <c r="P57" s="2652"/>
      <c r="Q57" s="2653"/>
      <c r="R57" s="754"/>
      <c r="S57" s="754"/>
      <c r="T57" s="754"/>
      <c r="U57" s="754"/>
      <c r="V57" s="754"/>
      <c r="W57" s="754"/>
      <c r="X57" s="754"/>
      <c r="Y57" s="754"/>
      <c r="Z57" s="754"/>
      <c r="AA57" s="754"/>
      <c r="AB57" s="754"/>
      <c r="AC57" s="754"/>
    </row>
    <row r="58" spans="1:29" s="505" customFormat="1" ht="15">
      <c r="A58" s="502" t="s">
        <v>2532</v>
      </c>
      <c r="B58" s="503"/>
      <c r="C58" s="1568" t="str">
        <f>YEAR(C7)&amp;"-"&amp;MONTH(C7)</f>
        <v>2018-4</v>
      </c>
      <c r="D58" s="1569">
        <f>EDATE(C58,-1)</f>
        <v>43160</v>
      </c>
      <c r="E58" s="1569">
        <f t="shared" ref="E58:N58" si="16">EDATE(D58,-1)</f>
        <v>43132</v>
      </c>
      <c r="F58" s="1569">
        <f t="shared" si="16"/>
        <v>43101</v>
      </c>
      <c r="G58" s="1569">
        <f t="shared" si="16"/>
        <v>43070</v>
      </c>
      <c r="H58" s="1569">
        <f t="shared" si="16"/>
        <v>43040</v>
      </c>
      <c r="I58" s="1569">
        <f t="shared" si="16"/>
        <v>43009</v>
      </c>
      <c r="J58" s="1569">
        <f t="shared" si="16"/>
        <v>42979</v>
      </c>
      <c r="K58" s="1569">
        <f t="shared" si="16"/>
        <v>42948</v>
      </c>
      <c r="L58" s="1569">
        <f t="shared" si="16"/>
        <v>42917</v>
      </c>
      <c r="M58" s="1569">
        <f t="shared" si="16"/>
        <v>42887</v>
      </c>
      <c r="N58" s="1569">
        <f t="shared" si="16"/>
        <v>42856</v>
      </c>
      <c r="O58" s="1569">
        <f>EDATE(N58,-1)</f>
        <v>42826</v>
      </c>
      <c r="P58" s="1564"/>
    </row>
    <row r="59" spans="1:29" s="116"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2534</v>
      </c>
      <c r="B61" s="507"/>
      <c r="C61" s="519" t="s">
        <v>2636</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商业</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50"/>
      <c r="O66" s="1150"/>
      <c r="P66" s="2615"/>
      <c r="Q66" s="501"/>
    </row>
    <row r="67" spans="1:17" ht="15.75" thickTop="1">
      <c r="A67" s="531"/>
      <c r="B67" s="543" t="s">
        <v>2542</v>
      </c>
      <c r="C67" s="544" t="str">
        <f>C68&amp;"（含）"&amp;"-"&amp;D68</f>
        <v>0（含）-1</v>
      </c>
      <c r="D67" s="544" t="str">
        <f t="shared" ref="D67:L67" si="17">D68&amp;"（含）"&amp;"-"&amp;E68</f>
        <v>1（含）-2</v>
      </c>
      <c r="E67" s="544" t="str">
        <f t="shared" si="17"/>
        <v>2（含）-3</v>
      </c>
      <c r="F67" s="544" t="str">
        <f t="shared" si="17"/>
        <v>3（含）-4</v>
      </c>
      <c r="G67" s="544" t="str">
        <f t="shared" si="17"/>
        <v>4（含）-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33"/>
      <c r="E73" s="533"/>
      <c r="F73" s="533"/>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2639</v>
      </c>
      <c r="C82" s="657" t="s">
        <v>2659</v>
      </c>
      <c r="D82" s="657" t="s">
        <v>2660</v>
      </c>
      <c r="E82" s="657" t="s">
        <v>2661</v>
      </c>
      <c r="F82" s="657" t="s">
        <v>2662</v>
      </c>
      <c r="G82" s="657" t="s">
        <v>2663</v>
      </c>
      <c r="H82" s="536"/>
      <c r="I82" s="536"/>
      <c r="J82" s="536"/>
      <c r="K82" s="536"/>
      <c r="L82" s="536"/>
      <c r="M82" s="1377"/>
      <c r="N82" s="1150"/>
      <c r="O82" s="1150"/>
      <c r="P82" s="2615"/>
      <c r="Q82" s="501"/>
    </row>
    <row r="83" spans="1:17" ht="15.75" thickBot="1">
      <c r="A83" s="531"/>
      <c r="B83" s="543"/>
      <c r="C83" s="541">
        <v>100</v>
      </c>
      <c r="D83" s="541">
        <f>C83-$K21</f>
        <v>98</v>
      </c>
      <c r="E83" s="541">
        <f t="shared" ref="E83:G83" si="19">D83-$K21</f>
        <v>96</v>
      </c>
      <c r="F83" s="541">
        <f t="shared" si="19"/>
        <v>94</v>
      </c>
      <c r="G83" s="541">
        <f t="shared" si="19"/>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2664</v>
      </c>
      <c r="C86" s="2940" t="s">
        <v>3472</v>
      </c>
      <c r="D86" s="2940" t="s">
        <v>3473</v>
      </c>
      <c r="E86" s="2940" t="s">
        <v>3474</v>
      </c>
      <c r="F86" s="2940" t="s">
        <v>3475</v>
      </c>
      <c r="G86" s="551"/>
      <c r="H86" s="551"/>
      <c r="I86" s="551"/>
      <c r="J86" s="551"/>
      <c r="K86" s="551"/>
      <c r="L86" s="577"/>
      <c r="M86" s="578"/>
      <c r="N86" s="1148"/>
      <c r="O86" s="1148"/>
      <c r="P86" s="2615"/>
      <c r="Q86" s="501"/>
    </row>
    <row r="87" spans="1:17" s="116"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50"/>
      <c r="O87" s="1150"/>
      <c r="P87" s="2615"/>
      <c r="Q87" s="501"/>
    </row>
    <row r="88" spans="1:17" s="116" customFormat="1" ht="15.75" thickTop="1">
      <c r="A88" s="576"/>
      <c r="B88" s="535" t="str">
        <f>B26</f>
        <v>平面位置/可视性</v>
      </c>
      <c r="C88" s="2940" t="s">
        <v>3476</v>
      </c>
      <c r="D88" s="2940" t="s">
        <v>3477</v>
      </c>
      <c r="E88" s="2940" t="s">
        <v>3478</v>
      </c>
      <c r="F88" s="3047" t="s">
        <v>3479</v>
      </c>
      <c r="G88" s="2940" t="s">
        <v>3480</v>
      </c>
      <c r="H88" s="551"/>
      <c r="I88" s="551"/>
      <c r="J88" s="551"/>
      <c r="K88" s="551"/>
      <c r="L88" s="551"/>
      <c r="M88" s="578"/>
      <c r="N88" s="1148"/>
      <c r="O88" s="1148"/>
      <c r="P88" s="2615"/>
      <c r="Q88" s="501"/>
    </row>
    <row r="89" spans="1:17" s="116" customFormat="1" ht="15.75" thickBot="1">
      <c r="A89" s="576"/>
      <c r="B89" s="540"/>
      <c r="C89" s="557">
        <v>100</v>
      </c>
      <c r="D89" s="533">
        <v>99</v>
      </c>
      <c r="E89" s="557">
        <v>98</v>
      </c>
      <c r="F89" s="533">
        <v>97</v>
      </c>
      <c r="G89" s="557">
        <v>96</v>
      </c>
      <c r="H89" s="533"/>
      <c r="I89" s="533"/>
      <c r="J89" s="533"/>
      <c r="K89" s="533"/>
      <c r="L89" s="533"/>
      <c r="M89" s="533"/>
      <c r="N89" s="1150"/>
      <c r="O89" s="1150"/>
      <c r="P89" s="2615"/>
      <c r="Q89" s="501"/>
    </row>
    <row r="90" spans="1:17" s="468" customFormat="1" ht="15.75" thickTop="1">
      <c r="A90" s="550"/>
      <c r="B90" s="535" t="str">
        <f>B27</f>
        <v>人流量</v>
      </c>
      <c r="C90" s="2940" t="s">
        <v>3476</v>
      </c>
      <c r="D90" s="2940" t="s">
        <v>3477</v>
      </c>
      <c r="E90" s="2940" t="s">
        <v>3478</v>
      </c>
      <c r="F90" s="3047" t="s">
        <v>3479</v>
      </c>
      <c r="G90" s="2940" t="s">
        <v>3480</v>
      </c>
      <c r="H90" s="552"/>
      <c r="I90" s="552"/>
      <c r="J90" s="552"/>
      <c r="K90" s="552"/>
      <c r="L90" s="553"/>
      <c r="M90" s="554"/>
      <c r="N90" s="1151"/>
      <c r="O90" s="1151"/>
      <c r="P90" s="2616"/>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1"/>
      <c r="O91" s="1151"/>
      <c r="P91" s="2616"/>
      <c r="Q91" s="556"/>
    </row>
    <row r="92" spans="1:17" ht="15.75" thickTop="1">
      <c r="A92" s="531"/>
      <c r="B92" s="535" t="str">
        <f>B28</f>
        <v>楼层</v>
      </c>
      <c r="C92" s="551" t="s">
        <v>3481</v>
      </c>
      <c r="D92" s="551" t="s">
        <v>3516</v>
      </c>
      <c r="E92" s="551" t="s">
        <v>3482</v>
      </c>
      <c r="F92" s="551" t="s">
        <v>3483</v>
      </c>
      <c r="G92" s="551" t="s">
        <v>3484</v>
      </c>
      <c r="H92" s="551"/>
      <c r="I92" s="551"/>
      <c r="J92" s="551"/>
      <c r="K92" s="551"/>
      <c r="L92" s="577"/>
      <c r="M92" s="578"/>
      <c r="N92" s="1149"/>
      <c r="O92" s="1149"/>
      <c r="P92" s="2615"/>
      <c r="Q92" s="501"/>
    </row>
    <row r="93" spans="1:17" ht="15.75" thickBot="1">
      <c r="A93" s="531"/>
      <c r="B93" s="540"/>
      <c r="C93" s="533">
        <v>100</v>
      </c>
      <c r="D93" s="533">
        <v>90</v>
      </c>
      <c r="E93" s="533">
        <v>75</v>
      </c>
      <c r="F93" s="533">
        <v>65</v>
      </c>
      <c r="G93" s="533">
        <v>55</v>
      </c>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33"/>
      <c r="E95" s="533"/>
      <c r="F95" s="533"/>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57"/>
      <c r="D97" s="533"/>
      <c r="E97" s="533"/>
      <c r="F97" s="533"/>
      <c r="G97" s="533"/>
      <c r="H97" s="533"/>
      <c r="I97" s="533"/>
      <c r="J97" s="533"/>
      <c r="K97" s="533"/>
      <c r="L97" s="533"/>
      <c r="M97" s="534"/>
      <c r="N97" s="1150"/>
      <c r="O97" s="1150"/>
      <c r="P97" s="2615"/>
      <c r="Q97" s="501"/>
    </row>
    <row r="98" spans="1:17" ht="15.75" thickTop="1">
      <c r="A98" s="531"/>
      <c r="B98" s="543">
        <f>B31</f>
        <v>111</v>
      </c>
      <c r="C98" s="551"/>
      <c r="D98" s="551"/>
      <c r="E98" s="551"/>
      <c r="F98" s="551"/>
      <c r="G98" s="584"/>
      <c r="H98" s="584"/>
      <c r="I98" s="584"/>
      <c r="J98" s="584"/>
      <c r="K98" s="585"/>
      <c r="L98" s="586"/>
      <c r="M98" s="587"/>
      <c r="N98" s="1149"/>
      <c r="O98" s="1149"/>
      <c r="P98" s="2615"/>
      <c r="Q98" s="501"/>
    </row>
    <row r="99" spans="1:17" ht="15.75" thickBot="1">
      <c r="A99" s="2621"/>
      <c r="B99" s="566"/>
      <c r="C99" s="567"/>
      <c r="D99" s="567"/>
      <c r="E99" s="567"/>
      <c r="F99" s="567"/>
      <c r="G99" s="588"/>
      <c r="H99" s="588"/>
      <c r="I99" s="588"/>
      <c r="J99" s="588"/>
      <c r="K99" s="588"/>
      <c r="L99" s="588"/>
      <c r="M99" s="589"/>
      <c r="N99" s="1150"/>
      <c r="O99" s="1150"/>
      <c r="P99" s="2615"/>
      <c r="Q99" s="501"/>
    </row>
    <row r="100" spans="1:17">
      <c r="A100" s="524" t="s">
        <v>2547</v>
      </c>
      <c r="B100" s="525" t="s">
        <v>2665</v>
      </c>
      <c r="C100" s="2942" t="s">
        <v>3486</v>
      </c>
      <c r="D100" s="2942" t="s">
        <v>3487</v>
      </c>
      <c r="E100" s="2942" t="s">
        <v>3489</v>
      </c>
      <c r="F100" s="527"/>
      <c r="G100" s="527"/>
      <c r="H100" s="527"/>
      <c r="I100" s="527"/>
      <c r="J100" s="527"/>
      <c r="K100" s="528"/>
      <c r="L100" s="529"/>
      <c r="M100" s="530"/>
      <c r="N100" s="1149"/>
      <c r="O100" s="1149"/>
      <c r="P100" s="2615"/>
      <c r="Q100" s="501"/>
    </row>
    <row r="101" spans="1:17" ht="15.75" thickBot="1">
      <c r="A101" s="531"/>
      <c r="B101" s="540"/>
      <c r="C101" s="541">
        <v>100</v>
      </c>
      <c r="D101" s="541">
        <f t="shared" ref="D101:M101" si="22">C101-$K32</f>
        <v>98</v>
      </c>
      <c r="E101" s="541">
        <f t="shared" si="22"/>
        <v>96</v>
      </c>
      <c r="F101" s="541">
        <f t="shared" si="22"/>
        <v>94</v>
      </c>
      <c r="G101" s="541">
        <f t="shared" si="22"/>
        <v>92</v>
      </c>
      <c r="H101" s="541">
        <f t="shared" si="22"/>
        <v>90</v>
      </c>
      <c r="I101" s="541">
        <f t="shared" si="22"/>
        <v>88</v>
      </c>
      <c r="J101" s="541">
        <f t="shared" si="22"/>
        <v>86</v>
      </c>
      <c r="K101" s="541">
        <f t="shared" si="22"/>
        <v>84</v>
      </c>
      <c r="L101" s="541">
        <f t="shared" si="22"/>
        <v>82</v>
      </c>
      <c r="M101" s="542">
        <f t="shared" si="22"/>
        <v>80</v>
      </c>
      <c r="N101" s="1150"/>
      <c r="O101" s="1150"/>
      <c r="P101" s="2615"/>
      <c r="Q101" s="501"/>
    </row>
    <row r="102" spans="1:17" ht="15.75" thickTop="1">
      <c r="A102" s="531"/>
      <c r="B102" s="535" t="s">
        <v>2597</v>
      </c>
      <c r="C102" s="575" t="str">
        <f>C103&amp;"(含)"&amp;"-"&amp;D103</f>
        <v>0(含)-100</v>
      </c>
      <c r="D102" s="575" t="str">
        <f t="shared" ref="D102:L102" si="23">D103&amp;"(含)"&amp;"-"&amp;E103</f>
        <v>100(含)-200</v>
      </c>
      <c r="E102" s="575" t="str">
        <f t="shared" si="23"/>
        <v>200(含)-300</v>
      </c>
      <c r="F102" s="575" t="str">
        <f t="shared" si="23"/>
        <v>300(含)-400</v>
      </c>
      <c r="G102" s="575" t="str">
        <f t="shared" si="23"/>
        <v>400(含)-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15"/>
      <c r="Q102" s="501"/>
    </row>
    <row r="103" spans="1:17" s="468" customFormat="1">
      <c r="A103" s="590"/>
      <c r="B103" s="591"/>
      <c r="C103" s="592">
        <v>0</v>
      </c>
      <c r="D103" s="592">
        <v>100</v>
      </c>
      <c r="E103" s="592">
        <v>200</v>
      </c>
      <c r="F103" s="592">
        <v>300</v>
      </c>
      <c r="G103" s="592">
        <v>400</v>
      </c>
      <c r="H103" s="592"/>
      <c r="I103" s="592"/>
      <c r="J103" s="593"/>
      <c r="K103" s="593"/>
      <c r="L103" s="594"/>
      <c r="M103" s="595"/>
      <c r="N103" s="1151"/>
      <c r="O103" s="1151"/>
      <c r="P103" s="2616"/>
      <c r="Q103" s="556"/>
    </row>
    <row r="104" spans="1:17" s="468" customFormat="1" ht="15.75" thickBot="1">
      <c r="A104" s="550"/>
      <c r="B104" s="540"/>
      <c r="C104" s="557">
        <v>100</v>
      </c>
      <c r="D104" s="533">
        <v>99</v>
      </c>
      <c r="E104" s="533">
        <v>98</v>
      </c>
      <c r="F104" s="557">
        <v>97</v>
      </c>
      <c r="G104" s="533">
        <v>96</v>
      </c>
      <c r="H104" s="533"/>
      <c r="I104" s="533"/>
      <c r="J104" s="533"/>
      <c r="K104" s="533"/>
      <c r="L104" s="533"/>
      <c r="M104" s="534"/>
      <c r="N104" s="1150"/>
      <c r="O104" s="1150"/>
      <c r="P104" s="2616"/>
      <c r="Q104" s="556"/>
    </row>
    <row r="105" spans="1:17" ht="15" thickTop="1">
      <c r="A105" s="596"/>
      <c r="B105" s="535" t="s">
        <v>2598</v>
      </c>
      <c r="C105" s="2940" t="s">
        <v>3490</v>
      </c>
      <c r="D105" s="2940" t="s">
        <v>3491</v>
      </c>
      <c r="E105" s="2941" t="s">
        <v>3492</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50"/>
      <c r="O106" s="1150"/>
      <c r="P106" s="2615"/>
      <c r="Q106" s="501"/>
    </row>
    <row r="107" spans="1:17" ht="15" thickTop="1">
      <c r="A107" s="596"/>
      <c r="B107" s="535" t="s">
        <v>2600</v>
      </c>
      <c r="C107" s="2940" t="s">
        <v>3493</v>
      </c>
      <c r="D107" s="2940" t="s">
        <v>3494</v>
      </c>
      <c r="E107" s="2940" t="s">
        <v>3496</v>
      </c>
      <c r="F107" s="2941" t="s">
        <v>3497</v>
      </c>
      <c r="G107" s="580"/>
      <c r="H107" s="580"/>
      <c r="I107" s="580"/>
      <c r="J107" s="580"/>
      <c r="K107" s="581"/>
      <c r="L107" s="582"/>
      <c r="M107" s="583"/>
      <c r="N107" s="1149"/>
      <c r="O107" s="1149"/>
      <c r="P107" s="2615"/>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50"/>
      <c r="O108" s="1150"/>
      <c r="P108" s="2615"/>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15"/>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15"/>
      <c r="Q110" s="501"/>
    </row>
    <row r="111" spans="1:17" ht="15.75" thickBot="1">
      <c r="A111" s="531"/>
      <c r="B111" s="540"/>
      <c r="C111" s="579">
        <v>100</v>
      </c>
      <c r="D111" s="541">
        <f>C111+$K36</f>
        <v>102</v>
      </c>
      <c r="E111" s="541">
        <f t="shared" ref="E111:M111" si="26">D111+$K36</f>
        <v>104</v>
      </c>
      <c r="F111" s="541">
        <f t="shared" si="26"/>
        <v>106</v>
      </c>
      <c r="G111" s="541">
        <f t="shared" si="26"/>
        <v>108</v>
      </c>
      <c r="H111" s="541">
        <f t="shared" si="26"/>
        <v>110</v>
      </c>
      <c r="I111" s="541">
        <f t="shared" si="26"/>
        <v>112</v>
      </c>
      <c r="J111" s="541">
        <f t="shared" si="26"/>
        <v>114</v>
      </c>
      <c r="K111" s="541">
        <f t="shared" si="26"/>
        <v>116</v>
      </c>
      <c r="L111" s="541">
        <f t="shared" si="26"/>
        <v>118</v>
      </c>
      <c r="M111" s="541">
        <f t="shared" si="26"/>
        <v>120</v>
      </c>
      <c r="N111" s="1150"/>
      <c r="O111" s="1150"/>
      <c r="P111" s="2615"/>
      <c r="Q111" s="501"/>
    </row>
    <row r="112" spans="1:17" s="468" customFormat="1" ht="15" thickTop="1">
      <c r="A112" s="590"/>
      <c r="B112" s="535" t="s">
        <v>2602</v>
      </c>
      <c r="C112" s="2940" t="s">
        <v>3498</v>
      </c>
      <c r="D112" s="2940" t="s">
        <v>3500</v>
      </c>
      <c r="E112" s="2940" t="s">
        <v>3501</v>
      </c>
      <c r="F112" s="2940" t="s">
        <v>3502</v>
      </c>
      <c r="G112" s="2940" t="s">
        <v>3503</v>
      </c>
      <c r="H112" s="580"/>
      <c r="I112" s="580"/>
      <c r="J112" s="580"/>
      <c r="K112" s="581"/>
      <c r="L112" s="582"/>
      <c r="M112" s="583"/>
      <c r="N112" s="1151"/>
      <c r="O112" s="1151"/>
      <c r="P112" s="2616"/>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1"/>
      <c r="O113" s="1151"/>
      <c r="P113" s="2616"/>
      <c r="Q113" s="556"/>
    </row>
    <row r="114" spans="1:17" ht="15" thickTop="1">
      <c r="A114" s="596"/>
      <c r="B114" s="535" t="s">
        <v>2666</v>
      </c>
      <c r="C114" s="2940" t="s">
        <v>3505</v>
      </c>
      <c r="D114" s="2940" t="s">
        <v>3506</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28">C115-$K38</f>
        <v>98</v>
      </c>
      <c r="E115" s="541">
        <f t="shared" si="28"/>
        <v>96</v>
      </c>
      <c r="F115" s="541">
        <f t="shared" si="28"/>
        <v>94</v>
      </c>
      <c r="G115" s="541">
        <f t="shared" si="28"/>
        <v>92</v>
      </c>
      <c r="H115" s="541">
        <f t="shared" si="28"/>
        <v>90</v>
      </c>
      <c r="I115" s="541">
        <f t="shared" si="28"/>
        <v>88</v>
      </c>
      <c r="J115" s="541">
        <f t="shared" si="28"/>
        <v>86</v>
      </c>
      <c r="K115" s="541">
        <f t="shared" si="28"/>
        <v>84</v>
      </c>
      <c r="L115" s="541">
        <f t="shared" si="28"/>
        <v>82</v>
      </c>
      <c r="M115" s="542">
        <f t="shared" si="28"/>
        <v>80</v>
      </c>
      <c r="N115" s="1150"/>
      <c r="O115" s="1150"/>
      <c r="P115" s="2615"/>
      <c r="Q115" s="501"/>
    </row>
    <row r="116" spans="1:17" ht="15" thickTop="1">
      <c r="A116" s="596"/>
      <c r="B116" s="535" t="s">
        <v>2667</v>
      </c>
      <c r="C116" s="2940" t="s">
        <v>3507</v>
      </c>
      <c r="D116" s="2940" t="s">
        <v>3509</v>
      </c>
      <c r="E116" s="551"/>
      <c r="F116" s="551"/>
      <c r="G116" s="551"/>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2668</v>
      </c>
      <c r="C118" s="624"/>
      <c r="D118" s="624"/>
      <c r="E118" s="624"/>
      <c r="F118" s="624"/>
      <c r="G118" s="624"/>
      <c r="H118" s="552"/>
      <c r="I118" s="552"/>
      <c r="J118" s="552"/>
      <c r="K118" s="552"/>
      <c r="L118" s="553"/>
      <c r="M118" s="554"/>
      <c r="N118" s="1149"/>
      <c r="O118" s="1149"/>
      <c r="P118" s="2615"/>
      <c r="Q118" s="501"/>
    </row>
    <row r="119" spans="1:17" ht="15.75" thickBot="1">
      <c r="A119" s="531"/>
      <c r="B119" s="540"/>
      <c r="C119" s="557"/>
      <c r="D119" s="533"/>
      <c r="E119" s="533"/>
      <c r="F119" s="533"/>
      <c r="G119" s="533"/>
      <c r="H119" s="533"/>
      <c r="I119" s="533"/>
      <c r="J119" s="533"/>
      <c r="K119" s="533"/>
      <c r="L119" s="533"/>
      <c r="M119" s="534"/>
      <c r="N119" s="1150"/>
      <c r="O119" s="1150"/>
      <c r="P119" s="2615"/>
      <c r="Q119" s="501"/>
    </row>
    <row r="120" spans="1:17" s="468" customFormat="1" ht="15" thickTop="1">
      <c r="A120" s="590"/>
      <c r="B120" s="535" t="s">
        <v>2669</v>
      </c>
      <c r="C120" s="2941" t="s">
        <v>3510</v>
      </c>
      <c r="D120" s="2941" t="s">
        <v>3512</v>
      </c>
      <c r="E120" s="2941" t="s">
        <v>3513</v>
      </c>
      <c r="F120" s="2941" t="s">
        <v>3514</v>
      </c>
      <c r="G120" s="552"/>
      <c r="H120" s="552"/>
      <c r="I120" s="552"/>
      <c r="J120" s="552"/>
      <c r="K120" s="552"/>
      <c r="L120" s="553"/>
      <c r="M120" s="554"/>
      <c r="N120" s="1151"/>
      <c r="O120" s="1151"/>
      <c r="P120" s="2616"/>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1"/>
      <c r="O121" s="1151"/>
      <c r="P121" s="2616"/>
      <c r="Q121" s="556"/>
    </row>
    <row r="122" spans="1:17" ht="15" thickTop="1">
      <c r="A122" s="596"/>
      <c r="B122" s="535" t="s">
        <v>2604</v>
      </c>
      <c r="C122" s="2940" t="s">
        <v>3493</v>
      </c>
      <c r="D122" s="2940" t="s">
        <v>3494</v>
      </c>
      <c r="E122" s="2940" t="s">
        <v>3496</v>
      </c>
      <c r="F122" s="2941" t="s">
        <v>3497</v>
      </c>
      <c r="G122" s="580"/>
      <c r="H122" s="580"/>
      <c r="I122" s="580"/>
      <c r="J122" s="580"/>
      <c r="K122" s="581"/>
      <c r="L122" s="582"/>
      <c r="M122" s="583"/>
      <c r="N122" s="1149"/>
      <c r="O122" s="1149"/>
      <c r="P122" s="2615"/>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33"/>
      <c r="E129" s="533"/>
      <c r="F129" s="533"/>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 ca="1">IF(C2="——",ROUND(C50*D3/10000,0),ROUND(C50*D3/10000,0)-D2)</f>
        <v>#DIV/0!</v>
      </c>
      <c r="C2" s="2571" t="s">
        <v>3113</v>
      </c>
      <c r="D2" s="1360"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1395</v>
      </c>
      <c r="B3" s="606" t="e">
        <f ca="1">IF(C2="——",C50,ROUND(B2*10000/D3,0))</f>
        <v>#DIV/0!</v>
      </c>
      <c r="C3" s="398" t="s">
        <v>2518</v>
      </c>
      <c r="D3" s="397">
        <f>IF(D1="",'数据-汇总表'!E3,SUMIF('数据-汇总表'!$C19:$C33,D1,'数据-汇总表'!$E19:$E33))</f>
        <v>0</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2519</v>
      </c>
      <c r="B4" s="400"/>
      <c r="C4" s="3266" t="s">
        <v>2520</v>
      </c>
      <c r="D4" s="3279"/>
      <c r="E4" s="3280" t="s">
        <v>2521</v>
      </c>
      <c r="F4" s="3281"/>
      <c r="G4" s="3266" t="s">
        <v>2522</v>
      </c>
      <c r="H4" s="3279"/>
      <c r="I4" s="3266" t="s">
        <v>2523</v>
      </c>
      <c r="J4" s="3279"/>
      <c r="K4" s="607" t="s">
        <v>2524</v>
      </c>
      <c r="L4" s="1127"/>
      <c r="M4" s="1128"/>
      <c r="N4" s="1128"/>
      <c r="O4" s="1128"/>
      <c r="P4" s="3321" t="s">
        <v>2525</v>
      </c>
      <c r="Q4" s="3322"/>
      <c r="R4" s="3325" t="s">
        <v>2521</v>
      </c>
      <c r="S4" s="3326"/>
      <c r="T4" s="3325" t="s">
        <v>2522</v>
      </c>
      <c r="U4" s="3326"/>
      <c r="V4" s="3327" t="s">
        <v>2523</v>
      </c>
      <c r="W4" s="3327"/>
      <c r="X4" s="2932"/>
      <c r="Y4" s="3325" t="s">
        <v>2525</v>
      </c>
      <c r="Z4" s="3326"/>
      <c r="AA4" s="3329" t="s">
        <v>2521</v>
      </c>
      <c r="AB4" s="3329" t="s">
        <v>2522</v>
      </c>
      <c r="AC4" s="3318" t="s">
        <v>2523</v>
      </c>
    </row>
    <row r="5" spans="1:29" ht="15">
      <c r="A5" s="402"/>
      <c r="B5" s="403"/>
      <c r="C5" s="3296" t="s">
        <v>2526</v>
      </c>
      <c r="D5" s="3297"/>
      <c r="E5" s="3303" t="s">
        <v>2527</v>
      </c>
      <c r="F5" s="3304"/>
      <c r="G5" s="3296" t="s">
        <v>2528</v>
      </c>
      <c r="H5" s="3297"/>
      <c r="I5" s="3296" t="s">
        <v>2529</v>
      </c>
      <c r="J5" s="3297"/>
      <c r="K5" s="607"/>
      <c r="L5" s="1127"/>
      <c r="M5" s="1128"/>
      <c r="N5" s="1128"/>
      <c r="O5" s="1128"/>
      <c r="P5" s="3323"/>
      <c r="Q5" s="3285"/>
      <c r="R5" s="3290"/>
      <c r="S5" s="3291"/>
      <c r="T5" s="3290"/>
      <c r="U5" s="3291"/>
      <c r="V5" s="3275"/>
      <c r="W5" s="3275"/>
      <c r="X5" s="2930"/>
      <c r="Y5" s="3290"/>
      <c r="Z5" s="3291"/>
      <c r="AA5" s="3277"/>
      <c r="AB5" s="3277"/>
      <c r="AC5" s="3319"/>
    </row>
    <row r="6" spans="1:29" ht="15.75" thickBot="1">
      <c r="A6" s="404"/>
      <c r="B6" s="405"/>
      <c r="C6" s="3294"/>
      <c r="D6" s="3295"/>
      <c r="E6" s="3301" t="s">
        <v>2530</v>
      </c>
      <c r="F6" s="3302"/>
      <c r="G6" s="3294" t="s">
        <v>2530</v>
      </c>
      <c r="H6" s="3295"/>
      <c r="I6" s="3294" t="s">
        <v>2530</v>
      </c>
      <c r="J6" s="3295"/>
      <c r="K6" s="607" t="s">
        <v>2531</v>
      </c>
      <c r="L6" s="1127"/>
      <c r="M6" s="1128"/>
      <c r="N6" s="1128"/>
      <c r="O6" s="1128"/>
      <c r="P6" s="3324"/>
      <c r="Q6" s="3287"/>
      <c r="R6" s="3290"/>
      <c r="S6" s="3291"/>
      <c r="T6" s="3292"/>
      <c r="U6" s="3293"/>
      <c r="V6" s="3275"/>
      <c r="W6" s="3275"/>
      <c r="X6" s="2930"/>
      <c r="Y6" s="3292"/>
      <c r="Z6" s="3293"/>
      <c r="AA6" s="3278"/>
      <c r="AB6" s="3278"/>
      <c r="AC6" s="3320"/>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8"/>
      <c r="L7" s="1129"/>
      <c r="M7" s="1130"/>
      <c r="N7" s="1130"/>
      <c r="O7" s="1130"/>
      <c r="P7" s="332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2656"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8"/>
      <c r="L8" s="1129"/>
      <c r="M8" s="1130"/>
      <c r="N8" s="1130"/>
      <c r="O8" s="1130"/>
      <c r="P8" s="3328" t="s">
        <v>2536</v>
      </c>
      <c r="Q8" s="3299"/>
      <c r="R8" s="765" t="s">
        <v>17</v>
      </c>
      <c r="S8" s="766">
        <f t="shared" si="0"/>
        <v>0</v>
      </c>
      <c r="T8" s="765" t="s">
        <v>17</v>
      </c>
      <c r="U8" s="766">
        <f t="shared" si="1"/>
        <v>0</v>
      </c>
      <c r="V8" s="765" t="s">
        <v>17</v>
      </c>
      <c r="W8" s="766">
        <f t="shared" si="2"/>
        <v>0</v>
      </c>
      <c r="X8" s="767"/>
      <c r="Y8" s="3298" t="s">
        <v>2536</v>
      </c>
      <c r="Z8" s="3299"/>
      <c r="AA8" s="768" t="e">
        <f t="shared" ref="AA8:AA47" si="3">D8/F8</f>
        <v>#DIV/0!</v>
      </c>
      <c r="AB8" s="768" t="e">
        <f t="shared" ref="AB8:AB47" si="4">D8/H8</f>
        <v>#DIV/0!</v>
      </c>
      <c r="AC8" s="2656" t="e">
        <f t="shared" ref="AC8:AC47" si="5">D8/J8</f>
        <v>#DIV/0!</v>
      </c>
    </row>
    <row r="9" spans="1:29" s="116" customFormat="1">
      <c r="A9" s="413" t="s">
        <v>2537</v>
      </c>
      <c r="B9" s="71" t="s">
        <v>2538</v>
      </c>
      <c r="C9" s="2934" t="s">
        <v>3079</v>
      </c>
      <c r="D9" s="133">
        <v>100</v>
      </c>
      <c r="E9" s="417"/>
      <c r="F9" s="133">
        <f>SUMIF(64:64,E9,65:65)-SUMIF(64:64,C9,65:65)+100</f>
        <v>0</v>
      </c>
      <c r="G9" s="415"/>
      <c r="H9" s="133">
        <f>SUMIF(64:64,G9,65:65)-SUMIF(64:64,C9,65:65)+100</f>
        <v>0</v>
      </c>
      <c r="I9" s="415"/>
      <c r="J9" s="133">
        <f>SUMIF(64:64,I9,65:65)-SUMIF(64:64,C9,65:65)+100</f>
        <v>0</v>
      </c>
      <c r="K9" s="608"/>
      <c r="L9" s="1129"/>
      <c r="M9" s="1130"/>
      <c r="N9" s="1130"/>
      <c r="O9" s="1130"/>
      <c r="P9" s="3268" t="s">
        <v>2539</v>
      </c>
      <c r="Q9" s="2924" t="str">
        <f t="shared" ref="Q9:Q15" si="6">B9</f>
        <v>用途</v>
      </c>
      <c r="R9" s="765" t="s">
        <v>17</v>
      </c>
      <c r="S9" s="766">
        <f t="shared" si="0"/>
        <v>0</v>
      </c>
      <c r="T9" s="765" t="s">
        <v>17</v>
      </c>
      <c r="U9" s="766">
        <f t="shared" si="1"/>
        <v>0</v>
      </c>
      <c r="V9" s="765" t="s">
        <v>17</v>
      </c>
      <c r="W9" s="766">
        <f t="shared" si="2"/>
        <v>0</v>
      </c>
      <c r="X9" s="767"/>
      <c r="Y9" s="3117" t="s">
        <v>2540</v>
      </c>
      <c r="Z9" s="2925" t="str">
        <f t="shared" ref="Z9:Z15" si="7">Q9</f>
        <v>用途</v>
      </c>
      <c r="AA9" s="768" t="e">
        <f t="shared" si="3"/>
        <v>#DIV/0!</v>
      </c>
      <c r="AB9" s="768" t="e">
        <f t="shared" si="4"/>
        <v>#DIV/0!</v>
      </c>
      <c r="AC9" s="2656" t="e">
        <f t="shared" si="5"/>
        <v>#DIV/0!</v>
      </c>
    </row>
    <row r="10" spans="1:29" s="424" customFormat="1" ht="27">
      <c r="A10" s="418"/>
      <c r="B10" s="2926" t="s">
        <v>2541</v>
      </c>
      <c r="C10" s="420" t="s">
        <v>3050</v>
      </c>
      <c r="D10" s="134">
        <v>100</v>
      </c>
      <c r="E10" s="420"/>
      <c r="F10" s="134">
        <f>SUMIF(66:66,E10,67:67)-SUMIF(66:66,C10,67:67)+100</f>
        <v>0</v>
      </c>
      <c r="G10" s="421"/>
      <c r="H10" s="134">
        <f>SUMIF(66:66,G10,67:67)-SUMIF(66:66,C10,67:67)+100</f>
        <v>0</v>
      </c>
      <c r="I10" s="420"/>
      <c r="J10" s="134">
        <f>SUMIF(66:66,I10,67:67)-SUMIF(66:66,C10,67:67)+100</f>
        <v>0</v>
      </c>
      <c r="K10" s="609"/>
      <c r="L10" s="1132"/>
      <c r="M10" s="1133"/>
      <c r="N10" s="1133"/>
      <c r="O10" s="1133"/>
      <c r="P10" s="3268"/>
      <c r="Q10" s="2924" t="str">
        <f t="shared" si="6"/>
        <v>土地使用年限（年）</v>
      </c>
      <c r="R10" s="765" t="s">
        <v>17</v>
      </c>
      <c r="S10" s="766">
        <f t="shared" si="0"/>
        <v>0</v>
      </c>
      <c r="T10" s="765" t="s">
        <v>17</v>
      </c>
      <c r="U10" s="766">
        <f t="shared" si="1"/>
        <v>0</v>
      </c>
      <c r="V10" s="765" t="s">
        <v>17</v>
      </c>
      <c r="W10" s="766">
        <f t="shared" si="2"/>
        <v>0</v>
      </c>
      <c r="X10" s="767"/>
      <c r="Y10" s="3117"/>
      <c r="Z10" s="2925" t="str">
        <f t="shared" si="7"/>
        <v>土地使用年限（年）</v>
      </c>
      <c r="AA10" s="768" t="e">
        <f t="shared" si="3"/>
        <v>#DIV/0!</v>
      </c>
      <c r="AB10" s="768" t="e">
        <f t="shared" si="4"/>
        <v>#DIV/0!</v>
      </c>
      <c r="AC10" s="2656" t="e">
        <f t="shared" si="5"/>
        <v>#DIV/0!</v>
      </c>
    </row>
    <row r="11" spans="1:29" ht="15">
      <c r="A11" s="425"/>
      <c r="B11" s="2926" t="s">
        <v>2542</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35"/>
      <c r="M11" s="1128"/>
      <c r="N11" s="1128"/>
      <c r="O11" s="1128"/>
      <c r="P11" s="3268"/>
      <c r="Q11" s="2924" t="str">
        <f t="shared" si="6"/>
        <v>容积率</v>
      </c>
      <c r="R11" s="765" t="s">
        <v>17</v>
      </c>
      <c r="S11" s="766" t="e">
        <f t="shared" si="0"/>
        <v>#N/A</v>
      </c>
      <c r="T11" s="765" t="s">
        <v>17</v>
      </c>
      <c r="U11" s="766" t="e">
        <f t="shared" si="1"/>
        <v>#N/A</v>
      </c>
      <c r="V11" s="765" t="s">
        <v>17</v>
      </c>
      <c r="W11" s="766" t="e">
        <f t="shared" si="2"/>
        <v>#N/A</v>
      </c>
      <c r="X11" s="767"/>
      <c r="Y11" s="3117"/>
      <c r="Z11" s="2925" t="str">
        <f t="shared" si="7"/>
        <v>容积率</v>
      </c>
      <c r="AA11" s="768" t="e">
        <f t="shared" si="3"/>
        <v>#N/A</v>
      </c>
      <c r="AB11" s="768" t="e">
        <f t="shared" si="4"/>
        <v>#N/A</v>
      </c>
      <c r="AC11" s="2656" t="e">
        <f t="shared" si="5"/>
        <v>#N/A</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268"/>
      <c r="Q12" s="2924">
        <f t="shared" si="6"/>
        <v>111</v>
      </c>
      <c r="R12" s="765" t="s">
        <v>17</v>
      </c>
      <c r="S12" s="766">
        <f t="shared" si="0"/>
        <v>100</v>
      </c>
      <c r="T12" s="765" t="s">
        <v>17</v>
      </c>
      <c r="U12" s="766">
        <f t="shared" si="1"/>
        <v>100</v>
      </c>
      <c r="V12" s="765" t="s">
        <v>17</v>
      </c>
      <c r="W12" s="766">
        <f t="shared" si="2"/>
        <v>100</v>
      </c>
      <c r="X12" s="767"/>
      <c r="Y12" s="3117"/>
      <c r="Z12" s="292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268"/>
      <c r="Q13" s="2924">
        <f t="shared" si="6"/>
        <v>111</v>
      </c>
      <c r="R13" s="765" t="s">
        <v>17</v>
      </c>
      <c r="S13" s="766">
        <f t="shared" si="0"/>
        <v>100</v>
      </c>
      <c r="T13" s="765" t="s">
        <v>17</v>
      </c>
      <c r="U13" s="766">
        <f t="shared" si="1"/>
        <v>100</v>
      </c>
      <c r="V13" s="765" t="s">
        <v>17</v>
      </c>
      <c r="W13" s="766">
        <f t="shared" si="2"/>
        <v>100</v>
      </c>
      <c r="X13" s="767"/>
      <c r="Y13" s="3117"/>
      <c r="Z13" s="292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268"/>
      <c r="Q14" s="2924">
        <f t="shared" si="6"/>
        <v>111</v>
      </c>
      <c r="R14" s="765" t="s">
        <v>17</v>
      </c>
      <c r="S14" s="766">
        <f t="shared" si="0"/>
        <v>100</v>
      </c>
      <c r="T14" s="765" t="s">
        <v>17</v>
      </c>
      <c r="U14" s="766">
        <f t="shared" si="1"/>
        <v>100</v>
      </c>
      <c r="V14" s="765" t="s">
        <v>17</v>
      </c>
      <c r="W14" s="766">
        <f t="shared" si="2"/>
        <v>100</v>
      </c>
      <c r="X14" s="767"/>
      <c r="Y14" s="3117"/>
      <c r="Z14" s="292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0</v>
      </c>
      <c r="G15" s="439"/>
      <c r="H15" s="438">
        <f>SUMIF(77:77,G16,78:78)-SUMIF(77:77,C16,78:78)+100</f>
        <v>0</v>
      </c>
      <c r="I15" s="439"/>
      <c r="J15" s="438">
        <f>SUMIF(77:77,I16,78:78)-SUMIF(77:77,C16,78:78)+100</f>
        <v>0</v>
      </c>
      <c r="K15" s="611"/>
      <c r="L15" s="1137"/>
      <c r="M15" s="1128"/>
      <c r="N15" s="1128"/>
      <c r="O15" s="1128"/>
      <c r="P15" s="3313" t="s">
        <v>2544</v>
      </c>
      <c r="Q15" s="2928" t="str">
        <f t="shared" si="6"/>
        <v>办公集聚程度</v>
      </c>
      <c r="R15" s="769" t="s">
        <v>17</v>
      </c>
      <c r="S15" s="770">
        <f t="shared" si="0"/>
        <v>0</v>
      </c>
      <c r="T15" s="769" t="s">
        <v>17</v>
      </c>
      <c r="U15" s="770">
        <f t="shared" si="1"/>
        <v>0</v>
      </c>
      <c r="V15" s="769" t="s">
        <v>17</v>
      </c>
      <c r="W15" s="770">
        <f t="shared" si="2"/>
        <v>0</v>
      </c>
      <c r="X15" s="2930"/>
      <c r="Y15" s="3271" t="s">
        <v>2544</v>
      </c>
      <c r="Z15" s="2931" t="str">
        <f t="shared" si="7"/>
        <v>办公集聚程度</v>
      </c>
      <c r="AA15" s="2929" t="e">
        <f t="shared" si="3"/>
        <v>#DIV/0!</v>
      </c>
      <c r="AB15" s="2929" t="e">
        <f t="shared" si="4"/>
        <v>#DIV/0!</v>
      </c>
      <c r="AC15" s="2659" t="e">
        <f t="shared" si="5"/>
        <v>#DIV/0!</v>
      </c>
    </row>
    <row r="16" spans="1:29" ht="15">
      <c r="A16" s="425"/>
      <c r="B16" s="627"/>
      <c r="C16" s="2596" t="s">
        <v>3055</v>
      </c>
      <c r="D16" s="445"/>
      <c r="E16" s="444"/>
      <c r="F16" s="445"/>
      <c r="G16" s="2596"/>
      <c r="H16" s="447"/>
      <c r="I16" s="444"/>
      <c r="J16" s="445"/>
      <c r="K16" s="612"/>
      <c r="L16" s="1137"/>
      <c r="M16" s="1128"/>
      <c r="N16" s="1128"/>
      <c r="O16" s="1128"/>
      <c r="P16" s="3314"/>
      <c r="Q16" s="2928"/>
      <c r="R16" s="769"/>
      <c r="S16" s="770"/>
      <c r="T16" s="769"/>
      <c r="U16" s="770"/>
      <c r="V16" s="769"/>
      <c r="W16" s="770"/>
      <c r="X16" s="2930"/>
      <c r="Y16" s="3272"/>
      <c r="Z16" s="2931"/>
      <c r="AA16" s="2929">
        <v>1</v>
      </c>
      <c r="AB16" s="2929">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314"/>
      <c r="Q17" s="2928" t="str">
        <f>B17</f>
        <v>交通便捷度</v>
      </c>
      <c r="R17" s="769" t="s">
        <v>17</v>
      </c>
      <c r="S17" s="770">
        <f>F17</f>
        <v>100</v>
      </c>
      <c r="T17" s="769" t="s">
        <v>17</v>
      </c>
      <c r="U17" s="770">
        <f>H17</f>
        <v>100</v>
      </c>
      <c r="V17" s="769" t="s">
        <v>17</v>
      </c>
      <c r="W17" s="770">
        <f>J17</f>
        <v>100</v>
      </c>
      <c r="X17" s="2930"/>
      <c r="Y17" s="3272"/>
      <c r="Z17" s="2931" t="str">
        <f>Q17</f>
        <v>交通便捷度</v>
      </c>
      <c r="AA17" s="2929">
        <f t="shared" si="3"/>
        <v>1</v>
      </c>
      <c r="AB17" s="2929">
        <f t="shared" si="4"/>
        <v>1</v>
      </c>
      <c r="AC17" s="2659">
        <f t="shared" si="5"/>
        <v>1</v>
      </c>
    </row>
    <row r="18" spans="1:29" ht="15">
      <c r="A18" s="425"/>
      <c r="B18" s="629"/>
      <c r="C18" s="2661"/>
      <c r="D18" s="447"/>
      <c r="E18" s="2594"/>
      <c r="F18" s="447"/>
      <c r="G18" s="2595"/>
      <c r="H18" s="445"/>
      <c r="I18" s="2595"/>
      <c r="J18" s="445"/>
      <c r="K18" s="612"/>
      <c r="L18" s="1137"/>
      <c r="M18" s="1128"/>
      <c r="N18" s="1128"/>
      <c r="O18" s="1128"/>
      <c r="P18" s="3314"/>
      <c r="Q18" s="2928"/>
      <c r="R18" s="769"/>
      <c r="S18" s="770"/>
      <c r="T18" s="769"/>
      <c r="U18" s="770"/>
      <c r="V18" s="769"/>
      <c r="W18" s="770"/>
      <c r="X18" s="2930"/>
      <c r="Y18" s="3272"/>
      <c r="Z18" s="2931"/>
      <c r="AA18" s="2929">
        <v>1</v>
      </c>
      <c r="AB18" s="2929">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314"/>
      <c r="Q19" s="2928" t="str">
        <f>B19</f>
        <v>公共配套设施</v>
      </c>
      <c r="R19" s="769" t="s">
        <v>17</v>
      </c>
      <c r="S19" s="770">
        <f>F19</f>
        <v>100</v>
      </c>
      <c r="T19" s="769" t="s">
        <v>17</v>
      </c>
      <c r="U19" s="770">
        <f>H19</f>
        <v>100</v>
      </c>
      <c r="V19" s="769" t="s">
        <v>17</v>
      </c>
      <c r="W19" s="770">
        <f>J19</f>
        <v>100</v>
      </c>
      <c r="X19" s="2930"/>
      <c r="Y19" s="3272"/>
      <c r="Z19" s="2931" t="str">
        <f>Q19</f>
        <v>公共配套设施</v>
      </c>
      <c r="AA19" s="2929">
        <f t="shared" si="3"/>
        <v>1</v>
      </c>
      <c r="AB19" s="2929">
        <f t="shared" si="4"/>
        <v>1</v>
      </c>
      <c r="AC19" s="2659">
        <f t="shared" si="5"/>
        <v>1</v>
      </c>
    </row>
    <row r="20" spans="1:29" ht="15">
      <c r="A20" s="425"/>
      <c r="B20" s="629"/>
      <c r="C20" s="2596"/>
      <c r="D20" s="445"/>
      <c r="E20" s="2589"/>
      <c r="F20" s="445"/>
      <c r="G20" s="2590"/>
      <c r="H20" s="445"/>
      <c r="I20" s="2590"/>
      <c r="J20" s="445"/>
      <c r="K20" s="612"/>
      <c r="L20" s="1137"/>
      <c r="M20" s="1128"/>
      <c r="N20" s="1128"/>
      <c r="O20" s="1128"/>
      <c r="P20" s="3314"/>
      <c r="Q20" s="2928"/>
      <c r="R20" s="769"/>
      <c r="S20" s="770"/>
      <c r="T20" s="769"/>
      <c r="U20" s="770"/>
      <c r="V20" s="769"/>
      <c r="W20" s="770"/>
      <c r="X20" s="2930"/>
      <c r="Y20" s="3272"/>
      <c r="Z20" s="2931"/>
      <c r="AA20" s="2929">
        <v>1</v>
      </c>
      <c r="AB20" s="2929">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314"/>
      <c r="Q21" s="2928" t="str">
        <f>B21</f>
        <v>基础设施水平</v>
      </c>
      <c r="R21" s="769" t="s">
        <v>17</v>
      </c>
      <c r="S21" s="770">
        <f>F21</f>
        <v>100</v>
      </c>
      <c r="T21" s="769" t="s">
        <v>17</v>
      </c>
      <c r="U21" s="770">
        <f>H21</f>
        <v>100</v>
      </c>
      <c r="V21" s="769" t="s">
        <v>17</v>
      </c>
      <c r="W21" s="770">
        <f>J21</f>
        <v>100</v>
      </c>
      <c r="X21" s="2930"/>
      <c r="Y21" s="3272"/>
      <c r="Z21" s="2931" t="str">
        <f>Q21</f>
        <v>基础设施水平</v>
      </c>
      <c r="AA21" s="2929">
        <f t="shared" ref="AA21" si="8">D21/F21</f>
        <v>1</v>
      </c>
      <c r="AB21" s="2929">
        <f t="shared" ref="AB21" si="9">D21/H21</f>
        <v>1</v>
      </c>
      <c r="AC21" s="2659">
        <f t="shared" ref="AC21" si="10">D21/J21</f>
        <v>1</v>
      </c>
    </row>
    <row r="22" spans="1:29" ht="15">
      <c r="A22" s="425"/>
      <c r="B22" s="630"/>
      <c r="C22" s="2661"/>
      <c r="D22" s="445"/>
      <c r="E22" s="444"/>
      <c r="F22" s="445"/>
      <c r="G22" s="2596"/>
      <c r="H22" s="445"/>
      <c r="I22" s="2596"/>
      <c r="J22" s="445"/>
      <c r="K22" s="1378"/>
      <c r="L22" s="1137"/>
      <c r="M22" s="1128"/>
      <c r="N22" s="1128"/>
      <c r="O22" s="1128"/>
      <c r="P22" s="3314"/>
      <c r="Q22" s="2928"/>
      <c r="R22" s="769"/>
      <c r="S22" s="770"/>
      <c r="T22" s="769"/>
      <c r="U22" s="770"/>
      <c r="V22" s="769"/>
      <c r="W22" s="770"/>
      <c r="X22" s="2930"/>
      <c r="Y22" s="3272"/>
      <c r="Z22" s="2931"/>
      <c r="AA22" s="2929">
        <v>1</v>
      </c>
      <c r="AB22" s="2929">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314"/>
      <c r="Q23" s="2928" t="str">
        <f>B23</f>
        <v>环境质量</v>
      </c>
      <c r="R23" s="769" t="s">
        <v>17</v>
      </c>
      <c r="S23" s="770">
        <f>F23</f>
        <v>100</v>
      </c>
      <c r="T23" s="769" t="s">
        <v>17</v>
      </c>
      <c r="U23" s="770">
        <f>H23</f>
        <v>100</v>
      </c>
      <c r="V23" s="769" t="s">
        <v>17</v>
      </c>
      <c r="W23" s="770">
        <f>J23</f>
        <v>100</v>
      </c>
      <c r="X23" s="2930"/>
      <c r="Y23" s="3272"/>
      <c r="Z23" s="2931" t="str">
        <f>Q23</f>
        <v>环境质量</v>
      </c>
      <c r="AA23" s="2929">
        <f t="shared" si="3"/>
        <v>1</v>
      </c>
      <c r="AB23" s="2929">
        <f t="shared" si="4"/>
        <v>1</v>
      </c>
      <c r="AC23" s="2659">
        <f t="shared" si="5"/>
        <v>1</v>
      </c>
    </row>
    <row r="24" spans="1:29" ht="15">
      <c r="A24" s="425"/>
      <c r="B24" s="630"/>
      <c r="C24" s="2596"/>
      <c r="D24" s="445"/>
      <c r="E24" s="2589"/>
      <c r="F24" s="445"/>
      <c r="G24" s="2590"/>
      <c r="H24" s="445"/>
      <c r="I24" s="2590"/>
      <c r="J24" s="445"/>
      <c r="K24" s="612"/>
      <c r="L24" s="1137"/>
      <c r="M24" s="1128"/>
      <c r="N24" s="1128"/>
      <c r="O24" s="1128"/>
      <c r="P24" s="3314"/>
      <c r="Q24" s="2928"/>
      <c r="R24" s="769"/>
      <c r="S24" s="770"/>
      <c r="T24" s="769"/>
      <c r="U24" s="770"/>
      <c r="V24" s="769"/>
      <c r="W24" s="770"/>
      <c r="X24" s="2930"/>
      <c r="Y24" s="3272"/>
      <c r="Z24" s="2931"/>
      <c r="AA24" s="2929">
        <v>1</v>
      </c>
      <c r="AB24" s="2929">
        <v>1</v>
      </c>
      <c r="AC24" s="2659">
        <v>1</v>
      </c>
    </row>
    <row r="25" spans="1:29" ht="27">
      <c r="A25" s="402"/>
      <c r="B25" s="628" t="s">
        <v>2675</v>
      </c>
      <c r="C25" s="2600"/>
      <c r="D25" s="432">
        <v>100</v>
      </c>
      <c r="E25" s="431"/>
      <c r="F25" s="432">
        <f>SUMIF(87:87,E26,88:88)-SUMIF(87:87,C26,88:88)+100</f>
        <v>100</v>
      </c>
      <c r="G25" s="2600"/>
      <c r="H25" s="432">
        <f>SUMIF(87:87,G26,88:88)-SUMIF(87:87,C26,88:88)+100</f>
        <v>100</v>
      </c>
      <c r="I25" s="431"/>
      <c r="J25" s="432">
        <f>SUMIF(87:87,I26,88:88)-SUMIF(87:87,C26,88:88)+100</f>
        <v>100</v>
      </c>
      <c r="K25" s="611"/>
      <c r="L25" s="1137"/>
      <c r="M25" s="1128"/>
      <c r="N25" s="1128"/>
      <c r="O25" s="1128"/>
      <c r="P25" s="3314"/>
      <c r="Q25" s="2928" t="str">
        <f>B25</f>
        <v>毗邻道路的类型与等级</v>
      </c>
      <c r="R25" s="769" t="s">
        <v>17</v>
      </c>
      <c r="S25" s="770">
        <f>F25</f>
        <v>100</v>
      </c>
      <c r="T25" s="769" t="s">
        <v>17</v>
      </c>
      <c r="U25" s="770">
        <f>H25</f>
        <v>100</v>
      </c>
      <c r="V25" s="769" t="s">
        <v>17</v>
      </c>
      <c r="W25" s="770">
        <f>J25</f>
        <v>100</v>
      </c>
      <c r="X25" s="2930"/>
      <c r="Y25" s="3272"/>
      <c r="Z25" s="2931" t="str">
        <f>Q25</f>
        <v>毗邻道路的类型与等级</v>
      </c>
      <c r="AA25" s="2929">
        <f t="shared" si="3"/>
        <v>1</v>
      </c>
      <c r="AB25" s="2929">
        <f t="shared" si="4"/>
        <v>1</v>
      </c>
      <c r="AC25" s="2659">
        <f t="shared" si="5"/>
        <v>1</v>
      </c>
    </row>
    <row r="26" spans="1:29" ht="15">
      <c r="A26" s="402"/>
      <c r="B26" s="629"/>
      <c r="C26" s="631"/>
      <c r="D26" s="432"/>
      <c r="E26" s="613"/>
      <c r="F26" s="432"/>
      <c r="G26" s="631"/>
      <c r="H26" s="432"/>
      <c r="I26" s="613"/>
      <c r="J26" s="432"/>
      <c r="K26" s="612"/>
      <c r="L26" s="1137"/>
      <c r="M26" s="1128"/>
      <c r="N26" s="1128"/>
      <c r="O26" s="1128"/>
      <c r="P26" s="3314"/>
      <c r="Q26" s="2928"/>
      <c r="R26" s="769"/>
      <c r="S26" s="770"/>
      <c r="T26" s="769"/>
      <c r="U26" s="770"/>
      <c r="V26" s="769"/>
      <c r="W26" s="770"/>
      <c r="X26" s="2930"/>
      <c r="Y26" s="3272"/>
      <c r="Z26" s="2931"/>
      <c r="AA26" s="2929">
        <v>1</v>
      </c>
      <c r="AB26" s="2929">
        <v>1</v>
      </c>
      <c r="AC26" s="2659">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314"/>
      <c r="Q27" s="2928" t="str">
        <f t="shared" ref="Q27:Q47" si="11">B27</f>
        <v>楼层</v>
      </c>
      <c r="R27" s="769" t="s">
        <v>17</v>
      </c>
      <c r="S27" s="770">
        <f>F27</f>
        <v>100</v>
      </c>
      <c r="T27" s="769" t="s">
        <v>17</v>
      </c>
      <c r="U27" s="770">
        <f>H27</f>
        <v>100</v>
      </c>
      <c r="V27" s="769" t="s">
        <v>17</v>
      </c>
      <c r="W27" s="770">
        <f>J27</f>
        <v>100</v>
      </c>
      <c r="X27" s="2930"/>
      <c r="Y27" s="3272"/>
      <c r="Z27" s="2931" t="str">
        <f>Q27</f>
        <v>楼层</v>
      </c>
      <c r="AA27" s="2929">
        <f t="shared" si="3"/>
        <v>1</v>
      </c>
      <c r="AB27" s="2929">
        <f t="shared" si="4"/>
        <v>1</v>
      </c>
      <c r="AC27" s="2659">
        <f t="shared" si="5"/>
        <v>1</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14"/>
      <c r="Q28" s="2924" t="str">
        <f t="shared" si="11"/>
        <v>朝向</v>
      </c>
      <c r="R28" s="765" t="s">
        <v>17</v>
      </c>
      <c r="S28" s="766">
        <f>F28</f>
        <v>100</v>
      </c>
      <c r="T28" s="765" t="s">
        <v>17</v>
      </c>
      <c r="U28" s="766">
        <f>H28</f>
        <v>100</v>
      </c>
      <c r="V28" s="765" t="s">
        <v>17</v>
      </c>
      <c r="W28" s="766">
        <f>J28</f>
        <v>100</v>
      </c>
      <c r="X28" s="767"/>
      <c r="Y28" s="3272"/>
      <c r="Z28" s="2925" t="str">
        <f>Q28</f>
        <v>朝向</v>
      </c>
      <c r="AA28" s="2929">
        <f>D28/F28</f>
        <v>1</v>
      </c>
      <c r="AB28" s="2929">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14"/>
      <c r="Q29" s="2928">
        <f t="shared" si="11"/>
        <v>111</v>
      </c>
      <c r="R29" s="769" t="s">
        <v>17</v>
      </c>
      <c r="S29" s="770">
        <f t="shared" ref="S29:S47" si="12">F29</f>
        <v>100</v>
      </c>
      <c r="T29" s="769" t="s">
        <v>17</v>
      </c>
      <c r="U29" s="770">
        <f t="shared" ref="U29:U47" si="13">H29</f>
        <v>100</v>
      </c>
      <c r="V29" s="769" t="s">
        <v>17</v>
      </c>
      <c r="W29" s="770">
        <f t="shared" ref="W29:W47" si="14">J29</f>
        <v>100</v>
      </c>
      <c r="X29" s="2930"/>
      <c r="Y29" s="3272"/>
      <c r="Z29" s="2931">
        <f t="shared" ref="Z29:Z47" si="15">Q29</f>
        <v>111</v>
      </c>
      <c r="AA29" s="2929">
        <f t="shared" si="3"/>
        <v>1</v>
      </c>
      <c r="AB29" s="2929">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14"/>
      <c r="Q30" s="2928">
        <f t="shared" si="11"/>
        <v>111</v>
      </c>
      <c r="R30" s="769" t="s">
        <v>17</v>
      </c>
      <c r="S30" s="770">
        <f t="shared" si="12"/>
        <v>100</v>
      </c>
      <c r="T30" s="769" t="s">
        <v>17</v>
      </c>
      <c r="U30" s="770">
        <f t="shared" si="13"/>
        <v>100</v>
      </c>
      <c r="V30" s="769" t="s">
        <v>17</v>
      </c>
      <c r="W30" s="770">
        <f t="shared" si="14"/>
        <v>100</v>
      </c>
      <c r="X30" s="2930"/>
      <c r="Y30" s="3272"/>
      <c r="Z30" s="2931">
        <f t="shared" si="15"/>
        <v>111</v>
      </c>
      <c r="AA30" s="2929">
        <f t="shared" si="3"/>
        <v>1</v>
      </c>
      <c r="AB30" s="2929">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14"/>
      <c r="Q31" s="2928">
        <f t="shared" si="11"/>
        <v>111</v>
      </c>
      <c r="R31" s="769" t="s">
        <v>17</v>
      </c>
      <c r="S31" s="770">
        <f t="shared" si="12"/>
        <v>100</v>
      </c>
      <c r="T31" s="769" t="s">
        <v>17</v>
      </c>
      <c r="U31" s="770">
        <f t="shared" si="13"/>
        <v>100</v>
      </c>
      <c r="V31" s="769" t="s">
        <v>17</v>
      </c>
      <c r="W31" s="770">
        <f t="shared" si="14"/>
        <v>100</v>
      </c>
      <c r="X31" s="2930"/>
      <c r="Y31" s="3272"/>
      <c r="Z31" s="2931">
        <f t="shared" si="15"/>
        <v>111</v>
      </c>
      <c r="AA31" s="2929">
        <f t="shared" si="3"/>
        <v>1</v>
      </c>
      <c r="AB31" s="2929">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14"/>
      <c r="Q32" s="2928">
        <f t="shared" si="11"/>
        <v>111</v>
      </c>
      <c r="R32" s="769" t="s">
        <v>17</v>
      </c>
      <c r="S32" s="770">
        <f t="shared" si="12"/>
        <v>100</v>
      </c>
      <c r="T32" s="769" t="s">
        <v>17</v>
      </c>
      <c r="U32" s="770">
        <f t="shared" si="13"/>
        <v>100</v>
      </c>
      <c r="V32" s="769" t="s">
        <v>17</v>
      </c>
      <c r="W32" s="770">
        <f t="shared" si="14"/>
        <v>100</v>
      </c>
      <c r="X32" s="2930"/>
      <c r="Y32" s="3272"/>
      <c r="Z32" s="2931">
        <f t="shared" si="15"/>
        <v>111</v>
      </c>
      <c r="AA32" s="2929">
        <f t="shared" si="3"/>
        <v>1</v>
      </c>
      <c r="AB32" s="2929">
        <f t="shared" si="4"/>
        <v>1</v>
      </c>
      <c r="AC32" s="2659">
        <f t="shared" si="5"/>
        <v>1</v>
      </c>
    </row>
    <row r="33" spans="1:29" ht="15">
      <c r="A33" s="437" t="s">
        <v>2547</v>
      </c>
      <c r="B33" s="71" t="s">
        <v>2677</v>
      </c>
      <c r="C33" s="2664"/>
      <c r="D33" s="464">
        <v>100</v>
      </c>
      <c r="E33" s="2664"/>
      <c r="F33" s="458">
        <f>SUMIF(101:101,E33,102:102)-SUMIF(101:101,C33,102:102)+100</f>
        <v>100</v>
      </c>
      <c r="G33" s="2664"/>
      <c r="H33" s="432">
        <f>SUMIF(101:101,G33,102:102)-SUMIF(101:101,C33,102:102)+100</f>
        <v>100</v>
      </c>
      <c r="I33" s="2664"/>
      <c r="J33" s="464">
        <f>SUMIF(101:101,I33,102:102)-SUMIF(101:101,C33,102:102)+100</f>
        <v>100</v>
      </c>
      <c r="K33" s="609"/>
      <c r="L33" s="1137"/>
      <c r="M33" s="1128"/>
      <c r="N33" s="1128"/>
      <c r="O33" s="1128"/>
      <c r="P33" s="3315" t="s">
        <v>2549</v>
      </c>
      <c r="Q33" s="2928" t="str">
        <f t="shared" si="11"/>
        <v>建筑类型</v>
      </c>
      <c r="R33" s="769" t="s">
        <v>17</v>
      </c>
      <c r="S33" s="770">
        <f t="shared" si="12"/>
        <v>100</v>
      </c>
      <c r="T33" s="769" t="s">
        <v>17</v>
      </c>
      <c r="U33" s="770">
        <f t="shared" si="13"/>
        <v>100</v>
      </c>
      <c r="V33" s="769" t="s">
        <v>17</v>
      </c>
      <c r="W33" s="770">
        <f t="shared" si="14"/>
        <v>100</v>
      </c>
      <c r="X33" s="2930"/>
      <c r="Y33" s="3274" t="s">
        <v>2549</v>
      </c>
      <c r="Z33" s="2931" t="str">
        <f t="shared" si="15"/>
        <v>建筑类型</v>
      </c>
      <c r="AA33" s="2929">
        <f t="shared" si="3"/>
        <v>1</v>
      </c>
      <c r="AB33" s="2929">
        <f t="shared" si="4"/>
        <v>1</v>
      </c>
      <c r="AC33" s="2659">
        <f t="shared" si="5"/>
        <v>1</v>
      </c>
    </row>
    <row r="34" spans="1:29" s="468" customFormat="1" ht="15">
      <c r="A34" s="465"/>
      <c r="B34" s="2926" t="s">
        <v>2550</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35"/>
      <c r="M34" s="1138"/>
      <c r="N34" s="1138"/>
      <c r="O34" s="1138"/>
      <c r="P34" s="3316"/>
      <c r="Q34" s="771" t="str">
        <f t="shared" si="11"/>
        <v>项目建筑规模</v>
      </c>
      <c r="R34" s="772" t="s">
        <v>17</v>
      </c>
      <c r="S34" s="773" t="e">
        <f t="shared" si="12"/>
        <v>#N/A</v>
      </c>
      <c r="T34" s="772" t="s">
        <v>17</v>
      </c>
      <c r="U34" s="773" t="e">
        <f t="shared" si="13"/>
        <v>#N/A</v>
      </c>
      <c r="V34" s="772" t="s">
        <v>17</v>
      </c>
      <c r="W34" s="773" t="e">
        <f t="shared" si="14"/>
        <v>#N/A</v>
      </c>
      <c r="X34" s="774"/>
      <c r="Y34" s="3274"/>
      <c r="Z34" s="775" t="str">
        <f t="shared" si="15"/>
        <v>项目建筑规模</v>
      </c>
      <c r="AA34" s="2929" t="e">
        <f t="shared" si="3"/>
        <v>#N/A</v>
      </c>
      <c r="AB34" s="2929" t="e">
        <f t="shared" si="4"/>
        <v>#N/A</v>
      </c>
      <c r="AC34" s="2659" t="e">
        <f t="shared" si="5"/>
        <v>#N/A</v>
      </c>
    </row>
    <row r="35" spans="1:29" ht="15">
      <c r="A35" s="469"/>
      <c r="B35" s="2926"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316"/>
      <c r="Q35" s="2928" t="str">
        <f t="shared" si="11"/>
        <v>建筑结构</v>
      </c>
      <c r="R35" s="769" t="s">
        <v>17</v>
      </c>
      <c r="S35" s="770">
        <f t="shared" si="12"/>
        <v>100</v>
      </c>
      <c r="T35" s="769" t="s">
        <v>17</v>
      </c>
      <c r="U35" s="770">
        <f t="shared" si="13"/>
        <v>100</v>
      </c>
      <c r="V35" s="769" t="s">
        <v>17</v>
      </c>
      <c r="W35" s="770">
        <f t="shared" si="14"/>
        <v>100</v>
      </c>
      <c r="X35" s="2930"/>
      <c r="Y35" s="3274"/>
      <c r="Z35" s="2931" t="str">
        <f t="shared" si="15"/>
        <v>建筑结构</v>
      </c>
      <c r="AA35" s="2929">
        <f t="shared" si="3"/>
        <v>1</v>
      </c>
      <c r="AB35" s="2929">
        <f t="shared" si="4"/>
        <v>1</v>
      </c>
      <c r="AC35" s="2659">
        <f t="shared" si="5"/>
        <v>1</v>
      </c>
    </row>
    <row r="36" spans="1:29" ht="15">
      <c r="A36" s="469"/>
      <c r="B36" s="2926"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316"/>
      <c r="Q36" s="2928" t="str">
        <f t="shared" si="11"/>
        <v>公共部分装修</v>
      </c>
      <c r="R36" s="769" t="s">
        <v>17</v>
      </c>
      <c r="S36" s="770">
        <f t="shared" si="12"/>
        <v>100</v>
      </c>
      <c r="T36" s="769" t="s">
        <v>17</v>
      </c>
      <c r="U36" s="770">
        <f t="shared" si="13"/>
        <v>100</v>
      </c>
      <c r="V36" s="769" t="s">
        <v>17</v>
      </c>
      <c r="W36" s="770">
        <f t="shared" si="14"/>
        <v>100</v>
      </c>
      <c r="X36" s="2930"/>
      <c r="Y36" s="3274"/>
      <c r="Z36" s="2931" t="str">
        <f t="shared" si="15"/>
        <v>公共部分装修</v>
      </c>
      <c r="AA36" s="2929">
        <f t="shared" si="3"/>
        <v>1</v>
      </c>
      <c r="AB36" s="2929">
        <f t="shared" si="4"/>
        <v>1</v>
      </c>
      <c r="AC36" s="2659">
        <f t="shared" si="5"/>
        <v>1</v>
      </c>
    </row>
    <row r="37" spans="1:29" ht="15">
      <c r="A37" s="469"/>
      <c r="B37" s="2926"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316"/>
      <c r="Q37" s="2928" t="str">
        <f t="shared" si="11"/>
        <v>成新度</v>
      </c>
      <c r="R37" s="769" t="s">
        <v>17</v>
      </c>
      <c r="S37" s="770" t="e">
        <f t="shared" si="12"/>
        <v>#N/A</v>
      </c>
      <c r="T37" s="769" t="s">
        <v>17</v>
      </c>
      <c r="U37" s="770" t="e">
        <f t="shared" si="13"/>
        <v>#N/A</v>
      </c>
      <c r="V37" s="769" t="s">
        <v>17</v>
      </c>
      <c r="W37" s="770" t="e">
        <f t="shared" si="14"/>
        <v>#N/A</v>
      </c>
      <c r="X37" s="2930"/>
      <c r="Y37" s="3274"/>
      <c r="Z37" s="2931" t="str">
        <f t="shared" si="15"/>
        <v>成新度</v>
      </c>
      <c r="AA37" s="2929" t="e">
        <f t="shared" si="3"/>
        <v>#N/A</v>
      </c>
      <c r="AB37" s="2929" t="e">
        <f t="shared" si="4"/>
        <v>#N/A</v>
      </c>
      <c r="AC37" s="2659" t="e">
        <f t="shared" si="5"/>
        <v>#N/A</v>
      </c>
    </row>
    <row r="38" spans="1:29" s="116" customFormat="1" ht="15">
      <c r="A38" s="470"/>
      <c r="B38" s="2926" t="s">
        <v>2678</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316"/>
      <c r="Q38" s="2924" t="str">
        <f t="shared" si="11"/>
        <v>写字楼等级</v>
      </c>
      <c r="R38" s="765" t="s">
        <v>17</v>
      </c>
      <c r="S38" s="766">
        <f t="shared" si="12"/>
        <v>100</v>
      </c>
      <c r="T38" s="765" t="s">
        <v>17</v>
      </c>
      <c r="U38" s="766">
        <f t="shared" si="13"/>
        <v>100</v>
      </c>
      <c r="V38" s="765" t="s">
        <v>17</v>
      </c>
      <c r="W38" s="766">
        <f t="shared" si="14"/>
        <v>100</v>
      </c>
      <c r="X38" s="767"/>
      <c r="Y38" s="3274"/>
      <c r="Z38" s="2925" t="str">
        <f t="shared" si="15"/>
        <v>写字楼等级</v>
      </c>
      <c r="AA38" s="768">
        <f t="shared" si="3"/>
        <v>1</v>
      </c>
      <c r="AB38" s="768">
        <f t="shared" si="4"/>
        <v>1</v>
      </c>
      <c r="AC38" s="2656">
        <f t="shared" si="5"/>
        <v>1</v>
      </c>
    </row>
    <row r="39" spans="1:29" ht="15">
      <c r="A39" s="469"/>
      <c r="B39" s="2926"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316" t="s">
        <v>2549</v>
      </c>
      <c r="Q39" s="2928" t="str">
        <f t="shared" si="11"/>
        <v>物业管理</v>
      </c>
      <c r="R39" s="769" t="s">
        <v>17</v>
      </c>
      <c r="S39" s="770">
        <f t="shared" si="12"/>
        <v>100</v>
      </c>
      <c r="T39" s="769" t="s">
        <v>17</v>
      </c>
      <c r="U39" s="770">
        <f t="shared" si="13"/>
        <v>100</v>
      </c>
      <c r="V39" s="769" t="s">
        <v>17</v>
      </c>
      <c r="W39" s="770">
        <f t="shared" si="14"/>
        <v>100</v>
      </c>
      <c r="X39" s="2930"/>
      <c r="Y39" s="3274" t="s">
        <v>2549</v>
      </c>
      <c r="Z39" s="2931" t="str">
        <f t="shared" si="15"/>
        <v>物业管理</v>
      </c>
      <c r="AA39" s="2929">
        <f t="shared" si="3"/>
        <v>1</v>
      </c>
      <c r="AB39" s="2929">
        <f t="shared" si="4"/>
        <v>1</v>
      </c>
      <c r="AC39" s="2659">
        <f t="shared" si="5"/>
        <v>1</v>
      </c>
    </row>
    <row r="40" spans="1:29" ht="15">
      <c r="A40" s="469"/>
      <c r="B40" s="2926"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316"/>
      <c r="Q40" s="2928" t="str">
        <f t="shared" si="11"/>
        <v>市政基础设施</v>
      </c>
      <c r="R40" s="769" t="s">
        <v>17</v>
      </c>
      <c r="S40" s="770">
        <f t="shared" si="12"/>
        <v>100</v>
      </c>
      <c r="T40" s="769" t="s">
        <v>17</v>
      </c>
      <c r="U40" s="770">
        <f t="shared" si="13"/>
        <v>100</v>
      </c>
      <c r="V40" s="769" t="s">
        <v>17</v>
      </c>
      <c r="W40" s="770">
        <f t="shared" si="14"/>
        <v>100</v>
      </c>
      <c r="X40" s="2930"/>
      <c r="Y40" s="3274"/>
      <c r="Z40" s="2931" t="str">
        <f t="shared" si="15"/>
        <v>市政基础设施</v>
      </c>
      <c r="AA40" s="2929">
        <f t="shared" si="3"/>
        <v>1</v>
      </c>
      <c r="AB40" s="2929">
        <f t="shared" si="4"/>
        <v>1</v>
      </c>
      <c r="AC40" s="2659">
        <f t="shared" si="5"/>
        <v>1</v>
      </c>
    </row>
    <row r="41" spans="1:29" ht="15">
      <c r="A41" s="469"/>
      <c r="B41" s="2926"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316"/>
      <c r="Q41" s="2928" t="str">
        <f t="shared" si="11"/>
        <v>层高</v>
      </c>
      <c r="R41" s="769" t="s">
        <v>17</v>
      </c>
      <c r="S41" s="770">
        <f t="shared" si="12"/>
        <v>100</v>
      </c>
      <c r="T41" s="769" t="s">
        <v>17</v>
      </c>
      <c r="U41" s="770">
        <f t="shared" si="13"/>
        <v>100</v>
      </c>
      <c r="V41" s="769" t="s">
        <v>17</v>
      </c>
      <c r="W41" s="770">
        <f t="shared" si="14"/>
        <v>100</v>
      </c>
      <c r="X41" s="2930"/>
      <c r="Y41" s="3274"/>
      <c r="Z41" s="2931" t="str">
        <f t="shared" si="15"/>
        <v>层高</v>
      </c>
      <c r="AA41" s="2929">
        <f t="shared" si="3"/>
        <v>1</v>
      </c>
      <c r="AB41" s="2929">
        <f t="shared" si="4"/>
        <v>1</v>
      </c>
      <c r="AC41" s="2659">
        <f t="shared" si="5"/>
        <v>1</v>
      </c>
    </row>
    <row r="42" spans="1:29" s="468" customFormat="1" ht="15">
      <c r="A42" s="465"/>
      <c r="B42" s="292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316"/>
      <c r="Q42" s="771" t="str">
        <f t="shared" si="11"/>
        <v>单套建筑面积</v>
      </c>
      <c r="R42" s="772" t="s">
        <v>17</v>
      </c>
      <c r="S42" s="773">
        <f t="shared" si="12"/>
        <v>100</v>
      </c>
      <c r="T42" s="772" t="s">
        <v>17</v>
      </c>
      <c r="U42" s="773">
        <f t="shared" si="13"/>
        <v>100</v>
      </c>
      <c r="V42" s="772" t="s">
        <v>17</v>
      </c>
      <c r="W42" s="773">
        <f t="shared" si="14"/>
        <v>100</v>
      </c>
      <c r="X42" s="774"/>
      <c r="Y42" s="3274"/>
      <c r="Z42" s="775" t="str">
        <f t="shared" si="15"/>
        <v>单套建筑面积</v>
      </c>
      <c r="AA42" s="2929">
        <f t="shared" si="3"/>
        <v>1</v>
      </c>
      <c r="AB42" s="2929">
        <f t="shared" si="4"/>
        <v>1</v>
      </c>
      <c r="AC42" s="2659">
        <f t="shared" si="5"/>
        <v>1</v>
      </c>
    </row>
    <row r="43" spans="1:29" ht="15">
      <c r="A43" s="469"/>
      <c r="B43" s="2926"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316"/>
      <c r="Q43" s="2928" t="str">
        <f t="shared" si="11"/>
        <v>内部装修</v>
      </c>
      <c r="R43" s="769" t="s">
        <v>17</v>
      </c>
      <c r="S43" s="770">
        <f t="shared" si="12"/>
        <v>100</v>
      </c>
      <c r="T43" s="769" t="s">
        <v>17</v>
      </c>
      <c r="U43" s="770">
        <f t="shared" si="13"/>
        <v>100</v>
      </c>
      <c r="V43" s="769" t="s">
        <v>17</v>
      </c>
      <c r="W43" s="770">
        <f t="shared" si="14"/>
        <v>100</v>
      </c>
      <c r="X43" s="2930"/>
      <c r="Y43" s="3274"/>
      <c r="Z43" s="2931" t="str">
        <f t="shared" si="15"/>
        <v>内部装修</v>
      </c>
      <c r="AA43" s="2929">
        <f t="shared" si="3"/>
        <v>1</v>
      </c>
      <c r="AB43" s="2929">
        <f t="shared" si="4"/>
        <v>1</v>
      </c>
      <c r="AC43" s="2659">
        <f t="shared" si="5"/>
        <v>1</v>
      </c>
    </row>
    <row r="44" spans="1:29" ht="15">
      <c r="A44" s="469"/>
      <c r="B44" s="2926" t="s">
        <v>2560</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7"/>
      <c r="M44" s="1128"/>
      <c r="N44" s="1128"/>
      <c r="O44" s="1128"/>
      <c r="P44" s="3316"/>
      <c r="Q44" s="2928" t="str">
        <f t="shared" si="11"/>
        <v>内部装修维护情况</v>
      </c>
      <c r="R44" s="769" t="s">
        <v>17</v>
      </c>
      <c r="S44" s="770">
        <f t="shared" si="12"/>
        <v>100</v>
      </c>
      <c r="T44" s="769" t="s">
        <v>17</v>
      </c>
      <c r="U44" s="770">
        <f t="shared" si="13"/>
        <v>100</v>
      </c>
      <c r="V44" s="769" t="s">
        <v>17</v>
      </c>
      <c r="W44" s="770">
        <f t="shared" si="14"/>
        <v>100</v>
      </c>
      <c r="X44" s="2930"/>
      <c r="Y44" s="3274"/>
      <c r="Z44" s="2931" t="str">
        <f t="shared" si="15"/>
        <v>内部装修维护情况</v>
      </c>
      <c r="AA44" s="2929">
        <f t="shared" si="3"/>
        <v>1</v>
      </c>
      <c r="AB44" s="2929">
        <f t="shared" si="4"/>
        <v>1</v>
      </c>
      <c r="AC44" s="2659">
        <f t="shared" si="5"/>
        <v>1</v>
      </c>
    </row>
    <row r="45" spans="1:29" s="116" customFormat="1" ht="15">
      <c r="A45" s="470"/>
      <c r="B45" s="1381">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9"/>
      <c r="M45" s="1130"/>
      <c r="N45" s="1130"/>
      <c r="O45" s="1130"/>
      <c r="P45" s="3316"/>
      <c r="Q45" s="2924">
        <f t="shared" si="11"/>
        <v>111</v>
      </c>
      <c r="R45" s="765" t="s">
        <v>17</v>
      </c>
      <c r="S45" s="766">
        <f t="shared" si="12"/>
        <v>100</v>
      </c>
      <c r="T45" s="765" t="s">
        <v>17</v>
      </c>
      <c r="U45" s="766">
        <f t="shared" si="13"/>
        <v>100</v>
      </c>
      <c r="V45" s="765" t="s">
        <v>17</v>
      </c>
      <c r="W45" s="766">
        <f t="shared" si="14"/>
        <v>100</v>
      </c>
      <c r="X45" s="767"/>
      <c r="Y45" s="3274"/>
      <c r="Z45" s="292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16"/>
      <c r="Q46" s="2928">
        <f t="shared" si="11"/>
        <v>111</v>
      </c>
      <c r="R46" s="769" t="s">
        <v>17</v>
      </c>
      <c r="S46" s="770">
        <f t="shared" si="12"/>
        <v>100</v>
      </c>
      <c r="T46" s="769" t="s">
        <v>17</v>
      </c>
      <c r="U46" s="770">
        <f t="shared" si="13"/>
        <v>100</v>
      </c>
      <c r="V46" s="769" t="s">
        <v>17</v>
      </c>
      <c r="W46" s="770">
        <f t="shared" si="14"/>
        <v>100</v>
      </c>
      <c r="X46" s="2930"/>
      <c r="Y46" s="3274"/>
      <c r="Z46" s="2931">
        <f t="shared" si="15"/>
        <v>111</v>
      </c>
      <c r="AA46" s="2929">
        <f t="shared" si="3"/>
        <v>1</v>
      </c>
      <c r="AB46" s="2929">
        <f t="shared" si="4"/>
        <v>1</v>
      </c>
      <c r="AC46" s="2659">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17"/>
      <c r="Q47" s="2928">
        <f t="shared" si="11"/>
        <v>111</v>
      </c>
      <c r="R47" s="769" t="s">
        <v>17</v>
      </c>
      <c r="S47" s="770">
        <f t="shared" si="12"/>
        <v>100</v>
      </c>
      <c r="T47" s="769" t="s">
        <v>17</v>
      </c>
      <c r="U47" s="770">
        <f t="shared" si="13"/>
        <v>100</v>
      </c>
      <c r="V47" s="769" t="s">
        <v>17</v>
      </c>
      <c r="W47" s="770">
        <f t="shared" si="14"/>
        <v>100</v>
      </c>
      <c r="X47" s="2930"/>
      <c r="Y47" s="3307"/>
      <c r="Z47" s="2931">
        <f t="shared" si="15"/>
        <v>111</v>
      </c>
      <c r="AA47" s="2929">
        <f t="shared" si="3"/>
        <v>1</v>
      </c>
      <c r="AB47" s="2929">
        <f t="shared" si="4"/>
        <v>1</v>
      </c>
      <c r="AC47" s="2659">
        <f t="shared" si="5"/>
        <v>1</v>
      </c>
    </row>
    <row r="48" spans="1:29" ht="15">
      <c r="A48" s="476" t="s">
        <v>2561</v>
      </c>
      <c r="B48" s="477"/>
      <c r="C48" s="1402" t="s">
        <v>1</v>
      </c>
      <c r="D48" s="1403"/>
      <c r="E48" s="1404"/>
      <c r="F48" s="1405"/>
      <c r="G48" s="1406"/>
      <c r="H48" s="1407"/>
      <c r="I48" s="1404"/>
      <c r="J48" s="482"/>
      <c r="K48" s="778"/>
      <c r="L48" s="1140"/>
      <c r="M48" s="1128"/>
      <c r="N48" s="1128"/>
      <c r="O48" s="1128"/>
      <c r="P48" s="3268" t="str">
        <f>A48</f>
        <v>成交单价（元/平方米）</v>
      </c>
      <c r="Q48" s="3269"/>
      <c r="R48" s="3305">
        <f>E48</f>
        <v>0</v>
      </c>
      <c r="S48" s="3305"/>
      <c r="T48" s="3305">
        <f>G48</f>
        <v>0</v>
      </c>
      <c r="U48" s="3305"/>
      <c r="V48" s="3305">
        <f>I48</f>
        <v>0</v>
      </c>
      <c r="W48" s="3305"/>
      <c r="X48" s="443"/>
      <c r="Y48" s="776"/>
      <c r="Z48" s="443"/>
      <c r="AA48" s="443"/>
      <c r="AB48" s="443"/>
      <c r="AC48" s="627"/>
    </row>
    <row r="49" spans="1:29" ht="15.75" thickBot="1">
      <c r="A49" s="483" t="s">
        <v>2562</v>
      </c>
      <c r="B49" s="484"/>
      <c r="C49" s="1408" t="e">
        <f>R50</f>
        <v>#DIV/0!</v>
      </c>
      <c r="D49" s="1409"/>
      <c r="E49" s="1410" t="e">
        <f>R49</f>
        <v>#DIV/0!</v>
      </c>
      <c r="F49" s="1410"/>
      <c r="G49" s="1408" t="e">
        <f>T49</f>
        <v>#DIV/0!</v>
      </c>
      <c r="H49" s="1409"/>
      <c r="I49" s="1410" t="e">
        <f>V49</f>
        <v>#DIV/0!</v>
      </c>
      <c r="J49" s="486"/>
      <c r="K49" s="779"/>
      <c r="L49" s="1140"/>
      <c r="M49" s="1128"/>
      <c r="N49" s="1128"/>
      <c r="O49" s="1128"/>
      <c r="P49" s="3268" t="str">
        <f>A49</f>
        <v>比较价值（元/平方米）</v>
      </c>
      <c r="Q49" s="3269"/>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443"/>
      <c r="Y49" s="443"/>
      <c r="Z49" s="443"/>
      <c r="AA49" s="443"/>
      <c r="AB49" s="443"/>
      <c r="AC49" s="627"/>
    </row>
    <row r="50" spans="1:29" ht="15.75" thickBot="1">
      <c r="A50" s="489" t="s">
        <v>2563</v>
      </c>
      <c r="B50" s="490"/>
      <c r="C50" s="1412" t="e">
        <f>R50</f>
        <v>#DIV/0!</v>
      </c>
      <c r="D50" s="1412"/>
      <c r="E50" s="1412"/>
      <c r="F50" s="1412"/>
      <c r="G50" s="1412"/>
      <c r="H50" s="1412"/>
      <c r="I50" s="1412"/>
      <c r="J50" s="491"/>
      <c r="K50" s="780"/>
      <c r="L50" s="1140"/>
      <c r="M50" s="1128"/>
      <c r="N50" s="1128"/>
      <c r="O50" s="1128"/>
      <c r="P50" s="3310" t="str">
        <f>A50</f>
        <v>估价对象XX用房的比较价值（楼面单价，元/平方米）</v>
      </c>
      <c r="Q50" s="3311"/>
      <c r="R50" s="3312" t="e">
        <f>IF(F1="售价",ROUND(AVERAGE(R49:V49),0),ROUND(AVERAGE(R49:V49),1))</f>
        <v>#DIV/0!</v>
      </c>
      <c r="S50" s="3312"/>
      <c r="T50" s="3312"/>
      <c r="U50" s="3312"/>
      <c r="V50" s="3312"/>
      <c r="W50" s="3312"/>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2564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2565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2566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2567</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c r="E60" s="509"/>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2571</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办公</v>
      </c>
      <c r="D64" s="527"/>
      <c r="E64" s="527"/>
      <c r="F64" s="527"/>
      <c r="G64" s="527"/>
      <c r="H64" s="527"/>
      <c r="I64" s="527"/>
      <c r="J64" s="527"/>
      <c r="K64" s="528"/>
      <c r="L64" s="529"/>
      <c r="M64" s="530"/>
      <c r="N64" s="1149"/>
      <c r="O64" s="1149"/>
      <c r="P64" s="2669"/>
      <c r="Q64" s="501"/>
    </row>
    <row r="65" spans="1:17" ht="15.75" thickBot="1">
      <c r="A65" s="531"/>
      <c r="B65" s="532"/>
      <c r="C65" s="533">
        <v>100</v>
      </c>
      <c r="D65" s="533"/>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69"/>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c r="D69" s="546"/>
      <c r="E69" s="546"/>
      <c r="F69" s="546"/>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69"/>
      <c r="Q86" s="501"/>
    </row>
    <row r="87" spans="1:17" s="116" customFormat="1" ht="27.75" thickTop="1">
      <c r="A87" s="576"/>
      <c r="B87" s="535" t="s">
        <v>2683</v>
      </c>
      <c r="C87" s="551"/>
      <c r="D87" s="551"/>
      <c r="E87" s="551"/>
      <c r="F87" s="551"/>
      <c r="G87" s="551"/>
      <c r="H87" s="551"/>
      <c r="I87" s="551"/>
      <c r="J87" s="551"/>
      <c r="K87" s="551"/>
      <c r="L87" s="577"/>
      <c r="M87" s="578"/>
      <c r="N87" s="1148"/>
      <c r="O87" s="1148"/>
      <c r="P87" s="2669"/>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69"/>
      <c r="Q88" s="501"/>
    </row>
    <row r="89" spans="1:17" s="116" customFormat="1" ht="15.75" thickTop="1">
      <c r="A89" s="576"/>
      <c r="B89" s="535" t="str">
        <f>B27</f>
        <v>楼层</v>
      </c>
      <c r="C89" s="551"/>
      <c r="D89" s="551"/>
      <c r="E89" s="551"/>
      <c r="F89" s="2620"/>
      <c r="G89" s="551"/>
      <c r="H89" s="551"/>
      <c r="I89" s="551"/>
      <c r="J89" s="551"/>
      <c r="K89" s="551"/>
      <c r="L89" s="551"/>
      <c r="M89" s="578"/>
      <c r="N89" s="1148"/>
      <c r="O89" s="1148"/>
      <c r="P89" s="2669"/>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3078</v>
      </c>
      <c r="D101" s="527"/>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69"/>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69"/>
      <c r="Q103" s="501"/>
    </row>
    <row r="104" spans="1:17" s="468" customFormat="1">
      <c r="A104" s="590"/>
      <c r="B104" s="591"/>
      <c r="C104" s="592"/>
      <c r="D104" s="592"/>
      <c r="E104" s="592"/>
      <c r="F104" s="592"/>
      <c r="G104" s="592"/>
      <c r="H104" s="592"/>
      <c r="I104" s="592"/>
      <c r="J104" s="593"/>
      <c r="K104" s="593"/>
      <c r="L104" s="594"/>
      <c r="M104" s="595"/>
      <c r="N104" s="1151"/>
      <c r="O104" s="1151"/>
      <c r="P104" s="2670"/>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0"/>
      <c r="Q105" s="556"/>
    </row>
    <row r="106" spans="1:17" ht="15" thickTop="1">
      <c r="A106" s="596"/>
      <c r="B106" s="535" t="s">
        <v>2598</v>
      </c>
      <c r="C106" s="2940" t="s">
        <v>3076</v>
      </c>
      <c r="D106" s="551"/>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69"/>
      <c r="Q107" s="501"/>
    </row>
    <row r="108" spans="1:17" ht="15" thickTop="1">
      <c r="A108" s="596"/>
      <c r="B108" s="535" t="s">
        <v>2600</v>
      </c>
      <c r="C108" s="2940" t="s">
        <v>3067</v>
      </c>
      <c r="D108" s="551"/>
      <c r="E108" s="551"/>
      <c r="F108" s="580"/>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69"/>
      <c r="Q112" s="501"/>
    </row>
    <row r="113" spans="1:17" s="468" customFormat="1" ht="15" thickTop="1">
      <c r="A113" s="590"/>
      <c r="B113" s="535" t="s">
        <v>2684</v>
      </c>
      <c r="C113" s="2940" t="s">
        <v>3075</v>
      </c>
      <c r="D113" s="551"/>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3070</v>
      </c>
      <c r="D115" s="551"/>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69"/>
      <c r="Q116" s="501"/>
    </row>
    <row r="117" spans="1:17" ht="15" thickTop="1">
      <c r="A117" s="596"/>
      <c r="B117" s="535" t="s">
        <v>2602</v>
      </c>
      <c r="C117" s="2940" t="s">
        <v>3071</v>
      </c>
      <c r="D117" s="551"/>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69"/>
      <c r="Q118" s="501"/>
    </row>
    <row r="119" spans="1:17" ht="15" thickTop="1">
      <c r="A119" s="596"/>
      <c r="B119" s="633" t="s">
        <v>2685</v>
      </c>
      <c r="C119" s="2941" t="s">
        <v>3073</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69"/>
      <c r="Q120" s="501"/>
    </row>
    <row r="121" spans="1:17" s="468" customFormat="1" ht="15" thickTop="1">
      <c r="A121" s="590"/>
      <c r="B121" s="535" t="s">
        <v>2668</v>
      </c>
      <c r="C121" s="551"/>
      <c r="D121" s="551"/>
      <c r="E121" s="551"/>
      <c r="F121" s="580"/>
      <c r="G121" s="552"/>
      <c r="H121" s="552"/>
      <c r="I121" s="552"/>
      <c r="J121" s="552"/>
      <c r="K121" s="552"/>
      <c r="L121" s="553"/>
      <c r="M121" s="554"/>
      <c r="N121" s="1151"/>
      <c r="O121" s="1151"/>
      <c r="P121" s="2670"/>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0"/>
      <c r="Q122" s="556"/>
    </row>
    <row r="123" spans="1:17" ht="15" thickTop="1">
      <c r="A123" s="596"/>
      <c r="B123" s="535" t="s">
        <v>2604</v>
      </c>
      <c r="C123" s="2940" t="s">
        <v>3067</v>
      </c>
      <c r="D123" s="2940"/>
      <c r="E123" s="551"/>
      <c r="F123" s="580"/>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111</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16"/>
      <c r="F1" s="2569"/>
      <c r="G1" s="1617" t="s">
        <v>2627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2314</v>
      </c>
      <c r="B2" s="1413" t="e">
        <f ca="1">IF(C2="——",IF(B37="元/平方米",ROUND(C39*D3/10000,0),ROUND(F3*C39/10000,0)),IF(B37="元/平方米",ROUND(C39*D3/10000,0),ROUND(F3*C39/10000,0))-D2)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1414"/>
      <c r="Q2" s="763"/>
      <c r="R2" s="763"/>
      <c r="S2" s="763"/>
      <c r="T2" s="763"/>
      <c r="U2" s="763"/>
      <c r="V2" s="763"/>
      <c r="W2" s="763"/>
      <c r="X2" s="763"/>
      <c r="Y2" s="763"/>
      <c r="Z2" s="763"/>
      <c r="AA2" s="763"/>
      <c r="AB2" s="763"/>
      <c r="AC2" s="764"/>
    </row>
    <row r="3" spans="1:29" s="396" customFormat="1" ht="28.5" customHeight="1" thickBot="1">
      <c r="A3" s="245" t="s">
        <v>2316</v>
      </c>
      <c r="B3" s="606" t="e">
        <f ca="1">IF(AND(C2="——",B37="元/平方米"),C39,ROUND(B2*10000/D3,0))</f>
        <v>#DIV/0!</v>
      </c>
      <c r="C3" s="398" t="s">
        <v>2628</v>
      </c>
      <c r="D3" s="397">
        <f>SUMIF('数据-汇总表'!$C19:$C33,D1,'数据-汇总表'!$E19:$E33)</f>
        <v>0</v>
      </c>
      <c r="E3" s="398" t="s">
        <v>2692</v>
      </c>
      <c r="F3" s="397">
        <f>SUMIF('数据-取费表'!A5:A15,D1,'数据-取费表'!AH5:AH15)</f>
        <v>0</v>
      </c>
      <c r="G3" s="1122"/>
      <c r="H3" s="1122"/>
      <c r="I3" s="1122"/>
      <c r="J3" s="1122"/>
      <c r="K3" s="1124"/>
      <c r="L3" s="1125"/>
      <c r="M3" s="1126"/>
      <c r="N3" s="1126"/>
      <c r="O3" s="1126"/>
      <c r="P3" s="1414"/>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8"/>
      <c r="L7" s="1129"/>
      <c r="M7" s="1130"/>
      <c r="N7" s="1130"/>
      <c r="O7" s="1130"/>
      <c r="P7" s="3298" t="s">
        <v>2533</v>
      </c>
      <c r="Q7" s="3300"/>
      <c r="R7" s="765" t="s">
        <v>17</v>
      </c>
      <c r="S7" s="766">
        <f t="shared" ref="S7:S14" si="0">F7</f>
        <v>0</v>
      </c>
      <c r="T7" s="765" t="s">
        <v>17</v>
      </c>
      <c r="U7" s="766">
        <f t="shared" ref="U7:U14" si="1">H7</f>
        <v>0</v>
      </c>
      <c r="V7" s="765" t="s">
        <v>17</v>
      </c>
      <c r="W7" s="766">
        <f t="shared" ref="W7:W14" si="2">J7</f>
        <v>0</v>
      </c>
      <c r="X7" s="767"/>
      <c r="Y7" s="3298" t="s">
        <v>2533</v>
      </c>
      <c r="Z7" s="3299"/>
      <c r="AA7" s="768" t="e">
        <f>D7/F7</f>
        <v>#DIV/0!</v>
      </c>
      <c r="AB7" s="768" t="e">
        <f>D7/H7</f>
        <v>#DIV/0!</v>
      </c>
      <c r="AC7" s="768"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36" si="3">D8/F8</f>
        <v>#DIV/0!</v>
      </c>
      <c r="AB8" s="768" t="e">
        <f t="shared" ref="AB8:AB36" si="4">D8/H8</f>
        <v>#DIV/0!</v>
      </c>
      <c r="AC8" s="768" t="e">
        <f t="shared" ref="AC8:AC36" si="5">D8/J8</f>
        <v>#DIV/0!</v>
      </c>
    </row>
    <row r="9" spans="1:29" s="116" customFormat="1">
      <c r="A9" s="68" t="s">
        <v>2537</v>
      </c>
      <c r="B9" s="637" t="s">
        <v>2538</v>
      </c>
      <c r="C9" s="414"/>
      <c r="D9" s="133">
        <v>100</v>
      </c>
      <c r="E9" s="417"/>
      <c r="F9" s="133">
        <f>SUMIF(53:53,E9,54:54)-SUMIF(53:53,C9,54:54)+100</f>
        <v>100</v>
      </c>
      <c r="G9" s="415"/>
      <c r="H9" s="133">
        <f>SUMIF(53:53,G9,54:54)-SUMIF(53:53,C9,54:54)+100</f>
        <v>100</v>
      </c>
      <c r="I9" s="415"/>
      <c r="J9" s="133">
        <f>SUMIF(53:53,I9,54:54)-SUMIF(53:53,C9,54:54)+100</f>
        <v>100</v>
      </c>
      <c r="K9" s="608"/>
      <c r="L9" s="1129"/>
      <c r="M9" s="1130"/>
      <c r="N9" s="1130"/>
      <c r="O9" s="1130"/>
      <c r="P9" s="3269" t="s">
        <v>2539</v>
      </c>
      <c r="Q9" s="1789" t="str">
        <f t="shared" ref="Q9:Q14" si="6">B9</f>
        <v>用途</v>
      </c>
      <c r="R9" s="765" t="s">
        <v>17</v>
      </c>
      <c r="S9" s="766">
        <f t="shared" si="0"/>
        <v>100</v>
      </c>
      <c r="T9" s="765" t="s">
        <v>17</v>
      </c>
      <c r="U9" s="766">
        <f t="shared" si="1"/>
        <v>100</v>
      </c>
      <c r="V9" s="765" t="s">
        <v>17</v>
      </c>
      <c r="W9" s="766">
        <f t="shared" si="2"/>
        <v>100</v>
      </c>
      <c r="X9" s="767"/>
      <c r="Y9" s="3117" t="s">
        <v>2540</v>
      </c>
      <c r="Z9" s="55" t="str">
        <f t="shared" ref="Z9:Z14" si="7">Q9</f>
        <v>用途</v>
      </c>
      <c r="AA9" s="768">
        <f t="shared" si="3"/>
        <v>1</v>
      </c>
      <c r="AB9" s="768">
        <f t="shared" si="4"/>
        <v>1</v>
      </c>
      <c r="AC9" s="768">
        <f t="shared" si="5"/>
        <v>1</v>
      </c>
    </row>
    <row r="10" spans="1:29" s="424" customFormat="1" ht="27">
      <c r="A10" s="638"/>
      <c r="B10" s="639" t="s">
        <v>2541</v>
      </c>
      <c r="C10" s="420"/>
      <c r="D10" s="134">
        <v>100</v>
      </c>
      <c r="E10" s="420"/>
      <c r="F10" s="134">
        <f>SUMIF(55:55,E10,56:56)-SUMIF(55:55,C10,56:56)+100</f>
        <v>100</v>
      </c>
      <c r="G10" s="421"/>
      <c r="H10" s="134">
        <f>SUMIF(55:55,G10,56:56)-SUMIF(55:55,C10,56:56)+100</f>
        <v>100</v>
      </c>
      <c r="I10" s="420"/>
      <c r="J10" s="134">
        <f>SUMIF(55:55,I10,56:56)-SUMIF(55:55,C10,56:56)+100</f>
        <v>100</v>
      </c>
      <c r="K10" s="609"/>
      <c r="L10" s="1132"/>
      <c r="M10" s="1133"/>
      <c r="N10" s="1133"/>
      <c r="O10" s="1133"/>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35"/>
      <c r="M11" s="1128"/>
      <c r="N11" s="1128"/>
      <c r="O11" s="1128"/>
      <c r="P11" s="3269"/>
      <c r="Q11" s="1789">
        <f t="shared" si="6"/>
        <v>111</v>
      </c>
      <c r="R11" s="765" t="s">
        <v>17</v>
      </c>
      <c r="S11" s="766">
        <f t="shared" si="0"/>
        <v>100</v>
      </c>
      <c r="T11" s="765" t="s">
        <v>17</v>
      </c>
      <c r="U11" s="766">
        <f t="shared" si="1"/>
        <v>100</v>
      </c>
      <c r="V11" s="765" t="s">
        <v>17</v>
      </c>
      <c r="W11" s="766">
        <f t="shared" si="2"/>
        <v>100</v>
      </c>
      <c r="X11" s="767"/>
      <c r="Y11" s="3117"/>
      <c r="Z11" s="55">
        <f t="shared" si="7"/>
        <v>111</v>
      </c>
      <c r="AA11" s="768">
        <f t="shared" si="3"/>
        <v>1</v>
      </c>
      <c r="AB11" s="768">
        <f t="shared" si="4"/>
        <v>1</v>
      </c>
      <c r="AC11" s="768">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9"/>
      <c r="M12" s="1130"/>
      <c r="N12" s="1130"/>
      <c r="O12" s="1130"/>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7"/>
      <c r="M13" s="1128"/>
      <c r="N13" s="1128"/>
      <c r="O13" s="1128"/>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
      <c r="A14" s="399" t="s">
        <v>2543</v>
      </c>
      <c r="B14" s="626" t="s">
        <v>2693</v>
      </c>
      <c r="C14" s="2678">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71" t="s">
        <v>2544</v>
      </c>
      <c r="Q14" s="1804" t="str">
        <f t="shared" si="6"/>
        <v>交通便捷度</v>
      </c>
      <c r="R14" s="769" t="s">
        <v>17</v>
      </c>
      <c r="S14" s="770">
        <f t="shared" si="0"/>
        <v>100</v>
      </c>
      <c r="T14" s="769" t="s">
        <v>17</v>
      </c>
      <c r="U14" s="770">
        <f t="shared" si="1"/>
        <v>100</v>
      </c>
      <c r="V14" s="769" t="s">
        <v>17</v>
      </c>
      <c r="W14" s="770">
        <f t="shared" si="2"/>
        <v>100</v>
      </c>
      <c r="X14" s="1807"/>
      <c r="Y14" s="3271" t="s">
        <v>2544</v>
      </c>
      <c r="Z14" s="1808" t="str">
        <f t="shared" si="7"/>
        <v>交通便捷度</v>
      </c>
      <c r="AA14" s="1805">
        <f t="shared" si="3"/>
        <v>1</v>
      </c>
      <c r="AB14" s="1805">
        <f t="shared" si="4"/>
        <v>1</v>
      </c>
      <c r="AC14" s="1805">
        <f t="shared" si="5"/>
        <v>1</v>
      </c>
    </row>
    <row r="15" spans="1:29" ht="15">
      <c r="A15" s="402"/>
      <c r="B15" s="644"/>
      <c r="C15" s="444"/>
      <c r="D15" s="445"/>
      <c r="E15" s="444"/>
      <c r="F15" s="446"/>
      <c r="G15" s="444"/>
      <c r="H15" s="447"/>
      <c r="I15" s="444"/>
      <c r="J15" s="445"/>
      <c r="K15" s="612"/>
      <c r="L15" s="1137"/>
      <c r="M15" s="1128"/>
      <c r="N15" s="1128"/>
      <c r="O15" s="1128"/>
      <c r="P15" s="3272"/>
      <c r="Q15" s="1804"/>
      <c r="R15" s="769"/>
      <c r="S15" s="770"/>
      <c r="T15" s="769"/>
      <c r="U15" s="770"/>
      <c r="V15" s="769"/>
      <c r="W15" s="770"/>
      <c r="X15" s="1807"/>
      <c r="Y15" s="3272"/>
      <c r="Z15" s="1808"/>
      <c r="AA15" s="1805">
        <v>1</v>
      </c>
      <c r="AB15" s="1805">
        <v>1</v>
      </c>
      <c r="AC15" s="1805">
        <v>1</v>
      </c>
    </row>
    <row r="16" spans="1:29" ht="15">
      <c r="A16" s="402"/>
      <c r="B16" s="628" t="s">
        <v>2672</v>
      </c>
      <c r="C16" s="2592">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72"/>
      <c r="Q16" s="1804" t="str">
        <f>B16</f>
        <v>公共配套设施</v>
      </c>
      <c r="R16" s="769" t="s">
        <v>17</v>
      </c>
      <c r="S16" s="770">
        <f>F16</f>
        <v>100</v>
      </c>
      <c r="T16" s="769" t="s">
        <v>17</v>
      </c>
      <c r="U16" s="770">
        <f>H16</f>
        <v>100</v>
      </c>
      <c r="V16" s="769" t="s">
        <v>17</v>
      </c>
      <c r="W16" s="770">
        <f>J16</f>
        <v>100</v>
      </c>
      <c r="X16" s="1807"/>
      <c r="Y16" s="3272"/>
      <c r="Z16" s="1808" t="str">
        <f>Q16</f>
        <v>公共配套设施</v>
      </c>
      <c r="AA16" s="1805">
        <f t="shared" si="3"/>
        <v>1</v>
      </c>
      <c r="AB16" s="1805">
        <f t="shared" si="4"/>
        <v>1</v>
      </c>
      <c r="AC16" s="1805">
        <f t="shared" si="5"/>
        <v>1</v>
      </c>
    </row>
    <row r="17" spans="1:29" ht="15">
      <c r="A17" s="402"/>
      <c r="B17" s="629"/>
      <c r="C17" s="2593"/>
      <c r="D17" s="445"/>
      <c r="E17" s="444"/>
      <c r="F17" s="446"/>
      <c r="G17" s="444"/>
      <c r="H17" s="445"/>
      <c r="I17" s="444"/>
      <c r="J17" s="445"/>
      <c r="K17" s="612"/>
      <c r="L17" s="1137"/>
      <c r="M17" s="1128"/>
      <c r="N17" s="1128"/>
      <c r="O17" s="1128"/>
      <c r="P17" s="3272"/>
      <c r="Q17" s="1804"/>
      <c r="R17" s="769"/>
      <c r="S17" s="770"/>
      <c r="T17" s="769"/>
      <c r="U17" s="770"/>
      <c r="V17" s="769"/>
      <c r="W17" s="770"/>
      <c r="X17" s="1807"/>
      <c r="Y17" s="3272"/>
      <c r="Z17" s="1808"/>
      <c r="AA17" s="1805">
        <v>1</v>
      </c>
      <c r="AB17" s="1805">
        <v>1</v>
      </c>
      <c r="AC17" s="1805">
        <v>1</v>
      </c>
    </row>
    <row r="18" spans="1:29" ht="15">
      <c r="A18" s="402"/>
      <c r="B18" s="630" t="s">
        <v>2673</v>
      </c>
      <c r="C18" s="2592">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72"/>
      <c r="Q18" s="1804" t="str">
        <f>B18</f>
        <v>基础设施水平</v>
      </c>
      <c r="R18" s="769" t="s">
        <v>17</v>
      </c>
      <c r="S18" s="770">
        <f>F18</f>
        <v>100</v>
      </c>
      <c r="T18" s="769" t="s">
        <v>17</v>
      </c>
      <c r="U18" s="770">
        <f>H18</f>
        <v>100</v>
      </c>
      <c r="V18" s="769" t="s">
        <v>17</v>
      </c>
      <c r="W18" s="770">
        <f>J18</f>
        <v>100</v>
      </c>
      <c r="X18" s="1807"/>
      <c r="Y18" s="3272"/>
      <c r="Z18" s="1808" t="str">
        <f>Q18</f>
        <v>基础设施水平</v>
      </c>
      <c r="AA18" s="1805">
        <f t="shared" ref="AA18" si="8">D18/F18</f>
        <v>1</v>
      </c>
      <c r="AB18" s="1805">
        <f t="shared" ref="AB18" si="9">D18/H18</f>
        <v>1</v>
      </c>
      <c r="AC18" s="1805">
        <f t="shared" ref="AC18" si="10">D18/J18</f>
        <v>1</v>
      </c>
    </row>
    <row r="19" spans="1:29" ht="15">
      <c r="A19" s="402"/>
      <c r="B19" s="630"/>
      <c r="C19" s="2593"/>
      <c r="D19" s="447"/>
      <c r="E19" s="2593"/>
      <c r="F19" s="450"/>
      <c r="G19" s="2593"/>
      <c r="H19" s="445"/>
      <c r="I19" s="444"/>
      <c r="J19" s="445"/>
      <c r="K19" s="1378"/>
      <c r="L19" s="1137"/>
      <c r="M19" s="1128"/>
      <c r="N19" s="1128"/>
      <c r="O19" s="1128"/>
      <c r="P19" s="3272"/>
      <c r="Q19" s="1804"/>
      <c r="R19" s="769"/>
      <c r="S19" s="770"/>
      <c r="T19" s="769"/>
      <c r="U19" s="770"/>
      <c r="V19" s="769"/>
      <c r="W19" s="770"/>
      <c r="X19" s="1807"/>
      <c r="Y19" s="3272"/>
      <c r="Z19" s="1808"/>
      <c r="AA19" s="1805">
        <v>1</v>
      </c>
      <c r="AB19" s="1805">
        <v>1</v>
      </c>
      <c r="AC19" s="1805">
        <v>1</v>
      </c>
    </row>
    <row r="20" spans="1:29" ht="15">
      <c r="A20" s="402"/>
      <c r="B20" s="628" t="s">
        <v>2694</v>
      </c>
      <c r="C20" s="2592">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72"/>
      <c r="Q20" s="1804" t="str">
        <f>B20</f>
        <v>自然及人文环境</v>
      </c>
      <c r="R20" s="769" t="s">
        <v>17</v>
      </c>
      <c r="S20" s="770">
        <f>F20</f>
        <v>100</v>
      </c>
      <c r="T20" s="769" t="s">
        <v>17</v>
      </c>
      <c r="U20" s="770">
        <f>H20</f>
        <v>100</v>
      </c>
      <c r="V20" s="769" t="s">
        <v>17</v>
      </c>
      <c r="W20" s="770">
        <f>J20</f>
        <v>100</v>
      </c>
      <c r="X20" s="1807"/>
      <c r="Y20" s="3272"/>
      <c r="Z20" s="1808" t="str">
        <f>Q20</f>
        <v>自然及人文环境</v>
      </c>
      <c r="AA20" s="1805">
        <f t="shared" si="3"/>
        <v>1</v>
      </c>
      <c r="AB20" s="1805">
        <f t="shared" si="4"/>
        <v>1</v>
      </c>
      <c r="AC20" s="1805">
        <f t="shared" si="5"/>
        <v>1</v>
      </c>
    </row>
    <row r="21" spans="1:29" ht="15">
      <c r="A21" s="402"/>
      <c r="B21" s="629"/>
      <c r="C21" s="444"/>
      <c r="D21" s="445"/>
      <c r="E21" s="444"/>
      <c r="F21" s="446"/>
      <c r="G21" s="444"/>
      <c r="H21" s="445"/>
      <c r="I21" s="444"/>
      <c r="J21" s="445"/>
      <c r="K21" s="612"/>
      <c r="L21" s="1137"/>
      <c r="M21" s="1128"/>
      <c r="N21" s="1128"/>
      <c r="O21" s="1128"/>
      <c r="P21" s="3272"/>
      <c r="Q21" s="1804"/>
      <c r="R21" s="769"/>
      <c r="S21" s="770"/>
      <c r="T21" s="769"/>
      <c r="U21" s="770"/>
      <c r="V21" s="769"/>
      <c r="W21" s="770"/>
      <c r="X21" s="1807"/>
      <c r="Y21" s="3272"/>
      <c r="Z21" s="1808"/>
      <c r="AA21" s="1805">
        <v>1</v>
      </c>
      <c r="AB21" s="1805">
        <v>1</v>
      </c>
      <c r="AC21" s="1805">
        <v>1</v>
      </c>
    </row>
    <row r="22" spans="1:29" ht="15">
      <c r="A22" s="402"/>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72"/>
      <c r="Q22" s="1804" t="str">
        <f>B22</f>
        <v>楼层</v>
      </c>
      <c r="R22" s="769" t="s">
        <v>17</v>
      </c>
      <c r="S22" s="770">
        <f>F22</f>
        <v>100</v>
      </c>
      <c r="T22" s="769" t="s">
        <v>17</v>
      </c>
      <c r="U22" s="770">
        <f>H22</f>
        <v>100</v>
      </c>
      <c r="V22" s="769" t="s">
        <v>17</v>
      </c>
      <c r="W22" s="770">
        <f>J22</f>
        <v>100</v>
      </c>
      <c r="X22" s="1807"/>
      <c r="Y22" s="3272"/>
      <c r="Z22" s="1808" t="str">
        <f>Q22</f>
        <v>楼层</v>
      </c>
      <c r="AA22" s="1805">
        <f t="shared" si="3"/>
        <v>1</v>
      </c>
      <c r="AB22" s="1805">
        <f t="shared" si="4"/>
        <v>1</v>
      </c>
      <c r="AC22" s="1805">
        <f t="shared" si="5"/>
        <v>1</v>
      </c>
    </row>
    <row r="23" spans="1:29" ht="15">
      <c r="A23" s="402"/>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72"/>
      <c r="Q23" s="1804">
        <f>B23</f>
        <v>111</v>
      </c>
      <c r="R23" s="769" t="s">
        <v>17</v>
      </c>
      <c r="S23" s="770">
        <f>F23</f>
        <v>100</v>
      </c>
      <c r="T23" s="769" t="s">
        <v>17</v>
      </c>
      <c r="U23" s="770">
        <f>H23</f>
        <v>100</v>
      </c>
      <c r="V23" s="769" t="s">
        <v>17</v>
      </c>
      <c r="W23" s="770">
        <f>J23</f>
        <v>100</v>
      </c>
      <c r="X23" s="1807"/>
      <c r="Y23" s="3272"/>
      <c r="Z23" s="1808">
        <f>Q23</f>
        <v>111</v>
      </c>
      <c r="AA23" s="1805">
        <f t="shared" si="3"/>
        <v>1</v>
      </c>
      <c r="AB23" s="1805">
        <f t="shared" si="4"/>
        <v>1</v>
      </c>
      <c r="AC23" s="1805">
        <f t="shared" si="5"/>
        <v>1</v>
      </c>
    </row>
    <row r="24" spans="1:29" ht="15">
      <c r="A24" s="402"/>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72"/>
      <c r="Q24" s="1804">
        <f t="shared" ref="Q24:Q36" si="11">B24</f>
        <v>111</v>
      </c>
      <c r="R24" s="769" t="s">
        <v>17</v>
      </c>
      <c r="S24" s="770">
        <f>F24</f>
        <v>100</v>
      </c>
      <c r="T24" s="769" t="s">
        <v>17</v>
      </c>
      <c r="U24" s="770">
        <f>H24</f>
        <v>100</v>
      </c>
      <c r="V24" s="769" t="s">
        <v>17</v>
      </c>
      <c r="W24" s="770">
        <f>J24</f>
        <v>100</v>
      </c>
      <c r="X24" s="1807"/>
      <c r="Y24" s="3272"/>
      <c r="Z24" s="1808">
        <f>Q24</f>
        <v>111</v>
      </c>
      <c r="AA24" s="1805">
        <f t="shared" si="3"/>
        <v>1</v>
      </c>
      <c r="AB24" s="1805">
        <f t="shared" si="4"/>
        <v>1</v>
      </c>
      <c r="AC24" s="1805">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72"/>
      <c r="Q25" s="1789">
        <f t="shared" si="11"/>
        <v>111</v>
      </c>
      <c r="R25" s="765" t="s">
        <v>17</v>
      </c>
      <c r="S25" s="766">
        <f>F25</f>
        <v>100</v>
      </c>
      <c r="T25" s="765" t="s">
        <v>17</v>
      </c>
      <c r="U25" s="766">
        <f>H25</f>
        <v>100</v>
      </c>
      <c r="V25" s="765" t="s">
        <v>17</v>
      </c>
      <c r="W25" s="766">
        <f>J25</f>
        <v>100</v>
      </c>
      <c r="X25" s="767"/>
      <c r="Y25" s="3272"/>
      <c r="Z25" s="55">
        <f>Q25</f>
        <v>111</v>
      </c>
      <c r="AA25" s="1805">
        <f>D25/F25</f>
        <v>1</v>
      </c>
      <c r="AB25" s="1805">
        <f>D25/H25</f>
        <v>1</v>
      </c>
      <c r="AC25" s="1805">
        <f>D25/J25</f>
        <v>1</v>
      </c>
    </row>
    <row r="26" spans="1:29" ht="15">
      <c r="A26" s="649" t="s">
        <v>2547</v>
      </c>
      <c r="B26" s="70" t="s">
        <v>2696</v>
      </c>
      <c r="C26" s="2679">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73" t="s">
        <v>2549</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74" t="s">
        <v>2549</v>
      </c>
      <c r="Z26" s="1808" t="str">
        <f t="shared" ref="Z26:Z36" si="15">Q26</f>
        <v>配套类型</v>
      </c>
      <c r="AA26" s="1805">
        <f t="shared" si="3"/>
        <v>1</v>
      </c>
      <c r="AB26" s="1805">
        <f t="shared" si="4"/>
        <v>1</v>
      </c>
      <c r="AC26" s="1805">
        <f t="shared" si="5"/>
        <v>1</v>
      </c>
    </row>
    <row r="27" spans="1:29" s="468" customFormat="1" ht="15">
      <c r="A27" s="650"/>
      <c r="B27" s="651" t="s">
        <v>2697</v>
      </c>
      <c r="C27" s="652"/>
      <c r="D27" s="134">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74"/>
      <c r="Q27" s="771" t="str">
        <f t="shared" si="11"/>
        <v>项目停车位配比</v>
      </c>
      <c r="R27" s="772" t="s">
        <v>17</v>
      </c>
      <c r="S27" s="773">
        <f t="shared" si="12"/>
        <v>100</v>
      </c>
      <c r="T27" s="772" t="s">
        <v>17</v>
      </c>
      <c r="U27" s="773">
        <f t="shared" si="13"/>
        <v>100</v>
      </c>
      <c r="V27" s="772" t="s">
        <v>17</v>
      </c>
      <c r="W27" s="773">
        <f t="shared" si="14"/>
        <v>100</v>
      </c>
      <c r="X27" s="774"/>
      <c r="Y27" s="3274"/>
      <c r="Z27" s="775" t="str">
        <f t="shared" si="15"/>
        <v>项目停车位配比</v>
      </c>
      <c r="AA27" s="1805">
        <f t="shared" si="3"/>
        <v>1</v>
      </c>
      <c r="AB27" s="1805">
        <f t="shared" si="4"/>
        <v>1</v>
      </c>
      <c r="AC27" s="1805">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74"/>
      <c r="Q28" s="1804" t="str">
        <f t="shared" si="11"/>
        <v>公共部分装修</v>
      </c>
      <c r="R28" s="769" t="s">
        <v>17</v>
      </c>
      <c r="S28" s="770">
        <f t="shared" si="12"/>
        <v>100</v>
      </c>
      <c r="T28" s="769" t="s">
        <v>17</v>
      </c>
      <c r="U28" s="770">
        <f t="shared" si="13"/>
        <v>100</v>
      </c>
      <c r="V28" s="769" t="s">
        <v>17</v>
      </c>
      <c r="W28" s="770">
        <f t="shared" si="14"/>
        <v>100</v>
      </c>
      <c r="X28" s="1807"/>
      <c r="Y28" s="3274"/>
      <c r="Z28" s="1808" t="str">
        <f t="shared" si="15"/>
        <v>公共部分装修</v>
      </c>
      <c r="AA28" s="1805">
        <f t="shared" si="3"/>
        <v>1</v>
      </c>
      <c r="AB28" s="1805">
        <f t="shared" si="4"/>
        <v>1</v>
      </c>
      <c r="AC28" s="1805">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74"/>
      <c r="Q29" s="1804" t="str">
        <f t="shared" si="11"/>
        <v>成新率</v>
      </c>
      <c r="R29" s="769" t="s">
        <v>17</v>
      </c>
      <c r="S29" s="770" t="e">
        <f t="shared" si="12"/>
        <v>#N/A</v>
      </c>
      <c r="T29" s="769" t="s">
        <v>17</v>
      </c>
      <c r="U29" s="770" t="e">
        <f t="shared" si="13"/>
        <v>#N/A</v>
      </c>
      <c r="V29" s="769" t="s">
        <v>17</v>
      </c>
      <c r="W29" s="770" t="e">
        <f t="shared" si="14"/>
        <v>#N/A</v>
      </c>
      <c r="X29" s="1807"/>
      <c r="Y29" s="3274"/>
      <c r="Z29" s="1808" t="str">
        <f t="shared" si="15"/>
        <v>成新率</v>
      </c>
      <c r="AA29" s="1805" t="e">
        <f t="shared" si="3"/>
        <v>#N/A</v>
      </c>
      <c r="AB29" s="1805" t="e">
        <f t="shared" si="4"/>
        <v>#N/A</v>
      </c>
      <c r="AC29" s="1805"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74"/>
      <c r="Q30" s="1804" t="str">
        <f t="shared" si="11"/>
        <v>物业等级</v>
      </c>
      <c r="R30" s="769" t="s">
        <v>17</v>
      </c>
      <c r="S30" s="770">
        <f t="shared" si="12"/>
        <v>100</v>
      </c>
      <c r="T30" s="769" t="s">
        <v>17</v>
      </c>
      <c r="U30" s="770">
        <f t="shared" si="13"/>
        <v>100</v>
      </c>
      <c r="V30" s="769" t="s">
        <v>17</v>
      </c>
      <c r="W30" s="770">
        <f t="shared" si="14"/>
        <v>100</v>
      </c>
      <c r="X30" s="1807"/>
      <c r="Y30" s="3274"/>
      <c r="Z30" s="1808" t="str">
        <f t="shared" si="15"/>
        <v>物业等级</v>
      </c>
      <c r="AA30" s="1805">
        <f t="shared" si="3"/>
        <v>1</v>
      </c>
      <c r="AB30" s="1805">
        <f t="shared" si="4"/>
        <v>1</v>
      </c>
      <c r="AC30" s="1805">
        <f t="shared" si="5"/>
        <v>1</v>
      </c>
    </row>
    <row r="31" spans="1:29" s="116" customFormat="1" ht="15">
      <c r="A31" s="655"/>
      <c r="B31" s="651" t="s">
        <v>2701</v>
      </c>
      <c r="C31" s="466"/>
      <c r="D31" s="134">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74"/>
      <c r="Q31" s="1789" t="str">
        <f t="shared" si="11"/>
        <v>停车位面积</v>
      </c>
      <c r="R31" s="765" t="s">
        <v>17</v>
      </c>
      <c r="S31" s="766" t="e">
        <f t="shared" si="12"/>
        <v>#N/A</v>
      </c>
      <c r="T31" s="765" t="s">
        <v>17</v>
      </c>
      <c r="U31" s="766" t="e">
        <f t="shared" si="13"/>
        <v>#N/A</v>
      </c>
      <c r="V31" s="765" t="s">
        <v>17</v>
      </c>
      <c r="W31" s="766" t="e">
        <f t="shared" si="14"/>
        <v>#N/A</v>
      </c>
      <c r="X31" s="767"/>
      <c r="Y31" s="3274"/>
      <c r="Z31" s="55" t="str">
        <f t="shared" si="15"/>
        <v>停车位面积</v>
      </c>
      <c r="AA31" s="768" t="e">
        <f t="shared" si="3"/>
        <v>#N/A</v>
      </c>
      <c r="AB31" s="768" t="e">
        <f t="shared" si="4"/>
        <v>#N/A</v>
      </c>
      <c r="AC31" s="768"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74" t="s">
        <v>2549</v>
      </c>
      <c r="Q32" s="1804" t="str">
        <f t="shared" si="11"/>
        <v>车位类型</v>
      </c>
      <c r="R32" s="769" t="s">
        <v>17</v>
      </c>
      <c r="S32" s="770">
        <f t="shared" si="12"/>
        <v>100</v>
      </c>
      <c r="T32" s="769" t="s">
        <v>17</v>
      </c>
      <c r="U32" s="770">
        <f t="shared" si="13"/>
        <v>100</v>
      </c>
      <c r="V32" s="769" t="s">
        <v>17</v>
      </c>
      <c r="W32" s="770">
        <f t="shared" si="14"/>
        <v>100</v>
      </c>
      <c r="X32" s="1807"/>
      <c r="Y32" s="3274" t="s">
        <v>2549</v>
      </c>
      <c r="Z32" s="1808" t="str">
        <f t="shared" si="15"/>
        <v>车位类型</v>
      </c>
      <c r="AA32" s="1805">
        <f t="shared" si="3"/>
        <v>1</v>
      </c>
      <c r="AB32" s="1805">
        <f t="shared" si="4"/>
        <v>1</v>
      </c>
      <c r="AC32" s="1805">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74"/>
      <c r="Q33" s="1804" t="str">
        <f t="shared" si="11"/>
        <v>是否直接入户</v>
      </c>
      <c r="R33" s="769" t="s">
        <v>17</v>
      </c>
      <c r="S33" s="770">
        <f t="shared" si="12"/>
        <v>100</v>
      </c>
      <c r="T33" s="769" t="s">
        <v>17</v>
      </c>
      <c r="U33" s="770">
        <f t="shared" si="13"/>
        <v>100</v>
      </c>
      <c r="V33" s="769" t="s">
        <v>17</v>
      </c>
      <c r="W33" s="770">
        <f t="shared" si="14"/>
        <v>100</v>
      </c>
      <c r="X33" s="1807"/>
      <c r="Y33" s="3274"/>
      <c r="Z33" s="1808" t="str">
        <f t="shared" si="15"/>
        <v>是否直接入户</v>
      </c>
      <c r="AA33" s="1805">
        <f t="shared" si="3"/>
        <v>1</v>
      </c>
      <c r="AB33" s="1805">
        <f t="shared" si="4"/>
        <v>1</v>
      </c>
      <c r="AC33" s="180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74"/>
      <c r="Q34" s="1804">
        <f t="shared" si="11"/>
        <v>111</v>
      </c>
      <c r="R34" s="769" t="s">
        <v>17</v>
      </c>
      <c r="S34" s="770">
        <f t="shared" si="12"/>
        <v>100</v>
      </c>
      <c r="T34" s="769" t="s">
        <v>17</v>
      </c>
      <c r="U34" s="770">
        <f t="shared" si="13"/>
        <v>100</v>
      </c>
      <c r="V34" s="769" t="s">
        <v>17</v>
      </c>
      <c r="W34" s="770">
        <f t="shared" si="14"/>
        <v>100</v>
      </c>
      <c r="X34" s="1807"/>
      <c r="Y34" s="3274"/>
      <c r="Z34" s="1808">
        <f t="shared" si="15"/>
        <v>111</v>
      </c>
      <c r="AA34" s="1805">
        <f t="shared" si="3"/>
        <v>1</v>
      </c>
      <c r="AB34" s="1805">
        <f t="shared" si="4"/>
        <v>1</v>
      </c>
      <c r="AC34" s="180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74"/>
      <c r="Q35" s="771">
        <f t="shared" si="11"/>
        <v>111</v>
      </c>
      <c r="R35" s="772" t="s">
        <v>17</v>
      </c>
      <c r="S35" s="773">
        <f t="shared" si="12"/>
        <v>100</v>
      </c>
      <c r="T35" s="772" t="s">
        <v>17</v>
      </c>
      <c r="U35" s="773">
        <f t="shared" si="13"/>
        <v>100</v>
      </c>
      <c r="V35" s="772" t="s">
        <v>17</v>
      </c>
      <c r="W35" s="773">
        <f t="shared" si="14"/>
        <v>100</v>
      </c>
      <c r="X35" s="774"/>
      <c r="Y35" s="3274"/>
      <c r="Z35" s="775">
        <f t="shared" si="15"/>
        <v>111</v>
      </c>
      <c r="AA35" s="1805">
        <f t="shared" si="3"/>
        <v>1</v>
      </c>
      <c r="AB35" s="1805">
        <f t="shared" si="4"/>
        <v>1</v>
      </c>
      <c r="AC35" s="180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74"/>
      <c r="Q36" s="1804">
        <f t="shared" si="11"/>
        <v>111</v>
      </c>
      <c r="R36" s="769" t="s">
        <v>17</v>
      </c>
      <c r="S36" s="770">
        <f t="shared" si="12"/>
        <v>100</v>
      </c>
      <c r="T36" s="769" t="s">
        <v>17</v>
      </c>
      <c r="U36" s="770">
        <f t="shared" si="13"/>
        <v>100</v>
      </c>
      <c r="V36" s="769" t="s">
        <v>17</v>
      </c>
      <c r="W36" s="770">
        <f t="shared" si="14"/>
        <v>100</v>
      </c>
      <c r="X36" s="1807"/>
      <c r="Y36" s="3274"/>
      <c r="Z36" s="1808">
        <f t="shared" si="15"/>
        <v>111</v>
      </c>
      <c r="AA36" s="1805">
        <f t="shared" si="3"/>
        <v>1</v>
      </c>
      <c r="AB36" s="1805">
        <f t="shared" si="4"/>
        <v>1</v>
      </c>
      <c r="AC36" s="1805">
        <f t="shared" si="5"/>
        <v>1</v>
      </c>
    </row>
    <row r="37" spans="1:29" ht="15">
      <c r="A37" s="476" t="s">
        <v>2704</v>
      </c>
      <c r="B37" s="2680" t="s">
        <v>2705</v>
      </c>
      <c r="C37" s="1402" t="s">
        <v>1</v>
      </c>
      <c r="D37" s="1403"/>
      <c r="E37" s="1404"/>
      <c r="F37" s="1405"/>
      <c r="G37" s="1406"/>
      <c r="H37" s="1407"/>
      <c r="I37" s="1404"/>
      <c r="J37" s="1407"/>
      <c r="K37" s="616"/>
      <c r="L37" s="1140"/>
      <c r="M37" s="1141"/>
      <c r="N37" s="1128"/>
      <c r="O37" s="1141"/>
      <c r="P37" s="3269" t="str">
        <f>A37</f>
        <v>成交单价</v>
      </c>
      <c r="Q37" s="3269"/>
      <c r="R37" s="3305">
        <f>E37</f>
        <v>0</v>
      </c>
      <c r="S37" s="3305"/>
      <c r="T37" s="3305">
        <f>G37</f>
        <v>0</v>
      </c>
      <c r="U37" s="3305"/>
      <c r="V37" s="3305">
        <f>I37</f>
        <v>0</v>
      </c>
      <c r="W37" s="3305"/>
      <c r="X37" s="754"/>
      <c r="Y37" s="776"/>
      <c r="Z37" s="754"/>
      <c r="AA37" s="754"/>
      <c r="AB37" s="754"/>
      <c r="AC37" s="754"/>
    </row>
    <row r="38" spans="1:29" ht="15.75" thickBot="1">
      <c r="A38" s="483" t="s">
        <v>2706</v>
      </c>
      <c r="B38" s="484" t="str">
        <f>B37</f>
        <v>元/车位</v>
      </c>
      <c r="C38" s="1408" t="e">
        <f>R39</f>
        <v>#DIV/0!</v>
      </c>
      <c r="D38" s="1409"/>
      <c r="E38" s="1410" t="e">
        <f>R38</f>
        <v>#DIV/0!</v>
      </c>
      <c r="F38" s="1410"/>
      <c r="G38" s="1408" t="e">
        <f>T38</f>
        <v>#DIV/0!</v>
      </c>
      <c r="H38" s="1409"/>
      <c r="I38" s="1410" t="e">
        <f>V38</f>
        <v>#DIV/0!</v>
      </c>
      <c r="J38" s="1409"/>
      <c r="K38" s="617"/>
      <c r="L38" s="1140"/>
      <c r="M38" s="1141"/>
      <c r="N38" s="1141"/>
      <c r="O38" s="1141"/>
      <c r="P38" s="3269" t="str">
        <f>A38</f>
        <v>比较价值（元/平方米）</v>
      </c>
      <c r="Q38" s="3269"/>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754"/>
      <c r="Y38" s="754"/>
      <c r="Z38" s="754"/>
      <c r="AA38" s="754"/>
      <c r="AB38" s="754"/>
      <c r="AC38" s="754"/>
    </row>
    <row r="39" spans="1:29" ht="15.75" thickBot="1">
      <c r="A39" s="489" t="s">
        <v>2707</v>
      </c>
      <c r="B39" s="490"/>
      <c r="C39" s="1412" t="e">
        <f>R39</f>
        <v>#DIV/0!</v>
      </c>
      <c r="D39" s="1412"/>
      <c r="E39" s="1412"/>
      <c r="F39" s="1412"/>
      <c r="G39" s="1412"/>
      <c r="H39" s="1412"/>
      <c r="I39" s="1412"/>
      <c r="J39" s="1412"/>
      <c r="K39" s="618"/>
      <c r="L39" s="1140"/>
      <c r="M39" s="1141"/>
      <c r="N39" s="1141"/>
      <c r="O39" s="1141"/>
      <c r="P39" s="3263" t="str">
        <f>A39</f>
        <v>估价对象XX用房的比较价值（楼面单价，元/平方米）</v>
      </c>
      <c r="Q39" s="3264"/>
      <c r="R39" s="3306" t="e">
        <f>IF(F1="售价",ROUND(AVERAGE(R38:V38),0),ROUND(AVERAGE(R38:V38),1))</f>
        <v>#DIV/0!</v>
      </c>
      <c r="S39" s="3306"/>
      <c r="T39" s="3306"/>
      <c r="U39" s="3306"/>
      <c r="V39" s="3306"/>
      <c r="W39" s="3306"/>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499" customFormat="1" ht="13.5" customHeight="1">
      <c r="A44" s="1142"/>
      <c r="B44" s="1142"/>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2711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5" customFormat="1" ht="15">
      <c r="A48" s="502" t="s">
        <v>2712</v>
      </c>
      <c r="B48" s="503"/>
      <c r="C48" s="1568" t="str">
        <f>YEAR(C7)&amp;"-"&amp;MONTH(C7)</f>
        <v>2018-4</v>
      </c>
      <c r="D48" s="1569">
        <f>EDATE(C48,-1)</f>
        <v>43160</v>
      </c>
      <c r="E48" s="1569">
        <f t="shared" ref="E48:O48" si="16">EDATE(D48,-1)</f>
        <v>43132</v>
      </c>
      <c r="F48" s="1569">
        <f t="shared" si="16"/>
        <v>43101</v>
      </c>
      <c r="G48" s="1569">
        <f t="shared" si="16"/>
        <v>43070</v>
      </c>
      <c r="H48" s="1569">
        <f t="shared" si="16"/>
        <v>43040</v>
      </c>
      <c r="I48" s="1569">
        <f t="shared" si="16"/>
        <v>43009</v>
      </c>
      <c r="J48" s="1569">
        <f t="shared" si="16"/>
        <v>42979</v>
      </c>
      <c r="K48" s="1569">
        <f t="shared" si="16"/>
        <v>42948</v>
      </c>
      <c r="L48" s="1569">
        <f t="shared" si="16"/>
        <v>42917</v>
      </c>
      <c r="M48" s="1569">
        <f t="shared" si="16"/>
        <v>42887</v>
      </c>
      <c r="N48" s="1569">
        <f t="shared" si="16"/>
        <v>42856</v>
      </c>
      <c r="O48" s="1569">
        <f t="shared" si="16"/>
        <v>42826</v>
      </c>
      <c r="P48" s="1433"/>
      <c r="Q48" s="1434"/>
      <c r="R48" s="1434"/>
      <c r="S48" s="1434"/>
      <c r="T48" s="1434"/>
      <c r="U48" s="1434"/>
      <c r="V48" s="1434"/>
      <c r="W48" s="1434"/>
      <c r="X48" s="1434"/>
      <c r="Y48" s="1434"/>
      <c r="Z48" s="1434"/>
      <c r="AA48" s="1434"/>
      <c r="AB48" s="1434"/>
      <c r="AC48" s="1434"/>
    </row>
    <row r="49" spans="1:29" s="116"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6" customFormat="1" ht="15.75" thickBot="1">
      <c r="A50" s="512" t="s">
        <v>2569</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6" customFormat="1" ht="15">
      <c r="A51" s="518" t="s">
        <v>2534</v>
      </c>
      <c r="B51" s="507"/>
      <c r="C51" s="519" t="s">
        <v>2636</v>
      </c>
      <c r="D51" s="520"/>
      <c r="E51" s="520"/>
      <c r="F51" s="520"/>
      <c r="G51" s="520"/>
      <c r="H51" s="520"/>
      <c r="I51" s="520"/>
      <c r="J51" s="520"/>
      <c r="K51" s="520"/>
      <c r="L51" s="521"/>
      <c r="M51" s="522"/>
      <c r="N51" s="1148"/>
      <c r="O51" s="1148"/>
      <c r="P51" s="1421"/>
      <c r="Q51" s="1418"/>
      <c r="R51" s="1422"/>
      <c r="S51" s="1422"/>
      <c r="T51" s="1422"/>
      <c r="U51" s="1422"/>
      <c r="V51" s="1422"/>
      <c r="W51" s="1422"/>
      <c r="X51" s="1422"/>
      <c r="Y51" s="1422"/>
      <c r="Z51" s="1422"/>
      <c r="AA51" s="1422"/>
      <c r="AB51" s="1422"/>
      <c r="AC51" s="1422"/>
    </row>
    <row r="52" spans="1:29" s="116" customFormat="1" ht="15.75" thickBot="1">
      <c r="A52" s="518"/>
      <c r="B52" s="507"/>
      <c r="C52" s="636">
        <v>100</v>
      </c>
      <c r="D52" s="509"/>
      <c r="E52" s="509"/>
      <c r="F52" s="509"/>
      <c r="G52" s="509"/>
      <c r="H52" s="509"/>
      <c r="I52" s="509"/>
      <c r="J52" s="509"/>
      <c r="K52" s="509"/>
      <c r="L52" s="509"/>
      <c r="M52" s="511"/>
      <c r="N52" s="1148"/>
      <c r="O52" s="1148"/>
      <c r="P52" s="1423"/>
      <c r="Q52" s="1418"/>
      <c r="R52" s="1422"/>
      <c r="S52" s="1422"/>
      <c r="T52" s="1422"/>
      <c r="U52" s="1422"/>
      <c r="V52" s="1422"/>
      <c r="W52" s="1422"/>
      <c r="X52" s="1422"/>
      <c r="Y52" s="1422"/>
      <c r="Z52" s="1422"/>
      <c r="AA52" s="1422"/>
      <c r="AB52" s="1422"/>
      <c r="AC52" s="1422"/>
    </row>
    <row r="53" spans="1:29">
      <c r="A53" s="524" t="s">
        <v>2572</v>
      </c>
      <c r="B53" s="525" t="s">
        <v>2538</v>
      </c>
      <c r="C53" s="526">
        <f>C9</f>
        <v>0</v>
      </c>
      <c r="D53" s="527"/>
      <c r="E53" s="527"/>
      <c r="F53" s="527"/>
      <c r="G53" s="527"/>
      <c r="H53" s="527"/>
      <c r="I53" s="527"/>
      <c r="J53" s="527"/>
      <c r="K53" s="528"/>
      <c r="L53" s="529"/>
      <c r="M53" s="530"/>
      <c r="N53" s="1149"/>
      <c r="O53" s="1149"/>
      <c r="P53" s="1424"/>
      <c r="Q53" s="1418"/>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4"/>
      <c r="Q54" s="1418"/>
      <c r="R54" s="1141"/>
      <c r="S54" s="1141"/>
      <c r="T54" s="1141"/>
      <c r="U54" s="1141"/>
      <c r="V54" s="1141"/>
      <c r="W54" s="1141"/>
      <c r="X54" s="1141"/>
      <c r="Y54" s="1141"/>
      <c r="Z54" s="1141"/>
      <c r="AA54" s="1141"/>
      <c r="AB54" s="1141"/>
      <c r="AC54" s="1141"/>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9"/>
      <c r="O55" s="1149"/>
      <c r="P55" s="1424"/>
      <c r="Q55" s="1418"/>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4"/>
      <c r="Q56" s="1418"/>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4"/>
      <c r="Q57" s="1418"/>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4"/>
      <c r="Q58" s="1418"/>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50"/>
      <c r="O60" s="1150"/>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1"/>
      <c r="O61" s="1151"/>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1"/>
      <c r="O62" s="1151"/>
      <c r="P62" s="1425"/>
      <c r="Q62" s="1426"/>
      <c r="R62" s="1427"/>
      <c r="S62" s="1427"/>
      <c r="T62" s="1427"/>
      <c r="U62" s="1427"/>
      <c r="V62" s="1427"/>
      <c r="W62" s="1427"/>
      <c r="X62" s="1427"/>
      <c r="Y62" s="1427"/>
      <c r="Z62" s="1427"/>
      <c r="AA62" s="1427"/>
      <c r="AB62" s="1427"/>
      <c r="AC62" s="1427"/>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9"/>
      <c r="O63" s="1149"/>
      <c r="P63" s="1430"/>
      <c r="Q63" s="1418"/>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4"/>
      <c r="Q64" s="1418"/>
      <c r="R64" s="1141"/>
      <c r="S64" s="1141"/>
      <c r="T64" s="1141"/>
      <c r="U64" s="1141"/>
      <c r="V64" s="1141"/>
      <c r="W64" s="1141"/>
      <c r="X64" s="1141"/>
      <c r="Y64" s="1141"/>
      <c r="Z64" s="1141"/>
      <c r="AA64" s="1141"/>
      <c r="AB64" s="1141"/>
      <c r="AC64" s="1141"/>
    </row>
    <row r="65" spans="1:29" ht="15.75" thickTop="1">
      <c r="A65" s="531"/>
      <c r="B65" s="535" t="s">
        <v>2587</v>
      </c>
      <c r="C65" s="575" t="s">
        <v>2581</v>
      </c>
      <c r="D65" s="575" t="s">
        <v>2582</v>
      </c>
      <c r="E65" s="575" t="s">
        <v>2583</v>
      </c>
      <c r="F65" s="575" t="s">
        <v>2584</v>
      </c>
      <c r="G65" s="575" t="s">
        <v>2585</v>
      </c>
      <c r="H65" s="536"/>
      <c r="I65" s="536"/>
      <c r="J65" s="536"/>
      <c r="K65" s="537"/>
      <c r="L65" s="538"/>
      <c r="M65" s="539"/>
      <c r="N65" s="1149"/>
      <c r="O65" s="1149"/>
      <c r="P65" s="1424"/>
      <c r="Q65" s="1418"/>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4"/>
      <c r="Q66" s="1418"/>
      <c r="R66" s="1141"/>
      <c r="S66" s="1141"/>
      <c r="T66" s="1141"/>
      <c r="U66" s="1141"/>
      <c r="V66" s="1141"/>
      <c r="W66" s="1141"/>
      <c r="X66" s="1141"/>
      <c r="Y66" s="1141"/>
      <c r="Z66" s="1141"/>
      <c r="AA66" s="1141"/>
      <c r="AB66" s="1141"/>
      <c r="AC66" s="1141"/>
    </row>
    <row r="67" spans="1:29" ht="15.75" thickTop="1">
      <c r="A67" s="531"/>
      <c r="B67" s="543" t="s">
        <v>2673</v>
      </c>
      <c r="C67" s="657" t="s">
        <v>2659</v>
      </c>
      <c r="D67" s="657" t="s">
        <v>2660</v>
      </c>
      <c r="E67" s="657" t="s">
        <v>2661</v>
      </c>
      <c r="F67" s="657" t="s">
        <v>2662</v>
      </c>
      <c r="G67" s="657" t="s">
        <v>2663</v>
      </c>
      <c r="H67" s="536"/>
      <c r="I67" s="536"/>
      <c r="J67" s="536"/>
      <c r="K67" s="536"/>
      <c r="L67" s="536"/>
      <c r="M67" s="1377"/>
      <c r="N67" s="1150"/>
      <c r="O67" s="1150"/>
      <c r="P67" s="1424"/>
      <c r="Q67" s="1418"/>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4"/>
      <c r="Q68" s="1418"/>
      <c r="R68" s="1141"/>
      <c r="S68" s="1141"/>
      <c r="T68" s="1141"/>
      <c r="U68" s="1141"/>
      <c r="V68" s="1141"/>
      <c r="W68" s="1141"/>
      <c r="X68" s="1141"/>
      <c r="Y68" s="1141"/>
      <c r="Z68" s="1141"/>
      <c r="AA68" s="1141"/>
      <c r="AB68" s="1141"/>
      <c r="AC68" s="1141"/>
    </row>
    <row r="69" spans="1:29" ht="15.75" thickTop="1">
      <c r="A69" s="531"/>
      <c r="B69" s="535" t="s">
        <v>2593</v>
      </c>
      <c r="C69" s="575" t="s">
        <v>2581</v>
      </c>
      <c r="D69" s="575" t="s">
        <v>2582</v>
      </c>
      <c r="E69" s="575" t="s">
        <v>2583</v>
      </c>
      <c r="F69" s="575" t="s">
        <v>2584</v>
      </c>
      <c r="G69" s="575" t="s">
        <v>2585</v>
      </c>
      <c r="H69" s="536"/>
      <c r="I69" s="536"/>
      <c r="J69" s="536"/>
      <c r="K69" s="537"/>
      <c r="L69" s="538"/>
      <c r="M69" s="539"/>
      <c r="N69" s="1149"/>
      <c r="O69" s="1149"/>
      <c r="P69" s="1424"/>
      <c r="Q69" s="1418"/>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4"/>
      <c r="Q70" s="1418"/>
      <c r="R70" s="1141"/>
      <c r="S70" s="1141"/>
      <c r="T70" s="1141"/>
      <c r="U70" s="1141"/>
      <c r="V70" s="1141"/>
      <c r="W70" s="1141"/>
      <c r="X70" s="1141"/>
      <c r="Y70" s="1141"/>
      <c r="Z70" s="1141"/>
      <c r="AA70" s="1141"/>
      <c r="AB70" s="1141"/>
      <c r="AC70" s="1141"/>
    </row>
    <row r="71" spans="1:29" ht="15.75" thickTop="1">
      <c r="A71" s="531"/>
      <c r="B71" s="535" t="s">
        <v>2713</v>
      </c>
      <c r="C71" s="551"/>
      <c r="D71" s="551"/>
      <c r="E71" s="551"/>
      <c r="F71" s="551"/>
      <c r="G71" s="551"/>
      <c r="H71" s="580"/>
      <c r="I71" s="580"/>
      <c r="J71" s="580"/>
      <c r="K71" s="581"/>
      <c r="L71" s="582"/>
      <c r="M71" s="583"/>
      <c r="N71" s="1149"/>
      <c r="O71" s="1149"/>
      <c r="P71" s="1424"/>
      <c r="Q71" s="1418"/>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4"/>
      <c r="Q72" s="1418"/>
      <c r="R72" s="1141"/>
      <c r="S72" s="1141"/>
      <c r="T72" s="1141"/>
      <c r="U72" s="1141"/>
      <c r="V72" s="1141"/>
      <c r="W72" s="1141"/>
      <c r="X72" s="1141"/>
      <c r="Y72" s="1141"/>
      <c r="Z72" s="1141"/>
      <c r="AA72" s="1141"/>
      <c r="AB72" s="1141"/>
      <c r="AC72" s="1141"/>
    </row>
    <row r="73" spans="1:29" s="116" customFormat="1" ht="15.75" thickTop="1">
      <c r="A73" s="576"/>
      <c r="B73" s="535">
        <f>B23</f>
        <v>111</v>
      </c>
      <c r="C73" s="546"/>
      <c r="D73" s="546"/>
      <c r="E73" s="546"/>
      <c r="F73" s="546"/>
      <c r="G73" s="551"/>
      <c r="H73" s="551"/>
      <c r="I73" s="551"/>
      <c r="J73" s="551"/>
      <c r="K73" s="551"/>
      <c r="L73" s="577"/>
      <c r="M73" s="578"/>
      <c r="N73" s="1148"/>
      <c r="O73" s="1148"/>
      <c r="P73" s="1424"/>
      <c r="Q73" s="1418"/>
      <c r="R73" s="1422"/>
      <c r="S73" s="1422"/>
      <c r="T73" s="1422"/>
      <c r="U73" s="1422"/>
      <c r="V73" s="1422"/>
      <c r="W73" s="1422"/>
      <c r="X73" s="1422"/>
      <c r="Y73" s="1422"/>
      <c r="Z73" s="1422"/>
      <c r="AA73" s="1422"/>
      <c r="AB73" s="1422"/>
      <c r="AC73" s="1422"/>
    </row>
    <row r="74" spans="1:29" s="116" customFormat="1" ht="15.75" thickBot="1">
      <c r="A74" s="576"/>
      <c r="B74" s="540"/>
      <c r="C74" s="557"/>
      <c r="D74" s="533"/>
      <c r="E74" s="533"/>
      <c r="F74" s="533"/>
      <c r="G74" s="533"/>
      <c r="H74" s="533"/>
      <c r="I74" s="533"/>
      <c r="J74" s="533"/>
      <c r="K74" s="533"/>
      <c r="L74" s="533"/>
      <c r="M74" s="534"/>
      <c r="N74" s="1150"/>
      <c r="O74" s="1150"/>
      <c r="P74" s="1424"/>
      <c r="Q74" s="1418"/>
      <c r="R74" s="1422"/>
      <c r="S74" s="1422"/>
      <c r="T74" s="1422"/>
      <c r="U74" s="1422"/>
      <c r="V74" s="1422"/>
      <c r="W74" s="1422"/>
      <c r="X74" s="1422"/>
      <c r="Y74" s="1422"/>
      <c r="Z74" s="1422"/>
      <c r="AA74" s="1422"/>
      <c r="AB74" s="1422"/>
      <c r="AC74" s="1422"/>
    </row>
    <row r="75" spans="1:29" s="116" customFormat="1" ht="15.75" thickTop="1">
      <c r="A75" s="576"/>
      <c r="B75" s="535">
        <f>B24</f>
        <v>111</v>
      </c>
      <c r="C75" s="546"/>
      <c r="D75" s="546"/>
      <c r="E75" s="546"/>
      <c r="F75" s="546"/>
      <c r="G75" s="551"/>
      <c r="H75" s="551"/>
      <c r="I75" s="551"/>
      <c r="J75" s="551"/>
      <c r="K75" s="551"/>
      <c r="L75" s="551"/>
      <c r="M75" s="578"/>
      <c r="N75" s="1148"/>
      <c r="O75" s="1148"/>
      <c r="P75" s="1424"/>
      <c r="Q75" s="1418"/>
      <c r="R75" s="1422"/>
      <c r="S75" s="1422"/>
      <c r="T75" s="1422"/>
      <c r="U75" s="1422"/>
      <c r="V75" s="1422"/>
      <c r="W75" s="1422"/>
      <c r="X75" s="1422"/>
      <c r="Y75" s="1422"/>
      <c r="Z75" s="1422"/>
      <c r="AA75" s="1422"/>
      <c r="AB75" s="1422"/>
      <c r="AC75" s="1422"/>
    </row>
    <row r="76" spans="1:29" s="116" customFormat="1" ht="15.75" thickBot="1">
      <c r="A76" s="576"/>
      <c r="B76" s="540"/>
      <c r="C76" s="557"/>
      <c r="D76" s="533"/>
      <c r="E76" s="533"/>
      <c r="F76" s="533"/>
      <c r="G76" s="533"/>
      <c r="H76" s="533"/>
      <c r="I76" s="533"/>
      <c r="J76" s="533"/>
      <c r="K76" s="533"/>
      <c r="L76" s="533"/>
      <c r="M76" s="534"/>
      <c r="N76" s="1150"/>
      <c r="O76" s="1150"/>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1"/>
      <c r="O77" s="1151"/>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1"/>
      <c r="O78" s="1151"/>
      <c r="P78" s="1425"/>
      <c r="Q78" s="1426"/>
      <c r="R78" s="1427"/>
      <c r="S78" s="1427"/>
      <c r="T78" s="1427"/>
      <c r="U78" s="1427"/>
      <c r="V78" s="1427"/>
      <c r="W78" s="1427"/>
      <c r="X78" s="1427"/>
      <c r="Y78" s="1427"/>
      <c r="Z78" s="1427"/>
      <c r="AA78" s="1427"/>
      <c r="AB78" s="1427"/>
      <c r="AC78" s="1427"/>
    </row>
    <row r="79" spans="1:29" ht="27.75" thickTop="1">
      <c r="A79" s="524" t="s">
        <v>2547</v>
      </c>
      <c r="B79" s="525" t="s">
        <v>2714</v>
      </c>
      <c r="C79" s="526">
        <f>C26</f>
        <v>0</v>
      </c>
      <c r="D79" s="527"/>
      <c r="E79" s="527"/>
      <c r="F79" s="527"/>
      <c r="G79" s="527"/>
      <c r="H79" s="527"/>
      <c r="I79" s="527"/>
      <c r="J79" s="527"/>
      <c r="K79" s="528"/>
      <c r="L79" s="529"/>
      <c r="M79" s="530"/>
      <c r="N79" s="1149"/>
      <c r="O79" s="1149"/>
      <c r="P79" s="1424"/>
      <c r="Q79" s="1418"/>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1"/>
      <c r="B81" s="535" t="s">
        <v>2715</v>
      </c>
      <c r="C81" s="658"/>
      <c r="D81" s="658"/>
      <c r="E81" s="658"/>
      <c r="F81" s="658"/>
      <c r="G81" s="658"/>
      <c r="H81" s="658"/>
      <c r="I81" s="658"/>
      <c r="J81" s="658"/>
      <c r="K81" s="659"/>
      <c r="L81" s="660"/>
      <c r="M81" s="661"/>
      <c r="N81" s="1148"/>
      <c r="O81" s="1148"/>
      <c r="P81" s="1424"/>
      <c r="Q81" s="1418"/>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5"/>
      <c r="Q82" s="1426"/>
      <c r="R82" s="1427"/>
      <c r="S82" s="1427"/>
      <c r="T82" s="1427"/>
      <c r="U82" s="1427"/>
      <c r="V82" s="1427"/>
      <c r="W82" s="1427"/>
      <c r="X82" s="1427"/>
      <c r="Y82" s="1427"/>
      <c r="Z82" s="1427"/>
      <c r="AA82" s="1427"/>
      <c r="AB82" s="1427"/>
      <c r="AC82" s="1427"/>
    </row>
    <row r="83" spans="1:29" ht="15" thickTop="1">
      <c r="A83" s="596"/>
      <c r="B83" s="535" t="s">
        <v>2600</v>
      </c>
      <c r="C83" s="551"/>
      <c r="D83" s="551"/>
      <c r="E83" s="580"/>
      <c r="F83" s="580"/>
      <c r="G83" s="580"/>
      <c r="H83" s="580"/>
      <c r="I83" s="580"/>
      <c r="J83" s="580"/>
      <c r="K83" s="581"/>
      <c r="L83" s="582"/>
      <c r="M83" s="583"/>
      <c r="N83" s="1149"/>
      <c r="O83" s="1149"/>
      <c r="P83" s="1424"/>
      <c r="Q83" s="1418"/>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4"/>
      <c r="Q85" s="1418"/>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4"/>
      <c r="Q86" s="1418"/>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6"/>
      <c r="B88" s="543" t="s">
        <v>2717</v>
      </c>
      <c r="C88" s="527"/>
      <c r="D88" s="527"/>
      <c r="E88" s="527"/>
      <c r="F88" s="527"/>
      <c r="G88" s="527"/>
      <c r="H88" s="527"/>
      <c r="I88" s="527"/>
      <c r="J88" s="527"/>
      <c r="K88" s="528"/>
      <c r="L88" s="529"/>
      <c r="M88" s="530"/>
      <c r="N88" s="1149"/>
      <c r="O88" s="1149"/>
      <c r="P88" s="1424"/>
      <c r="Q88" s="1418"/>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4"/>
      <c r="Q89" s="1418"/>
      <c r="R89" s="1141"/>
      <c r="S89" s="1141"/>
      <c r="T89" s="1141"/>
      <c r="U89" s="1141"/>
      <c r="V89" s="1141"/>
      <c r="W89" s="1141"/>
      <c r="X89" s="1141"/>
      <c r="Y89" s="1141"/>
      <c r="Z89" s="1141"/>
      <c r="AA89" s="1141"/>
      <c r="AB89" s="1141"/>
      <c r="AC89" s="1141"/>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1"/>
      <c r="O91" s="1151"/>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1"/>
      <c r="O92" s="1151"/>
      <c r="P92" s="1425"/>
      <c r="Q92" s="1426"/>
      <c r="R92" s="1427"/>
      <c r="S92" s="1427"/>
      <c r="T92" s="1427"/>
      <c r="U92" s="1427"/>
      <c r="V92" s="1427"/>
      <c r="W92" s="1427"/>
      <c r="X92" s="1427"/>
      <c r="Y92" s="1427"/>
      <c r="Z92" s="1427"/>
      <c r="AA92" s="1427"/>
      <c r="AB92" s="1427"/>
      <c r="AC92" s="1427"/>
    </row>
    <row r="93" spans="1:29" ht="15" thickTop="1">
      <c r="A93" s="596"/>
      <c r="B93" s="535" t="s">
        <v>2719</v>
      </c>
      <c r="C93" s="551"/>
      <c r="D93" s="551"/>
      <c r="E93" s="580"/>
      <c r="F93" s="580"/>
      <c r="G93" s="580"/>
      <c r="H93" s="580"/>
      <c r="I93" s="580"/>
      <c r="J93" s="580"/>
      <c r="K93" s="581"/>
      <c r="L93" s="582"/>
      <c r="M93" s="583"/>
      <c r="N93" s="1149"/>
      <c r="O93" s="1149"/>
      <c r="P93" s="1424"/>
      <c r="Q93" s="1418"/>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6"/>
      <c r="B95" s="535" t="s">
        <v>2720</v>
      </c>
      <c r="C95" s="527"/>
      <c r="D95" s="527"/>
      <c r="E95" s="527"/>
      <c r="F95" s="527"/>
      <c r="G95" s="527"/>
      <c r="H95" s="527"/>
      <c r="I95" s="527"/>
      <c r="J95" s="527"/>
      <c r="K95" s="528"/>
      <c r="L95" s="529"/>
      <c r="M95" s="530"/>
      <c r="N95" s="1149"/>
      <c r="O95" s="1149"/>
      <c r="P95" s="1424"/>
      <c r="Q95" s="1418"/>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4"/>
      <c r="Q96" s="1418"/>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1"/>
      <c r="Q97" s="1432"/>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4"/>
      <c r="Q98" s="1418"/>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1"/>
      <c r="O100" s="1151"/>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9"/>
      <c r="O101" s="1149"/>
      <c r="P101" s="1424"/>
      <c r="Q101" s="1418"/>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24"/>
      <c r="F1" s="2569"/>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IF(C2="——",ROUND(C37*D3/10000,0),ROUND(C37*D3/10000,0)-D2)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IF(C2="——",C37,ROUND(B2*10000/D3,0))</f>
        <v>#DIV/0!</v>
      </c>
      <c r="C3" s="398" t="s">
        <v>2628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SUMIF(46:46,YEAR(E7)&amp;"-"&amp;MONTH(E7),47:47)</f>
        <v>0</v>
      </c>
      <c r="G7" s="2681"/>
      <c r="H7" s="409">
        <f>SUMIF(46:46,YEAR(G7)&amp;"-"&amp;MONTH(G7),47:47)</f>
        <v>0</v>
      </c>
      <c r="I7" s="410"/>
      <c r="J7" s="409">
        <f>SUMIF(46:46,YEAR(I7)&amp;"-"&amp;MONTH(I7),47:47)</f>
        <v>0</v>
      </c>
      <c r="K7" s="608"/>
      <c r="L7" s="1129"/>
      <c r="M7" s="1130"/>
      <c r="N7" s="1130"/>
      <c r="O7" s="1130"/>
      <c r="P7" s="3298" t="s">
        <v>2533</v>
      </c>
      <c r="Q7" s="3300"/>
      <c r="R7" s="765" t="s">
        <v>17</v>
      </c>
      <c r="S7" s="766">
        <f t="shared" ref="S7:S14" si="0">F7</f>
        <v>0</v>
      </c>
      <c r="T7" s="765" t="s">
        <v>17</v>
      </c>
      <c r="U7" s="766">
        <f t="shared" ref="U7:U14" si="1">H7</f>
        <v>0</v>
      </c>
      <c r="V7" s="765" t="s">
        <v>17</v>
      </c>
      <c r="W7" s="766">
        <f t="shared" ref="W7:W14" si="2">J7</f>
        <v>0</v>
      </c>
      <c r="X7" s="767"/>
      <c r="Y7" s="3298" t="s">
        <v>2533</v>
      </c>
      <c r="Z7" s="3299"/>
      <c r="AA7" s="768" t="e">
        <f>D7/F7</f>
        <v>#DIV/0!</v>
      </c>
      <c r="AB7" s="768" t="e">
        <f>D7/H7</f>
        <v>#DIV/0!</v>
      </c>
      <c r="AC7" s="768"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34" si="3">D8/F8</f>
        <v>#DIV/0!</v>
      </c>
      <c r="AB8" s="768" t="e">
        <f t="shared" ref="AB8:AB34" si="4">D8/H8</f>
        <v>#DIV/0!</v>
      </c>
      <c r="AC8" s="768"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8"/>
      <c r="L9" s="1129"/>
      <c r="M9" s="1130"/>
      <c r="N9" s="1130"/>
      <c r="O9" s="1131"/>
      <c r="P9" s="3269" t="s">
        <v>2539</v>
      </c>
      <c r="Q9" s="1789" t="str">
        <f t="shared" ref="Q9:Q14" si="6">B9</f>
        <v>用途</v>
      </c>
      <c r="R9" s="765" t="s">
        <v>17</v>
      </c>
      <c r="S9" s="766">
        <f t="shared" si="0"/>
        <v>100</v>
      </c>
      <c r="T9" s="765" t="s">
        <v>17</v>
      </c>
      <c r="U9" s="766">
        <f t="shared" si="1"/>
        <v>100</v>
      </c>
      <c r="V9" s="765" t="s">
        <v>17</v>
      </c>
      <c r="W9" s="766">
        <f t="shared" si="2"/>
        <v>100</v>
      </c>
      <c r="X9" s="767"/>
      <c r="Y9" s="3117" t="s">
        <v>2540</v>
      </c>
      <c r="Z9" s="55" t="str">
        <f t="shared" ref="Z9:Z14" si="7">Q9</f>
        <v>用途</v>
      </c>
      <c r="AA9" s="768">
        <f t="shared" si="3"/>
        <v>1</v>
      </c>
      <c r="AB9" s="768">
        <f t="shared" si="4"/>
        <v>1</v>
      </c>
      <c r="AC9" s="768">
        <f t="shared" si="5"/>
        <v>1</v>
      </c>
    </row>
    <row r="10" spans="1:29" s="424" customFormat="1" ht="27">
      <c r="A10" s="418"/>
      <c r="B10" s="419" t="s">
        <v>2541</v>
      </c>
      <c r="C10" s="420"/>
      <c r="D10" s="134">
        <v>100</v>
      </c>
      <c r="E10" s="420"/>
      <c r="F10" s="422">
        <f>SUMIF(53:53,E10,54:54)-SUMIF(53:53,C10,54:54)+100</f>
        <v>100</v>
      </c>
      <c r="G10" s="420"/>
      <c r="H10" s="134">
        <f>SUMIF(53:53,G10,54:54)-SUMIF(53:53,C10,54:54)+100</f>
        <v>100</v>
      </c>
      <c r="I10" s="420"/>
      <c r="J10" s="134">
        <f>SUMIF(53:53,I10,54:54)-SUMIF(53:53,C10,54:54)+100</f>
        <v>100</v>
      </c>
      <c r="K10" s="609"/>
      <c r="L10" s="1132"/>
      <c r="M10" s="1133"/>
      <c r="N10" s="1133"/>
      <c r="O10" s="1134"/>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35"/>
      <c r="M11" s="1128"/>
      <c r="N11" s="1128"/>
      <c r="O11" s="1136"/>
      <c r="P11" s="3269"/>
      <c r="Q11" s="1789">
        <f t="shared" si="6"/>
        <v>111</v>
      </c>
      <c r="R11" s="765" t="s">
        <v>17</v>
      </c>
      <c r="S11" s="766">
        <f t="shared" si="0"/>
        <v>100</v>
      </c>
      <c r="T11" s="765" t="s">
        <v>17</v>
      </c>
      <c r="U11" s="766">
        <f t="shared" si="1"/>
        <v>100</v>
      </c>
      <c r="V11" s="765" t="s">
        <v>17</v>
      </c>
      <c r="W11" s="766">
        <f t="shared" si="2"/>
        <v>100</v>
      </c>
      <c r="X11" s="767"/>
      <c r="Y11" s="3117"/>
      <c r="Z11" s="55">
        <f t="shared" si="7"/>
        <v>111</v>
      </c>
      <c r="AA11" s="768">
        <f t="shared" si="3"/>
        <v>1</v>
      </c>
      <c r="AB11" s="768">
        <f t="shared" si="4"/>
        <v>1</v>
      </c>
      <c r="AC11" s="768">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75" thickBot="1">
      <c r="A13" s="425"/>
      <c r="B13" s="2585">
        <v>111</v>
      </c>
      <c r="C13" s="431"/>
      <c r="D13" s="432">
        <v>100</v>
      </c>
      <c r="E13" s="466"/>
      <c r="F13" s="422">
        <f>SUMIF(59:59,E13,60:60)-SUMIF(59:59,C13,60:60)+100</f>
        <v>100</v>
      </c>
      <c r="G13" s="2682"/>
      <c r="H13" s="435">
        <f>SUMIF(59:59,G13,60:60)-SUMIF(59:59,C13,60:60)+100</f>
        <v>100</v>
      </c>
      <c r="I13" s="466"/>
      <c r="J13" s="432">
        <f>SUMIF(59:59,I13,60:60)-SUMIF(59:59,C13,60:60)+100</f>
        <v>100</v>
      </c>
      <c r="K13" s="610"/>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
      <c r="A14" s="437" t="s">
        <v>2543</v>
      </c>
      <c r="B14" s="69" t="s">
        <v>2693</v>
      </c>
      <c r="C14" s="2678">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71" t="s">
        <v>2544</v>
      </c>
      <c r="Q14" s="1804" t="str">
        <f t="shared" si="6"/>
        <v>交通便捷度</v>
      </c>
      <c r="R14" s="769" t="s">
        <v>17</v>
      </c>
      <c r="S14" s="770">
        <f t="shared" si="0"/>
        <v>100</v>
      </c>
      <c r="T14" s="769" t="s">
        <v>17</v>
      </c>
      <c r="U14" s="770">
        <f t="shared" si="1"/>
        <v>100</v>
      </c>
      <c r="V14" s="769" t="s">
        <v>17</v>
      </c>
      <c r="W14" s="770">
        <f t="shared" si="2"/>
        <v>100</v>
      </c>
      <c r="X14" s="1807"/>
      <c r="Y14" s="3271" t="s">
        <v>2544</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7"/>
      <c r="M15" s="1128"/>
      <c r="N15" s="1128"/>
      <c r="O15" s="1136"/>
      <c r="P15" s="3272"/>
      <c r="Q15" s="1804"/>
      <c r="R15" s="769"/>
      <c r="S15" s="770"/>
      <c r="T15" s="769"/>
      <c r="U15" s="770"/>
      <c r="V15" s="769"/>
      <c r="W15" s="770"/>
      <c r="X15" s="1807"/>
      <c r="Y15" s="3272"/>
      <c r="Z15" s="1808"/>
      <c r="AA15" s="1805">
        <v>1</v>
      </c>
      <c r="AB15" s="1805">
        <v>1</v>
      </c>
      <c r="AC15" s="1805">
        <v>1</v>
      </c>
    </row>
    <row r="16" spans="1:29" ht="15">
      <c r="A16" s="425"/>
      <c r="B16" s="448" t="s">
        <v>2672</v>
      </c>
      <c r="C16" s="2592">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72"/>
      <c r="Q16" s="1804" t="str">
        <f>B16</f>
        <v>公共配套设施</v>
      </c>
      <c r="R16" s="769" t="s">
        <v>17</v>
      </c>
      <c r="S16" s="770">
        <f>F16</f>
        <v>100</v>
      </c>
      <c r="T16" s="769" t="s">
        <v>17</v>
      </c>
      <c r="U16" s="770">
        <f>H16</f>
        <v>100</v>
      </c>
      <c r="V16" s="769" t="s">
        <v>17</v>
      </c>
      <c r="W16" s="770">
        <f>J16</f>
        <v>100</v>
      </c>
      <c r="X16" s="1807"/>
      <c r="Y16" s="3272"/>
      <c r="Z16" s="1808" t="str">
        <f>Q16</f>
        <v>公共配套设施</v>
      </c>
      <c r="AA16" s="1805">
        <f t="shared" si="3"/>
        <v>1</v>
      </c>
      <c r="AB16" s="1805">
        <f t="shared" si="4"/>
        <v>1</v>
      </c>
      <c r="AC16" s="1805">
        <f t="shared" si="5"/>
        <v>1</v>
      </c>
    </row>
    <row r="17" spans="1:29" ht="15">
      <c r="A17" s="425"/>
      <c r="B17" s="453"/>
      <c r="C17" s="2593"/>
      <c r="D17" s="445"/>
      <c r="E17" s="444"/>
      <c r="F17" s="446"/>
      <c r="G17" s="444"/>
      <c r="H17" s="445"/>
      <c r="I17" s="444"/>
      <c r="J17" s="445"/>
      <c r="K17" s="612"/>
      <c r="L17" s="1137"/>
      <c r="M17" s="1128"/>
      <c r="N17" s="1128"/>
      <c r="O17" s="1136"/>
      <c r="P17" s="3272"/>
      <c r="Q17" s="1804"/>
      <c r="R17" s="769"/>
      <c r="S17" s="770"/>
      <c r="T17" s="769"/>
      <c r="U17" s="770"/>
      <c r="V17" s="769"/>
      <c r="W17" s="770"/>
      <c r="X17" s="1807"/>
      <c r="Y17" s="3272"/>
      <c r="Z17" s="1808"/>
      <c r="AA17" s="1805">
        <v>1</v>
      </c>
      <c r="AB17" s="1805">
        <v>1</v>
      </c>
      <c r="AC17" s="1805">
        <v>1</v>
      </c>
    </row>
    <row r="18" spans="1:29" ht="15">
      <c r="A18" s="425"/>
      <c r="B18" s="1379" t="s">
        <v>2673</v>
      </c>
      <c r="C18" s="2592">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72"/>
      <c r="Q18" s="1804" t="str">
        <f>B18</f>
        <v>基础设施水平</v>
      </c>
      <c r="R18" s="769" t="s">
        <v>17</v>
      </c>
      <c r="S18" s="770">
        <f>F18</f>
        <v>100</v>
      </c>
      <c r="T18" s="769" t="s">
        <v>17</v>
      </c>
      <c r="U18" s="770">
        <f>H18</f>
        <v>100</v>
      </c>
      <c r="V18" s="769" t="s">
        <v>17</v>
      </c>
      <c r="W18" s="770">
        <f>J18</f>
        <v>100</v>
      </c>
      <c r="X18" s="1807"/>
      <c r="Y18" s="3272"/>
      <c r="Z18" s="1808" t="str">
        <f>Q18</f>
        <v>基础设施水平</v>
      </c>
      <c r="AA18" s="1805">
        <f t="shared" ref="AA18" si="8">D18/F18</f>
        <v>1</v>
      </c>
      <c r="AB18" s="1805">
        <f t="shared" ref="AB18" si="9">D18/H18</f>
        <v>1</v>
      </c>
      <c r="AC18" s="1805">
        <f t="shared" ref="AC18" si="10">D18/J18</f>
        <v>1</v>
      </c>
    </row>
    <row r="19" spans="1:29" ht="15">
      <c r="A19" s="425"/>
      <c r="B19" s="1379"/>
      <c r="C19" s="2593"/>
      <c r="D19" s="447"/>
      <c r="E19" s="2593"/>
      <c r="F19" s="450"/>
      <c r="G19" s="2593"/>
      <c r="H19" s="445"/>
      <c r="I19" s="444"/>
      <c r="J19" s="445"/>
      <c r="K19" s="1378"/>
      <c r="L19" s="1137"/>
      <c r="M19" s="1128"/>
      <c r="N19" s="1128"/>
      <c r="O19" s="1136"/>
      <c r="P19" s="3272"/>
      <c r="Q19" s="1804"/>
      <c r="R19" s="769"/>
      <c r="S19" s="770"/>
      <c r="T19" s="769"/>
      <c r="U19" s="770"/>
      <c r="V19" s="769"/>
      <c r="W19" s="770"/>
      <c r="X19" s="1807"/>
      <c r="Y19" s="3272"/>
      <c r="Z19" s="1808"/>
      <c r="AA19" s="1805">
        <v>1</v>
      </c>
      <c r="AB19" s="1805">
        <v>1</v>
      </c>
      <c r="AC19" s="1805">
        <v>1</v>
      </c>
    </row>
    <row r="20" spans="1:29" ht="15">
      <c r="A20" s="425"/>
      <c r="B20" s="448" t="s">
        <v>2694</v>
      </c>
      <c r="C20" s="2592">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72"/>
      <c r="Q20" s="1804" t="str">
        <f>B20</f>
        <v>自然及人文环境</v>
      </c>
      <c r="R20" s="769" t="s">
        <v>17</v>
      </c>
      <c r="S20" s="770">
        <f>F20</f>
        <v>100</v>
      </c>
      <c r="T20" s="769" t="s">
        <v>17</v>
      </c>
      <c r="U20" s="770">
        <f>H20</f>
        <v>100</v>
      </c>
      <c r="V20" s="769" t="s">
        <v>17</v>
      </c>
      <c r="W20" s="770">
        <f>J20</f>
        <v>100</v>
      </c>
      <c r="X20" s="1807"/>
      <c r="Y20" s="3272"/>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7"/>
      <c r="M21" s="1128"/>
      <c r="N21" s="1128"/>
      <c r="O21" s="1136"/>
      <c r="P21" s="3272"/>
      <c r="Q21" s="1804"/>
      <c r="R21" s="769"/>
      <c r="S21" s="770"/>
      <c r="T21" s="769"/>
      <c r="U21" s="770"/>
      <c r="V21" s="769"/>
      <c r="W21" s="770"/>
      <c r="X21" s="1807"/>
      <c r="Y21" s="3272"/>
      <c r="Z21" s="1808"/>
      <c r="AA21" s="1805">
        <v>1</v>
      </c>
      <c r="AB21" s="1805">
        <v>1</v>
      </c>
      <c r="AC21" s="1805">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72"/>
      <c r="Q22" s="1804" t="str">
        <f>B22</f>
        <v>楼层</v>
      </c>
      <c r="R22" s="769" t="s">
        <v>17</v>
      </c>
      <c r="S22" s="770">
        <f>F22</f>
        <v>100</v>
      </c>
      <c r="T22" s="769" t="s">
        <v>17</v>
      </c>
      <c r="U22" s="770">
        <f>H22</f>
        <v>100</v>
      </c>
      <c r="V22" s="769" t="s">
        <v>17</v>
      </c>
      <c r="W22" s="770">
        <f>J22</f>
        <v>100</v>
      </c>
      <c r="X22" s="1807"/>
      <c r="Y22" s="3272"/>
      <c r="Z22" s="1808" t="str">
        <f>Q22</f>
        <v>楼层</v>
      </c>
      <c r="AA22" s="1805">
        <f t="shared" si="3"/>
        <v>1</v>
      </c>
      <c r="AB22" s="1805">
        <f t="shared" si="4"/>
        <v>1</v>
      </c>
      <c r="AC22" s="1805">
        <f t="shared" si="5"/>
        <v>1</v>
      </c>
    </row>
    <row r="23" spans="1:29" ht="15">
      <c r="A23" s="402"/>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72"/>
      <c r="Q23" s="1804">
        <f>B23</f>
        <v>111</v>
      </c>
      <c r="R23" s="769" t="s">
        <v>17</v>
      </c>
      <c r="S23" s="770">
        <f>F23</f>
        <v>100</v>
      </c>
      <c r="T23" s="769" t="s">
        <v>17</v>
      </c>
      <c r="U23" s="770">
        <f>H23</f>
        <v>100</v>
      </c>
      <c r="V23" s="769" t="s">
        <v>17</v>
      </c>
      <c r="W23" s="770">
        <f>J23</f>
        <v>100</v>
      </c>
      <c r="X23" s="1807"/>
      <c r="Y23" s="3272"/>
      <c r="Z23" s="1808">
        <f>Q23</f>
        <v>111</v>
      </c>
      <c r="AA23" s="1805">
        <f t="shared" si="3"/>
        <v>1</v>
      </c>
      <c r="AB23" s="1805">
        <f t="shared" si="4"/>
        <v>1</v>
      </c>
      <c r="AC23" s="1805">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72"/>
      <c r="Q24" s="1804">
        <f t="shared" ref="Q24:Q34" si="11">B24</f>
        <v>111</v>
      </c>
      <c r="R24" s="769" t="s">
        <v>17</v>
      </c>
      <c r="S24" s="770">
        <f>F24</f>
        <v>100</v>
      </c>
      <c r="T24" s="769" t="s">
        <v>17</v>
      </c>
      <c r="U24" s="770">
        <f>H24</f>
        <v>100</v>
      </c>
      <c r="V24" s="769" t="s">
        <v>17</v>
      </c>
      <c r="W24" s="770">
        <f>J24</f>
        <v>100</v>
      </c>
      <c r="X24" s="1807"/>
      <c r="Y24" s="3272"/>
      <c r="Z24" s="1808">
        <f>Q24</f>
        <v>111</v>
      </c>
      <c r="AA24" s="1805">
        <f t="shared" si="3"/>
        <v>1</v>
      </c>
      <c r="AB24" s="1805">
        <f t="shared" si="4"/>
        <v>1</v>
      </c>
      <c r="AC24" s="1805">
        <f t="shared" si="5"/>
        <v>1</v>
      </c>
    </row>
    <row r="25" spans="1:29" s="116" customFormat="1" ht="15.75" thickBot="1">
      <c r="A25" s="428"/>
      <c r="B25" s="2585">
        <v>111</v>
      </c>
      <c r="C25" s="2683"/>
      <c r="D25" s="662">
        <v>100</v>
      </c>
      <c r="E25" s="2683"/>
      <c r="F25" s="663">
        <f>SUMIF(75:75,E25,76:76)-SUMIF(75:75,C25,76:76)+100</f>
        <v>100</v>
      </c>
      <c r="G25" s="2683"/>
      <c r="H25" s="662">
        <f>SUMIF(75:75,G25,76:76)-SUMIF(75:75,C25,76:76)+100</f>
        <v>100</v>
      </c>
      <c r="I25" s="2683"/>
      <c r="J25" s="662">
        <f>SUMIF(75:75,I25,76:76)-SUMIF(75:75,C25,76:76)+100</f>
        <v>100</v>
      </c>
      <c r="K25" s="610"/>
      <c r="L25" s="1129"/>
      <c r="M25" s="1130"/>
      <c r="N25" s="1130"/>
      <c r="O25" s="1131"/>
      <c r="P25" s="3272"/>
      <c r="Q25" s="1789">
        <f t="shared" si="11"/>
        <v>111</v>
      </c>
      <c r="R25" s="765" t="s">
        <v>17</v>
      </c>
      <c r="S25" s="766">
        <f>F25</f>
        <v>100</v>
      </c>
      <c r="T25" s="765" t="s">
        <v>17</v>
      </c>
      <c r="U25" s="766">
        <f>H25</f>
        <v>100</v>
      </c>
      <c r="V25" s="765" t="s">
        <v>17</v>
      </c>
      <c r="W25" s="766">
        <f>J25</f>
        <v>100</v>
      </c>
      <c r="X25" s="767"/>
      <c r="Y25" s="3272"/>
      <c r="Z25" s="55">
        <f>Q25</f>
        <v>111</v>
      </c>
      <c r="AA25" s="1805">
        <f>D25/F25</f>
        <v>1</v>
      </c>
      <c r="AB25" s="1805">
        <f>D25/H25</f>
        <v>1</v>
      </c>
      <c r="AC25" s="1805">
        <f>D25/J25</f>
        <v>1</v>
      </c>
    </row>
    <row r="26" spans="1:29" ht="15">
      <c r="A26" s="463" t="s">
        <v>2547</v>
      </c>
      <c r="B26" s="71" t="s">
        <v>2698</v>
      </c>
      <c r="C26" s="2664"/>
      <c r="D26" s="464">
        <v>100</v>
      </c>
      <c r="E26" s="2664"/>
      <c r="F26" s="664">
        <f>SUMIF(77:77,E26,78:78)-SUMIF(77:77,C26,78:78)+100</f>
        <v>100</v>
      </c>
      <c r="G26" s="2664"/>
      <c r="H26" s="464">
        <f>SUMIF(77:77,G26,78:78)-SUMIF(77:77,C26,78:78)+100</f>
        <v>100</v>
      </c>
      <c r="I26" s="2664"/>
      <c r="J26" s="464">
        <f>SUMIF(77:77,I26,78:78)-SUMIF(77:77,C26,78:78)+100</f>
        <v>100</v>
      </c>
      <c r="K26" s="609"/>
      <c r="L26" s="1137"/>
      <c r="M26" s="1128"/>
      <c r="N26" s="1128"/>
      <c r="O26" s="1136"/>
      <c r="P26" s="3273" t="s">
        <v>2549</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74" t="s">
        <v>2549</v>
      </c>
      <c r="Z26" s="1808" t="str">
        <f t="shared" ref="Z26:Z34" si="15">Q26</f>
        <v>公共部分装修</v>
      </c>
      <c r="AA26" s="1805">
        <f t="shared" si="3"/>
        <v>1</v>
      </c>
      <c r="AB26" s="1805">
        <f t="shared" si="4"/>
        <v>1</v>
      </c>
      <c r="AC26" s="1805">
        <f t="shared" si="5"/>
        <v>1</v>
      </c>
    </row>
    <row r="27" spans="1:29" s="468" customFormat="1" ht="15">
      <c r="A27" s="465"/>
      <c r="B27" s="419" t="s">
        <v>2699</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74"/>
      <c r="Q27" s="771" t="str">
        <f t="shared" si="11"/>
        <v>成新率</v>
      </c>
      <c r="R27" s="772" t="s">
        <v>17</v>
      </c>
      <c r="S27" s="773" t="e">
        <f t="shared" si="12"/>
        <v>#N/A</v>
      </c>
      <c r="T27" s="772" t="s">
        <v>17</v>
      </c>
      <c r="U27" s="773" t="e">
        <f t="shared" si="13"/>
        <v>#N/A</v>
      </c>
      <c r="V27" s="772" t="s">
        <v>17</v>
      </c>
      <c r="W27" s="773" t="e">
        <f t="shared" si="14"/>
        <v>#N/A</v>
      </c>
      <c r="X27" s="774"/>
      <c r="Y27" s="3274"/>
      <c r="Z27" s="775" t="str">
        <f t="shared" si="15"/>
        <v>成新率</v>
      </c>
      <c r="AA27" s="1805" t="e">
        <f t="shared" si="3"/>
        <v>#N/A</v>
      </c>
      <c r="AB27" s="1805" t="e">
        <f t="shared" si="4"/>
        <v>#N/A</v>
      </c>
      <c r="AC27" s="1805"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74"/>
      <c r="Q28" s="1804" t="str">
        <f t="shared" si="11"/>
        <v>物业等级</v>
      </c>
      <c r="R28" s="769" t="s">
        <v>17</v>
      </c>
      <c r="S28" s="770">
        <f t="shared" si="12"/>
        <v>100</v>
      </c>
      <c r="T28" s="769" t="s">
        <v>17</v>
      </c>
      <c r="U28" s="770">
        <f t="shared" si="13"/>
        <v>100</v>
      </c>
      <c r="V28" s="769" t="s">
        <v>17</v>
      </c>
      <c r="W28" s="770">
        <f t="shared" si="14"/>
        <v>100</v>
      </c>
      <c r="X28" s="1807"/>
      <c r="Y28" s="3274"/>
      <c r="Z28" s="1808" t="str">
        <f t="shared" si="15"/>
        <v>物业等级</v>
      </c>
      <c r="AA28" s="1805">
        <f t="shared" si="3"/>
        <v>1</v>
      </c>
      <c r="AB28" s="1805">
        <f t="shared" si="4"/>
        <v>1</v>
      </c>
      <c r="AC28" s="1805">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74"/>
      <c r="Q29" s="1804" t="str">
        <f t="shared" si="11"/>
        <v>有无电梯</v>
      </c>
      <c r="R29" s="769" t="s">
        <v>17</v>
      </c>
      <c r="S29" s="770">
        <f t="shared" si="12"/>
        <v>100</v>
      </c>
      <c r="T29" s="769" t="s">
        <v>17</v>
      </c>
      <c r="U29" s="770">
        <f t="shared" si="13"/>
        <v>100</v>
      </c>
      <c r="V29" s="769" t="s">
        <v>17</v>
      </c>
      <c r="W29" s="770">
        <f t="shared" si="14"/>
        <v>100</v>
      </c>
      <c r="X29" s="1807"/>
      <c r="Y29" s="3274"/>
      <c r="Z29" s="1808" t="str">
        <f t="shared" si="15"/>
        <v>有无电梯</v>
      </c>
      <c r="AA29" s="1805">
        <f t="shared" si="3"/>
        <v>1</v>
      </c>
      <c r="AB29" s="1805">
        <f t="shared" si="4"/>
        <v>1</v>
      </c>
      <c r="AC29" s="1805">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74"/>
      <c r="Q30" s="1804" t="str">
        <f t="shared" si="11"/>
        <v>建筑面积</v>
      </c>
      <c r="R30" s="769" t="s">
        <v>17</v>
      </c>
      <c r="S30" s="770" t="e">
        <f t="shared" si="12"/>
        <v>#N/A</v>
      </c>
      <c r="T30" s="769" t="s">
        <v>17</v>
      </c>
      <c r="U30" s="770" t="e">
        <f t="shared" si="13"/>
        <v>#N/A</v>
      </c>
      <c r="V30" s="769" t="s">
        <v>17</v>
      </c>
      <c r="W30" s="770" t="e">
        <f t="shared" si="14"/>
        <v>#N/A</v>
      </c>
      <c r="X30" s="1807"/>
      <c r="Y30" s="3274"/>
      <c r="Z30" s="1808" t="str">
        <f t="shared" si="15"/>
        <v>建筑面积</v>
      </c>
      <c r="AA30" s="1805" t="e">
        <f t="shared" si="3"/>
        <v>#N/A</v>
      </c>
      <c r="AB30" s="1805" t="e">
        <f t="shared" si="4"/>
        <v>#N/A</v>
      </c>
      <c r="AC30" s="1805" t="e">
        <f t="shared" si="5"/>
        <v>#N/A</v>
      </c>
    </row>
    <row r="31" spans="1:29" s="116" customFormat="1" ht="15">
      <c r="A31" s="470"/>
      <c r="B31" s="419" t="s">
        <v>2723</v>
      </c>
      <c r="C31" s="654"/>
      <c r="D31" s="134">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74"/>
      <c r="Q31" s="1789" t="str">
        <f t="shared" si="11"/>
        <v>是否封闭</v>
      </c>
      <c r="R31" s="765" t="s">
        <v>17</v>
      </c>
      <c r="S31" s="766">
        <f t="shared" si="12"/>
        <v>100</v>
      </c>
      <c r="T31" s="765" t="s">
        <v>17</v>
      </c>
      <c r="U31" s="766">
        <f t="shared" si="13"/>
        <v>100</v>
      </c>
      <c r="V31" s="765" t="s">
        <v>17</v>
      </c>
      <c r="W31" s="766">
        <f t="shared" si="14"/>
        <v>100</v>
      </c>
      <c r="X31" s="767"/>
      <c r="Y31" s="3274"/>
      <c r="Z31" s="55" t="str">
        <f t="shared" si="15"/>
        <v>是否封闭</v>
      </c>
      <c r="AA31" s="768">
        <f t="shared" si="3"/>
        <v>1</v>
      </c>
      <c r="AB31" s="768">
        <f t="shared" si="4"/>
        <v>1</v>
      </c>
      <c r="AC31" s="768">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74" t="s">
        <v>2549</v>
      </c>
      <c r="Q32" s="1804">
        <f t="shared" si="11"/>
        <v>111</v>
      </c>
      <c r="R32" s="769" t="s">
        <v>17</v>
      </c>
      <c r="S32" s="770">
        <f t="shared" si="12"/>
        <v>100</v>
      </c>
      <c r="T32" s="769" t="s">
        <v>17</v>
      </c>
      <c r="U32" s="770">
        <f t="shared" si="13"/>
        <v>100</v>
      </c>
      <c r="V32" s="769" t="s">
        <v>17</v>
      </c>
      <c r="W32" s="770">
        <f t="shared" si="14"/>
        <v>100</v>
      </c>
      <c r="X32" s="1807"/>
      <c r="Y32" s="3274" t="s">
        <v>2549</v>
      </c>
      <c r="Z32" s="1808">
        <f t="shared" si="15"/>
        <v>111</v>
      </c>
      <c r="AA32" s="1805">
        <f t="shared" si="3"/>
        <v>1</v>
      </c>
      <c r="AB32" s="1805">
        <f t="shared" si="4"/>
        <v>1</v>
      </c>
      <c r="AC32" s="1805">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74"/>
      <c r="Q33" s="1804">
        <f t="shared" si="11"/>
        <v>111</v>
      </c>
      <c r="R33" s="769" t="s">
        <v>17</v>
      </c>
      <c r="S33" s="770">
        <f t="shared" si="12"/>
        <v>100</v>
      </c>
      <c r="T33" s="769" t="s">
        <v>17</v>
      </c>
      <c r="U33" s="770">
        <f t="shared" si="13"/>
        <v>100</v>
      </c>
      <c r="V33" s="769" t="s">
        <v>17</v>
      </c>
      <c r="W33" s="770">
        <f t="shared" si="14"/>
        <v>100</v>
      </c>
      <c r="X33" s="1807"/>
      <c r="Y33" s="3274"/>
      <c r="Z33" s="1808">
        <f t="shared" si="15"/>
        <v>111</v>
      </c>
      <c r="AA33" s="1805">
        <f t="shared" si="3"/>
        <v>1</v>
      </c>
      <c r="AB33" s="1805">
        <f t="shared" si="4"/>
        <v>1</v>
      </c>
      <c r="AC33" s="1805">
        <f t="shared" si="5"/>
        <v>1</v>
      </c>
    </row>
    <row r="34" spans="1:29" ht="15.75" thickBot="1">
      <c r="A34" s="475"/>
      <c r="B34" s="2587">
        <v>111</v>
      </c>
      <c r="C34" s="434"/>
      <c r="D34" s="435">
        <v>100</v>
      </c>
      <c r="E34" s="2682"/>
      <c r="F34" s="436">
        <f>SUMIF(95:95,E34,96:96)-SUMIF(95:95,C34,96:96)+100</f>
        <v>100</v>
      </c>
      <c r="G34" s="2682"/>
      <c r="H34" s="435">
        <f>SUMIF(95:95,G34,96:96)-SUMIF(95:95,C34,96:96)+100</f>
        <v>100</v>
      </c>
      <c r="I34" s="2682"/>
      <c r="J34" s="435">
        <f>SUMIF(95:95,I34,96:96)-SUMIF(95:95,C34,96:96)+100</f>
        <v>100</v>
      </c>
      <c r="K34" s="610"/>
      <c r="L34" s="1137"/>
      <c r="M34" s="1128"/>
      <c r="N34" s="1128"/>
      <c r="O34" s="1136"/>
      <c r="P34" s="3274"/>
      <c r="Q34" s="1804">
        <f t="shared" si="11"/>
        <v>111</v>
      </c>
      <c r="R34" s="769" t="s">
        <v>17</v>
      </c>
      <c r="S34" s="770">
        <f t="shared" si="12"/>
        <v>100</v>
      </c>
      <c r="T34" s="769" t="s">
        <v>17</v>
      </c>
      <c r="U34" s="770">
        <f t="shared" si="13"/>
        <v>100</v>
      </c>
      <c r="V34" s="769" t="s">
        <v>17</v>
      </c>
      <c r="W34" s="770">
        <f t="shared" si="14"/>
        <v>100</v>
      </c>
      <c r="X34" s="1807"/>
      <c r="Y34" s="3274"/>
      <c r="Z34" s="1808">
        <f t="shared" si="15"/>
        <v>111</v>
      </c>
      <c r="AA34" s="1805">
        <f t="shared" si="3"/>
        <v>1</v>
      </c>
      <c r="AB34" s="1805">
        <f t="shared" si="4"/>
        <v>1</v>
      </c>
      <c r="AC34" s="1805">
        <f t="shared" si="5"/>
        <v>1</v>
      </c>
    </row>
    <row r="35" spans="1:29" ht="15">
      <c r="A35" s="476" t="s">
        <v>2561</v>
      </c>
      <c r="B35" s="477"/>
      <c r="C35" s="1402" t="s">
        <v>1</v>
      </c>
      <c r="D35" s="1403"/>
      <c r="E35" s="1404"/>
      <c r="F35" s="1405"/>
      <c r="G35" s="1406"/>
      <c r="H35" s="1407"/>
      <c r="I35" s="1404"/>
      <c r="J35" s="1407"/>
      <c r="K35" s="778"/>
      <c r="L35" s="1140"/>
      <c r="M35" s="1141"/>
      <c r="N35" s="1128"/>
      <c r="O35" s="1141"/>
      <c r="P35" s="3269" t="str">
        <f>A35</f>
        <v>成交单价（元/平方米）</v>
      </c>
      <c r="Q35" s="3269"/>
      <c r="R35" s="3305">
        <f>E35</f>
        <v>0</v>
      </c>
      <c r="S35" s="3305"/>
      <c r="T35" s="3305">
        <f>G35</f>
        <v>0</v>
      </c>
      <c r="U35" s="3305"/>
      <c r="V35" s="3305">
        <f>I35</f>
        <v>0</v>
      </c>
      <c r="W35" s="3305"/>
      <c r="X35" s="754"/>
      <c r="Y35" s="776"/>
      <c r="Z35" s="754"/>
      <c r="AA35" s="754"/>
      <c r="AB35" s="754"/>
      <c r="AC35" s="754"/>
    </row>
    <row r="36" spans="1:29" ht="15.75" thickBot="1">
      <c r="A36" s="483" t="s">
        <v>2653</v>
      </c>
      <c r="B36" s="484"/>
      <c r="C36" s="1408" t="e">
        <f>R37</f>
        <v>#DIV/0!</v>
      </c>
      <c r="D36" s="1409"/>
      <c r="E36" s="1410" t="e">
        <f>R36</f>
        <v>#DIV/0!</v>
      </c>
      <c r="F36" s="1410"/>
      <c r="G36" s="1408" t="e">
        <f>T36</f>
        <v>#DIV/0!</v>
      </c>
      <c r="H36" s="1409"/>
      <c r="I36" s="1410" t="e">
        <f>V36</f>
        <v>#DIV/0!</v>
      </c>
      <c r="J36" s="1409"/>
      <c r="K36" s="779"/>
      <c r="L36" s="1140"/>
      <c r="M36" s="1141"/>
      <c r="N36" s="1128"/>
      <c r="O36" s="1141"/>
      <c r="P36" s="3269" t="str">
        <f>A36</f>
        <v>比较价值（元/平方米）</v>
      </c>
      <c r="Q36" s="3269"/>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754"/>
      <c r="Y36" s="754"/>
      <c r="Z36" s="754"/>
      <c r="AA36" s="754"/>
      <c r="AB36" s="754"/>
      <c r="AC36" s="754"/>
    </row>
    <row r="37" spans="1:29" ht="15.75" thickBot="1">
      <c r="A37" s="489" t="s">
        <v>2654</v>
      </c>
      <c r="B37" s="490"/>
      <c r="C37" s="1412" t="e">
        <f>R37</f>
        <v>#DIV/0!</v>
      </c>
      <c r="D37" s="1412"/>
      <c r="E37" s="1412"/>
      <c r="F37" s="1412"/>
      <c r="G37" s="1412"/>
      <c r="H37" s="1412"/>
      <c r="I37" s="1412"/>
      <c r="J37" s="1412"/>
      <c r="K37" s="780"/>
      <c r="L37" s="1140"/>
      <c r="M37" s="1141"/>
      <c r="N37" s="1141"/>
      <c r="O37" s="1141"/>
      <c r="P37" s="3263" t="str">
        <f>A37</f>
        <v>估价对象XX用房的比较价值（楼面单价，元/平方米）</v>
      </c>
      <c r="Q37" s="3264"/>
      <c r="R37" s="3306" t="e">
        <f>IF(F1="售价",ROUND(AVERAGE(R36:V36),0),ROUND(AVERAGE(R36:V36),1))</f>
        <v>#DIV/0!</v>
      </c>
      <c r="S37" s="3306"/>
      <c r="T37" s="3306"/>
      <c r="U37" s="3306"/>
      <c r="V37" s="3306"/>
      <c r="W37" s="3306"/>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2658</v>
      </c>
      <c r="B45" s="754"/>
      <c r="C45" s="759"/>
      <c r="D45" s="759"/>
      <c r="E45" s="759"/>
      <c r="F45" s="760"/>
      <c r="G45" s="760"/>
      <c r="H45" s="759"/>
      <c r="I45" s="759"/>
      <c r="J45" s="759"/>
      <c r="K45" s="761"/>
      <c r="L45" s="762"/>
      <c r="M45" s="759"/>
      <c r="N45" s="759"/>
      <c r="O45" s="759"/>
      <c r="P45" s="500"/>
      <c r="Q45" s="501"/>
    </row>
    <row r="46" spans="1:29" s="505" customFormat="1" ht="15">
      <c r="A46" s="502" t="s">
        <v>2532</v>
      </c>
      <c r="B46" s="503"/>
      <c r="C46" s="1568" t="str">
        <f>YEAR(C7)&amp;"-"&amp;MONTH(C7)</f>
        <v>2018-4</v>
      </c>
      <c r="D46" s="1569">
        <f>EDATE(C46,-1)</f>
        <v>43160</v>
      </c>
      <c r="E46" s="1569">
        <f t="shared" ref="E46:O46" si="16">EDATE(D46,-1)</f>
        <v>43132</v>
      </c>
      <c r="F46" s="1569">
        <f t="shared" si="16"/>
        <v>43101</v>
      </c>
      <c r="G46" s="1569">
        <f t="shared" si="16"/>
        <v>43070</v>
      </c>
      <c r="H46" s="1569">
        <f t="shared" si="16"/>
        <v>43040</v>
      </c>
      <c r="I46" s="1569">
        <f t="shared" si="16"/>
        <v>43009</v>
      </c>
      <c r="J46" s="1569">
        <f t="shared" si="16"/>
        <v>42979</v>
      </c>
      <c r="K46" s="1569">
        <f t="shared" si="16"/>
        <v>42948</v>
      </c>
      <c r="L46" s="1569">
        <f t="shared" si="16"/>
        <v>42917</v>
      </c>
      <c r="M46" s="1569">
        <f t="shared" si="16"/>
        <v>42887</v>
      </c>
      <c r="N46" s="1569">
        <f t="shared" si="16"/>
        <v>42856</v>
      </c>
      <c r="O46" s="1569">
        <f t="shared" si="16"/>
        <v>42826</v>
      </c>
      <c r="P46" s="504"/>
    </row>
    <row r="47" spans="1:29" s="116" customFormat="1" ht="15">
      <c r="A47" s="506"/>
      <c r="B47" s="507"/>
      <c r="C47" s="1567">
        <v>100</v>
      </c>
      <c r="D47" s="509"/>
      <c r="E47" s="509"/>
      <c r="F47" s="509"/>
      <c r="G47" s="509"/>
      <c r="H47" s="509"/>
      <c r="I47" s="509"/>
      <c r="J47" s="509"/>
      <c r="K47" s="509"/>
      <c r="L47" s="509"/>
      <c r="M47" s="510"/>
      <c r="N47" s="509"/>
      <c r="O47" s="511"/>
      <c r="P47" s="501"/>
    </row>
    <row r="48" spans="1:29" s="116" customFormat="1" ht="15.75" thickBot="1">
      <c r="A48" s="512" t="s">
        <v>2569</v>
      </c>
      <c r="B48" s="513"/>
      <c r="C48" s="514"/>
      <c r="D48" s="515"/>
      <c r="E48" s="515"/>
      <c r="F48" s="515"/>
      <c r="G48" s="515"/>
      <c r="H48" s="515"/>
      <c r="I48" s="515"/>
      <c r="J48" s="515"/>
      <c r="K48" s="515"/>
      <c r="L48" s="515"/>
      <c r="M48" s="516"/>
      <c r="N48" s="515"/>
      <c r="O48" s="517"/>
      <c r="P48" s="501"/>
      <c r="Q48" s="501"/>
    </row>
    <row r="49" spans="1:17" s="116" customFormat="1" ht="15">
      <c r="A49" s="518" t="s">
        <v>2534</v>
      </c>
      <c r="B49" s="507"/>
      <c r="C49" s="519" t="s">
        <v>2636</v>
      </c>
      <c r="D49" s="520"/>
      <c r="E49" s="520"/>
      <c r="F49" s="520"/>
      <c r="G49" s="520"/>
      <c r="H49" s="520"/>
      <c r="I49" s="520"/>
      <c r="J49" s="520"/>
      <c r="K49" s="520"/>
      <c r="L49" s="521"/>
      <c r="M49" s="522"/>
      <c r="N49" s="1148"/>
      <c r="O49" s="1148"/>
      <c r="P49" s="523"/>
      <c r="Q49" s="501"/>
    </row>
    <row r="50" spans="1:17" s="116"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2572</v>
      </c>
      <c r="B51" s="525" t="s">
        <v>2538</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7"/>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2713</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6" customFormat="1" ht="15.75" thickTop="1">
      <c r="A71" s="576"/>
      <c r="B71" s="535">
        <f>B23</f>
        <v>111</v>
      </c>
      <c r="C71" s="546"/>
      <c r="D71" s="546"/>
      <c r="E71" s="546"/>
      <c r="F71" s="546"/>
      <c r="G71" s="551"/>
      <c r="H71" s="551"/>
      <c r="I71" s="551"/>
      <c r="J71" s="551"/>
      <c r="K71" s="551"/>
      <c r="L71" s="577"/>
      <c r="M71" s="578"/>
      <c r="N71" s="1148"/>
      <c r="O71" s="1148"/>
      <c r="P71" s="45"/>
      <c r="Q71" s="501"/>
    </row>
    <row r="72" spans="1:17" s="116" customFormat="1" ht="15.75" thickBot="1">
      <c r="A72" s="576"/>
      <c r="B72" s="540"/>
      <c r="C72" s="557"/>
      <c r="D72" s="533"/>
      <c r="E72" s="533"/>
      <c r="F72" s="533"/>
      <c r="G72" s="533"/>
      <c r="H72" s="533"/>
      <c r="I72" s="533"/>
      <c r="J72" s="533"/>
      <c r="K72" s="533"/>
      <c r="L72" s="533"/>
      <c r="M72" s="534"/>
      <c r="N72" s="1150"/>
      <c r="O72" s="1150"/>
      <c r="P72" s="45"/>
      <c r="Q72" s="501"/>
    </row>
    <row r="73" spans="1:17" s="116" customFormat="1" ht="15.75" thickTop="1">
      <c r="A73" s="576"/>
      <c r="B73" s="535">
        <f>B24</f>
        <v>111</v>
      </c>
      <c r="C73" s="546"/>
      <c r="D73" s="546"/>
      <c r="E73" s="546"/>
      <c r="F73" s="546"/>
      <c r="G73" s="551"/>
      <c r="H73" s="551"/>
      <c r="I73" s="551"/>
      <c r="J73" s="551"/>
      <c r="K73" s="551"/>
      <c r="L73" s="551"/>
      <c r="M73" s="578"/>
      <c r="N73" s="1148"/>
      <c r="O73" s="1148"/>
      <c r="P73" s="45"/>
      <c r="Q73" s="501"/>
    </row>
    <row r="74" spans="1:17" s="116"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2547</v>
      </c>
      <c r="B77" s="525" t="s">
        <v>2600</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2717</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2725</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2727</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2314</v>
      </c>
      <c r="B2" s="668"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ROUND(IF(D3="",B2*10000/'数据-汇总表'!E3,B2*10000/D3),0)</f>
        <v>#DIV/0!</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359" t="s">
        <v>2781</v>
      </c>
      <c r="D6" s="3360"/>
      <c r="E6" s="3361" t="s">
        <v>2781</v>
      </c>
      <c r="F6" s="3362"/>
      <c r="G6" s="3359" t="s">
        <v>2781</v>
      </c>
      <c r="H6" s="3360"/>
      <c r="I6" s="3359" t="s">
        <v>2781</v>
      </c>
      <c r="J6" s="3360"/>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SUMIF(65:65,YEAR(E7)&amp;"-"&amp;INT((MONTH(E7)+2)/3),66:66)</f>
        <v>0</v>
      </c>
      <c r="G7" s="2681"/>
      <c r="H7" s="409">
        <f>SUMIF(65:65,YEAR(G7)&amp;"-"&amp;INT((MONTH(G7)+2)/3),66:66)</f>
        <v>0</v>
      </c>
      <c r="I7" s="2681"/>
      <c r="J7" s="409">
        <f>SUMIF(65:65,YEAR(I7)&amp;"-"&amp;INT((MONTH(I7)+2)/3),66:66)</f>
        <v>0</v>
      </c>
      <c r="K7" s="608"/>
      <c r="L7" s="1129"/>
      <c r="M7" s="1130"/>
      <c r="N7" s="1130"/>
      <c r="O7" s="1130"/>
      <c r="P7" s="329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768"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40" si="3">D8/F8</f>
        <v>#DIV/0!</v>
      </c>
      <c r="AB8" s="768" t="e">
        <f t="shared" ref="AB8:AB40" si="4">D8/H8</f>
        <v>#DIV/0!</v>
      </c>
      <c r="AC8" s="768" t="e">
        <f t="shared" ref="AC8:AC40" si="5">D8/J8</f>
        <v>#DIV/0!</v>
      </c>
    </row>
    <row r="9" spans="1:29" s="116" customFormat="1">
      <c r="A9" s="413" t="s">
        <v>2537</v>
      </c>
      <c r="B9" s="71" t="s">
        <v>2538</v>
      </c>
      <c r="C9" s="2684"/>
      <c r="D9" s="133">
        <v>100</v>
      </c>
      <c r="E9" s="2684"/>
      <c r="F9" s="133">
        <f>SUMIF(70:70,E9,71:71)-SUMIF(70:70,C9,71:71)+100</f>
        <v>100</v>
      </c>
      <c r="G9" s="2684"/>
      <c r="H9" s="133">
        <f>SUMIF(70:70,G9,71:71)-SUMIF(70:70,C9,71:71)+100</f>
        <v>100</v>
      </c>
      <c r="I9" s="2684"/>
      <c r="J9" s="133">
        <f>SUMIF(70:70,I9,71:71)-SUMIF(70:70,C9,71:71)+100</f>
        <v>100</v>
      </c>
      <c r="K9" s="608"/>
      <c r="L9" s="1129"/>
      <c r="M9" s="1130"/>
      <c r="N9" s="1130"/>
      <c r="O9" s="1131"/>
      <c r="P9" s="3269"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9"/>
      <c r="D10" s="134">
        <v>100</v>
      </c>
      <c r="E10" s="429"/>
      <c r="F10" s="134">
        <f>ROUND(100/'数据-取费表'!G16,0)</f>
        <v>104</v>
      </c>
      <c r="G10" s="429"/>
      <c r="H10" s="134">
        <f>ROUND(100/'数据-取费表'!G16,0)</f>
        <v>104</v>
      </c>
      <c r="I10" s="429"/>
      <c r="J10" s="134">
        <f>ROUND(100/'数据-取费表'!G16,0)</f>
        <v>104</v>
      </c>
      <c r="K10" s="669"/>
      <c r="L10" s="1132"/>
      <c r="M10" s="1133"/>
      <c r="N10" s="1133"/>
      <c r="O10" s="1134"/>
      <c r="P10" s="3269"/>
      <c r="Q10" s="1789" t="str">
        <f t="shared" si="6"/>
        <v>土地使用年限（年）</v>
      </c>
      <c r="R10" s="765" t="s">
        <v>17</v>
      </c>
      <c r="S10" s="766">
        <f t="shared" si="0"/>
        <v>104</v>
      </c>
      <c r="T10" s="765" t="s">
        <v>17</v>
      </c>
      <c r="U10" s="766">
        <f t="shared" si="1"/>
        <v>104</v>
      </c>
      <c r="V10" s="765" t="s">
        <v>17</v>
      </c>
      <c r="W10" s="766">
        <f t="shared" si="2"/>
        <v>104</v>
      </c>
      <c r="X10" s="767"/>
      <c r="Y10" s="3117"/>
      <c r="Z10" s="55" t="str">
        <f t="shared" si="7"/>
        <v>土地使用年限（年）</v>
      </c>
      <c r="AA10" s="768">
        <f t="shared" si="3"/>
        <v>0.96153846153846156</v>
      </c>
      <c r="AB10" s="768">
        <f t="shared" si="4"/>
        <v>0.96153846153846156</v>
      </c>
      <c r="AC10" s="768">
        <f t="shared" si="5"/>
        <v>0.96153846153846156</v>
      </c>
    </row>
    <row r="11" spans="1:29" ht="15">
      <c r="A11" s="425"/>
      <c r="B11" s="419" t="s">
        <v>2542</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35"/>
      <c r="M11" s="1128"/>
      <c r="N11" s="1128"/>
      <c r="O11" s="1136"/>
      <c r="P11" s="3269"/>
      <c r="Q11" s="1789" t="str">
        <f t="shared" si="6"/>
        <v>容积率</v>
      </c>
      <c r="R11" s="765" t="s">
        <v>17</v>
      </c>
      <c r="S11" s="766" t="e">
        <f t="shared" si="0"/>
        <v>#N/A</v>
      </c>
      <c r="T11" s="765" t="s">
        <v>17</v>
      </c>
      <c r="U11" s="766" t="e">
        <f t="shared" si="1"/>
        <v>#N/A</v>
      </c>
      <c r="V11" s="765" t="s">
        <v>17</v>
      </c>
      <c r="W11" s="766" t="e">
        <f t="shared" si="2"/>
        <v>#N/A</v>
      </c>
      <c r="X11" s="767"/>
      <c r="Y11" s="3117"/>
      <c r="Z11" s="55" t="str">
        <f t="shared" si="7"/>
        <v>容积率</v>
      </c>
      <c r="AA11" s="768" t="e">
        <f t="shared" si="3"/>
        <v>#N/A</v>
      </c>
      <c r="AB11" s="768" t="e">
        <f t="shared" si="4"/>
        <v>#N/A</v>
      </c>
      <c r="AC11" s="768"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15">
      <c r="A15" s="437" t="s">
        <v>2543</v>
      </c>
      <c r="B15" s="626" t="s">
        <v>2782</v>
      </c>
      <c r="C15" s="2678">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71" t="s">
        <v>2544</v>
      </c>
      <c r="Q15" s="1804" t="str">
        <f t="shared" si="6"/>
        <v>产业集聚程度</v>
      </c>
      <c r="R15" s="769" t="s">
        <v>17</v>
      </c>
      <c r="S15" s="770">
        <f t="shared" si="0"/>
        <v>100</v>
      </c>
      <c r="T15" s="769" t="s">
        <v>17</v>
      </c>
      <c r="U15" s="770">
        <f t="shared" si="1"/>
        <v>100</v>
      </c>
      <c r="V15" s="769" t="s">
        <v>17</v>
      </c>
      <c r="W15" s="770">
        <f t="shared" si="2"/>
        <v>100</v>
      </c>
      <c r="X15" s="1807"/>
      <c r="Y15" s="3271" t="s">
        <v>2544</v>
      </c>
      <c r="Z15" s="1808" t="str">
        <f t="shared" si="7"/>
        <v>产业集聚程度</v>
      </c>
      <c r="AA15" s="1805">
        <f t="shared" si="3"/>
        <v>1</v>
      </c>
      <c r="AB15" s="1805">
        <f t="shared" si="4"/>
        <v>1</v>
      </c>
      <c r="AC15" s="1805">
        <f t="shared" si="5"/>
        <v>1</v>
      </c>
    </row>
    <row r="16" spans="1:29" ht="15">
      <c r="A16" s="425"/>
      <c r="B16" s="627"/>
      <c r="C16" s="444"/>
      <c r="D16" s="445"/>
      <c r="E16" s="2596"/>
      <c r="F16" s="445"/>
      <c r="G16" s="2596"/>
      <c r="H16" s="447"/>
      <c r="I16" s="2596"/>
      <c r="J16" s="445"/>
      <c r="K16" s="669"/>
      <c r="L16" s="1137"/>
      <c r="M16" s="1128"/>
      <c r="N16" s="1128"/>
      <c r="O16" s="1136"/>
      <c r="P16" s="3272"/>
      <c r="Q16" s="1804"/>
      <c r="R16" s="769"/>
      <c r="S16" s="770"/>
      <c r="T16" s="769"/>
      <c r="U16" s="770"/>
      <c r="V16" s="769"/>
      <c r="W16" s="770"/>
      <c r="X16" s="1807"/>
      <c r="Y16" s="3272"/>
      <c r="Z16" s="1808"/>
      <c r="AA16" s="1805">
        <v>1</v>
      </c>
      <c r="AB16" s="1805">
        <v>1</v>
      </c>
      <c r="AC16" s="1805">
        <v>1</v>
      </c>
    </row>
    <row r="17" spans="1:29" ht="15">
      <c r="A17" s="425"/>
      <c r="B17" s="628" t="s">
        <v>2693</v>
      </c>
      <c r="C17" s="2592">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72"/>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1805">
        <f t="shared" si="5"/>
        <v>1</v>
      </c>
    </row>
    <row r="18" spans="1:29" ht="15">
      <c r="A18" s="425"/>
      <c r="B18" s="629"/>
      <c r="C18" s="444"/>
      <c r="D18" s="445"/>
      <c r="E18" s="2590"/>
      <c r="F18" s="445"/>
      <c r="G18" s="2590"/>
      <c r="H18" s="445"/>
      <c r="I18" s="2589"/>
      <c r="J18" s="445"/>
      <c r="K18" s="669"/>
      <c r="L18" s="1137"/>
      <c r="M18" s="1128"/>
      <c r="N18" s="1128"/>
      <c r="O18" s="1136"/>
      <c r="P18" s="3272"/>
      <c r="Q18" s="1804"/>
      <c r="R18" s="769"/>
      <c r="S18" s="770"/>
      <c r="T18" s="769"/>
      <c r="U18" s="770"/>
      <c r="V18" s="769"/>
      <c r="W18" s="770"/>
      <c r="X18" s="1807"/>
      <c r="Y18" s="3272"/>
      <c r="Z18" s="1808"/>
      <c r="AA18" s="1805">
        <v>1</v>
      </c>
      <c r="AB18" s="1805">
        <v>1</v>
      </c>
      <c r="AC18" s="1805">
        <v>1</v>
      </c>
    </row>
    <row r="19" spans="1:29" ht="15">
      <c r="A19" s="425"/>
      <c r="B19" s="628" t="s">
        <v>2732</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72"/>
      <c r="Q19" s="1804" t="str">
        <f t="shared" ref="Q19:Q33" si="8">B19</f>
        <v>区域土地利用方向</v>
      </c>
      <c r="R19" s="769" t="s">
        <v>17</v>
      </c>
      <c r="S19" s="770">
        <f>F19</f>
        <v>100</v>
      </c>
      <c r="T19" s="769" t="s">
        <v>17</v>
      </c>
      <c r="U19" s="770">
        <f>H19</f>
        <v>100</v>
      </c>
      <c r="V19" s="769" t="s">
        <v>17</v>
      </c>
      <c r="W19" s="770">
        <f>J19</f>
        <v>100</v>
      </c>
      <c r="X19" s="1807"/>
      <c r="Y19" s="3272"/>
      <c r="Z19" s="1808" t="str">
        <f>Q19</f>
        <v>区域土地利用方向</v>
      </c>
      <c r="AA19" s="1805">
        <f t="shared" si="3"/>
        <v>1</v>
      </c>
      <c r="AB19" s="1805">
        <f t="shared" si="4"/>
        <v>1</v>
      </c>
      <c r="AC19" s="1805">
        <f t="shared" si="5"/>
        <v>1</v>
      </c>
    </row>
    <row r="20" spans="1:29" ht="15">
      <c r="A20" s="402"/>
      <c r="B20" s="629"/>
      <c r="C20" s="444"/>
      <c r="D20" s="445"/>
      <c r="E20" s="2590"/>
      <c r="F20" s="445"/>
      <c r="G20" s="2590"/>
      <c r="H20" s="445"/>
      <c r="I20" s="2590"/>
      <c r="J20" s="445"/>
      <c r="K20" s="806"/>
      <c r="L20" s="1137"/>
      <c r="M20" s="1128"/>
      <c r="N20" s="1128"/>
      <c r="O20" s="1136"/>
      <c r="P20" s="3272"/>
      <c r="Q20" s="1804"/>
      <c r="R20" s="769"/>
      <c r="S20" s="770"/>
      <c r="T20" s="769"/>
      <c r="U20" s="770"/>
      <c r="V20" s="769"/>
      <c r="W20" s="770"/>
      <c r="X20" s="1807"/>
      <c r="Y20" s="3272"/>
      <c r="Z20" s="1808"/>
      <c r="AA20" s="1805"/>
      <c r="AB20" s="1805"/>
      <c r="AC20" s="1805"/>
    </row>
    <row r="21" spans="1:29" ht="15">
      <c r="A21" s="402"/>
      <c r="B21" s="628" t="s">
        <v>2783</v>
      </c>
      <c r="C21" s="2592">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72"/>
      <c r="Q21" s="1804" t="str">
        <f t="shared" si="8"/>
        <v>环境状况</v>
      </c>
      <c r="R21" s="769" t="s">
        <v>17</v>
      </c>
      <c r="S21" s="770">
        <f>F21</f>
        <v>100</v>
      </c>
      <c r="T21" s="769" t="s">
        <v>17</v>
      </c>
      <c r="U21" s="770">
        <f>H21</f>
        <v>100</v>
      </c>
      <c r="V21" s="769" t="s">
        <v>17</v>
      </c>
      <c r="W21" s="770">
        <f>J21</f>
        <v>100</v>
      </c>
      <c r="X21" s="1807"/>
      <c r="Y21" s="3272"/>
      <c r="Z21" s="1808" t="str">
        <f>Q21</f>
        <v>环境状况</v>
      </c>
      <c r="AA21" s="1805">
        <f t="shared" si="3"/>
        <v>1</v>
      </c>
      <c r="AB21" s="1805">
        <f t="shared" si="4"/>
        <v>1</v>
      </c>
      <c r="AC21" s="1805">
        <f t="shared" si="5"/>
        <v>1</v>
      </c>
    </row>
    <row r="22" spans="1:29" ht="15">
      <c r="A22" s="402"/>
      <c r="B22" s="629"/>
      <c r="C22" s="444"/>
      <c r="D22" s="445"/>
      <c r="E22" s="2596"/>
      <c r="F22" s="445"/>
      <c r="G22" s="2596"/>
      <c r="H22" s="445"/>
      <c r="I22" s="444"/>
      <c r="J22" s="445"/>
      <c r="K22" s="669"/>
      <c r="L22" s="1137"/>
      <c r="M22" s="1128"/>
      <c r="N22" s="1128"/>
      <c r="O22" s="1136"/>
      <c r="P22" s="3272"/>
      <c r="Q22" s="1804"/>
      <c r="R22" s="769"/>
      <c r="S22" s="770"/>
      <c r="T22" s="769"/>
      <c r="U22" s="770"/>
      <c r="V22" s="769"/>
      <c r="W22" s="770"/>
      <c r="X22" s="1807"/>
      <c r="Y22" s="3272"/>
      <c r="Z22" s="1808"/>
      <c r="AA22" s="1805">
        <v>1</v>
      </c>
      <c r="AB22" s="1805">
        <v>1</v>
      </c>
      <c r="AC22" s="1805">
        <v>1</v>
      </c>
    </row>
    <row r="23" spans="1:29" s="116" customFormat="1" ht="15">
      <c r="A23" s="646"/>
      <c r="B23" s="630" t="s">
        <v>2638</v>
      </c>
      <c r="C23" s="2592">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72"/>
      <c r="Q23" s="1789" t="str">
        <f t="shared" si="8"/>
        <v>公共配套设施</v>
      </c>
      <c r="R23" s="765" t="s">
        <v>17</v>
      </c>
      <c r="S23" s="766">
        <f>F23</f>
        <v>100</v>
      </c>
      <c r="T23" s="765" t="s">
        <v>17</v>
      </c>
      <c r="U23" s="766">
        <f>H23</f>
        <v>100</v>
      </c>
      <c r="V23" s="765" t="s">
        <v>17</v>
      </c>
      <c r="W23" s="766">
        <f>J23</f>
        <v>100</v>
      </c>
      <c r="X23" s="767"/>
      <c r="Y23" s="3272"/>
      <c r="Z23" s="55" t="str">
        <f>Q23</f>
        <v>公共配套设施</v>
      </c>
      <c r="AA23" s="1805">
        <f>D23/F23</f>
        <v>1</v>
      </c>
      <c r="AB23" s="1805">
        <f>D23/H23</f>
        <v>1</v>
      </c>
      <c r="AC23" s="1805">
        <f>D23/J23</f>
        <v>1</v>
      </c>
    </row>
    <row r="24" spans="1:29" s="116" customFormat="1" ht="15">
      <c r="A24" s="646"/>
      <c r="B24" s="629"/>
      <c r="C24" s="2685"/>
      <c r="D24" s="445"/>
      <c r="E24" s="2596"/>
      <c r="F24" s="445"/>
      <c r="G24" s="2596"/>
      <c r="H24" s="445"/>
      <c r="I24" s="444"/>
      <c r="J24" s="445"/>
      <c r="K24" s="669"/>
      <c r="L24" s="1129"/>
      <c r="M24" s="1130"/>
      <c r="N24" s="1130"/>
      <c r="O24" s="1131"/>
      <c r="P24" s="3272"/>
      <c r="Q24" s="1789"/>
      <c r="R24" s="765"/>
      <c r="S24" s="766"/>
      <c r="T24" s="765"/>
      <c r="U24" s="766"/>
      <c r="V24" s="765"/>
      <c r="W24" s="766"/>
      <c r="X24" s="767"/>
      <c r="Y24" s="3272"/>
      <c r="Z24" s="55"/>
      <c r="AA24" s="768">
        <v>1</v>
      </c>
      <c r="AB24" s="768">
        <v>1</v>
      </c>
      <c r="AC24" s="768">
        <v>1</v>
      </c>
    </row>
    <row r="25" spans="1:29" s="116" customFormat="1" ht="15">
      <c r="A25" s="646"/>
      <c r="B25" s="630" t="s">
        <v>2639</v>
      </c>
      <c r="C25" s="2592">
        <f>估价对象房地状况!G20</f>
        <v>0</v>
      </c>
      <c r="D25" s="447">
        <v>100</v>
      </c>
      <c r="E25" s="449"/>
      <c r="F25" s="447">
        <f>SUMIF(93:93,E26,94:94)-SUMIF(93:93,C26,94:94)+100</f>
        <v>0</v>
      </c>
      <c r="G25" s="449"/>
      <c r="H25" s="447">
        <f>SUMIF(93:93,G26,94:94)-SUMIF(93:93,C26,94:94)+100</f>
        <v>0</v>
      </c>
      <c r="I25" s="451"/>
      <c r="J25" s="447">
        <f>SUMIF(93:93,I26,94:94)-SUMIF(93:93,C26,94:94)+100</f>
        <v>0</v>
      </c>
      <c r="K25" s="670"/>
      <c r="L25" s="1129"/>
      <c r="M25" s="1130"/>
      <c r="N25" s="1130"/>
      <c r="O25" s="1131"/>
      <c r="P25" s="3272"/>
      <c r="Q25" s="1789" t="str">
        <f t="shared" ref="Q25" si="9">B25</f>
        <v>基础设施水平</v>
      </c>
      <c r="R25" s="765" t="s">
        <v>17</v>
      </c>
      <c r="S25" s="766">
        <f>F25</f>
        <v>0</v>
      </c>
      <c r="T25" s="765" t="s">
        <v>17</v>
      </c>
      <c r="U25" s="766">
        <f>H25</f>
        <v>0</v>
      </c>
      <c r="V25" s="765" t="s">
        <v>17</v>
      </c>
      <c r="W25" s="766">
        <f>J25</f>
        <v>0</v>
      </c>
      <c r="X25" s="767"/>
      <c r="Y25" s="3272"/>
      <c r="Z25" s="55" t="str">
        <f>Q25</f>
        <v>基础设施水平</v>
      </c>
      <c r="AA25" s="1805" t="e">
        <f>D25/F25</f>
        <v>#DIV/0!</v>
      </c>
      <c r="AB25" s="1805" t="e">
        <f>D25/H25</f>
        <v>#DIV/0!</v>
      </c>
      <c r="AC25" s="1805" t="e">
        <f>D25/J25</f>
        <v>#DIV/0!</v>
      </c>
    </row>
    <row r="26" spans="1:29" s="116" customFormat="1" ht="15">
      <c r="A26" s="646"/>
      <c r="B26" s="629"/>
      <c r="C26" s="2685" t="s">
        <v>3052</v>
      </c>
      <c r="D26" s="445"/>
      <c r="E26" s="2686"/>
      <c r="F26" s="445"/>
      <c r="G26" s="2686"/>
      <c r="H26" s="445"/>
      <c r="I26" s="2686"/>
      <c r="J26" s="445"/>
      <c r="K26" s="669"/>
      <c r="L26" s="1129"/>
      <c r="M26" s="1130"/>
      <c r="N26" s="1130"/>
      <c r="O26" s="1131"/>
      <c r="P26" s="3272"/>
      <c r="Q26" s="1789"/>
      <c r="R26" s="765"/>
      <c r="S26" s="766"/>
      <c r="T26" s="765"/>
      <c r="U26" s="766"/>
      <c r="V26" s="765"/>
      <c r="W26" s="766"/>
      <c r="X26" s="767"/>
      <c r="Y26" s="3272"/>
      <c r="Z26" s="55"/>
      <c r="AA26" s="768">
        <v>1</v>
      </c>
      <c r="AB26" s="768">
        <v>1</v>
      </c>
      <c r="AC26" s="768">
        <v>1</v>
      </c>
    </row>
    <row r="27" spans="1:29" ht="15">
      <c r="A27" s="425"/>
      <c r="B27" s="629" t="s">
        <v>2640</v>
      </c>
      <c r="C27" s="613" t="s">
        <v>3053</v>
      </c>
      <c r="D27" s="432">
        <v>100</v>
      </c>
      <c r="E27" s="631"/>
      <c r="F27" s="432">
        <f>SUMIF(95:95,E27,96:96)-SUMIF(95:95,C27,96:96)+100</f>
        <v>0</v>
      </c>
      <c r="G27" s="631"/>
      <c r="H27" s="432">
        <f>SUMIF(95:95,G27,96:96)-SUMIF(95:95,C27,96:96)+100</f>
        <v>0</v>
      </c>
      <c r="I27" s="631"/>
      <c r="J27" s="432">
        <f>SUMIF(95:95,I27,96:96)-SUMIF(95:95,C27,96:96)+100</f>
        <v>0</v>
      </c>
      <c r="K27" s="670"/>
      <c r="L27" s="1137"/>
      <c r="M27" s="1128"/>
      <c r="N27" s="1128"/>
      <c r="O27" s="1136"/>
      <c r="P27" s="3272"/>
      <c r="Q27" s="1804" t="str">
        <f t="shared" si="8"/>
        <v>临街状况</v>
      </c>
      <c r="R27" s="769" t="s">
        <v>17</v>
      </c>
      <c r="S27" s="770">
        <f t="shared" ref="S27:S40" si="10">F27</f>
        <v>0</v>
      </c>
      <c r="T27" s="769" t="s">
        <v>17</v>
      </c>
      <c r="U27" s="770">
        <f t="shared" ref="U27:U40" si="11">H27</f>
        <v>0</v>
      </c>
      <c r="V27" s="769" t="s">
        <v>17</v>
      </c>
      <c r="W27" s="770">
        <f t="shared" ref="W27:W40" si="12">J27</f>
        <v>0</v>
      </c>
      <c r="X27" s="1807"/>
      <c r="Y27" s="3272"/>
      <c r="Z27" s="1808" t="str">
        <f t="shared" ref="Z27:Z40" si="13">Q27</f>
        <v>临街状况</v>
      </c>
      <c r="AA27" s="1805" t="e">
        <f t="shared" si="3"/>
        <v>#DIV/0!</v>
      </c>
      <c r="AB27" s="1805" t="e">
        <f t="shared" si="4"/>
        <v>#DIV/0!</v>
      </c>
      <c r="AC27" s="1805" t="e">
        <f t="shared" si="5"/>
        <v>#DIV/0!</v>
      </c>
    </row>
    <row r="28" spans="1:29" ht="27">
      <c r="A28" s="425"/>
      <c r="B28" s="630" t="s">
        <v>2675</v>
      </c>
      <c r="C28" s="269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72"/>
      <c r="Q28" s="1804" t="str">
        <f t="shared" si="8"/>
        <v>毗邻道路的类型与等级</v>
      </c>
      <c r="R28" s="769" t="s">
        <v>17</v>
      </c>
      <c r="S28" s="770">
        <f t="shared" si="10"/>
        <v>100</v>
      </c>
      <c r="T28" s="769" t="s">
        <v>17</v>
      </c>
      <c r="U28" s="770">
        <f t="shared" si="11"/>
        <v>100</v>
      </c>
      <c r="V28" s="769" t="s">
        <v>17</v>
      </c>
      <c r="W28" s="770">
        <f t="shared" si="12"/>
        <v>100</v>
      </c>
      <c r="X28" s="1807"/>
      <c r="Y28" s="3272"/>
      <c r="Z28" s="1808" t="str">
        <f t="shared" si="13"/>
        <v>毗邻道路的类型与等级</v>
      </c>
      <c r="AA28" s="1805">
        <f t="shared" si="3"/>
        <v>1</v>
      </c>
      <c r="AB28" s="1805">
        <f t="shared" si="4"/>
        <v>1</v>
      </c>
      <c r="AC28" s="1805">
        <f t="shared" si="5"/>
        <v>1</v>
      </c>
    </row>
    <row r="29" spans="1:29" ht="15">
      <c r="A29" s="425"/>
      <c r="B29" s="629"/>
      <c r="C29" s="444"/>
      <c r="D29" s="445"/>
      <c r="E29" s="2596"/>
      <c r="F29" s="445"/>
      <c r="G29" s="2596"/>
      <c r="H29" s="445"/>
      <c r="I29" s="2596"/>
      <c r="J29" s="445"/>
      <c r="K29" s="610"/>
      <c r="L29" s="1137"/>
      <c r="M29" s="1128"/>
      <c r="N29" s="1128"/>
      <c r="O29" s="1136"/>
      <c r="P29" s="3272"/>
      <c r="Q29" s="1804"/>
      <c r="R29" s="769"/>
      <c r="S29" s="770"/>
      <c r="T29" s="769"/>
      <c r="U29" s="770"/>
      <c r="V29" s="769"/>
      <c r="W29" s="770"/>
      <c r="X29" s="1807"/>
      <c r="Y29" s="3272"/>
      <c r="Z29" s="1808"/>
      <c r="AA29" s="1805">
        <v>1</v>
      </c>
      <c r="AB29" s="1805">
        <v>1</v>
      </c>
      <c r="AC29" s="1805">
        <v>1</v>
      </c>
    </row>
    <row r="30" spans="1:29" ht="15">
      <c r="A30" s="425"/>
      <c r="B30" s="651" t="s">
        <v>2734</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72"/>
      <c r="Q30" s="1804" t="str">
        <f t="shared" si="8"/>
        <v>土地级别</v>
      </c>
      <c r="R30" s="769" t="s">
        <v>17</v>
      </c>
      <c r="S30" s="770">
        <f t="shared" si="10"/>
        <v>100</v>
      </c>
      <c r="T30" s="769" t="s">
        <v>17</v>
      </c>
      <c r="U30" s="770">
        <f t="shared" si="11"/>
        <v>100</v>
      </c>
      <c r="V30" s="769" t="s">
        <v>17</v>
      </c>
      <c r="W30" s="770">
        <f t="shared" si="12"/>
        <v>100</v>
      </c>
      <c r="X30" s="1807"/>
      <c r="Y30" s="3272"/>
      <c r="Z30" s="1808" t="str">
        <f t="shared" si="13"/>
        <v>土地级别</v>
      </c>
      <c r="AA30" s="1805">
        <f t="shared" si="3"/>
        <v>1</v>
      </c>
      <c r="AB30" s="1805">
        <f t="shared" si="4"/>
        <v>1</v>
      </c>
      <c r="AC30" s="1805">
        <f t="shared" si="5"/>
        <v>1</v>
      </c>
    </row>
    <row r="31" spans="1:29" ht="15">
      <c r="A31" s="402"/>
      <c r="B31" s="266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72"/>
      <c r="Q31" s="1804">
        <f t="shared" si="8"/>
        <v>111</v>
      </c>
      <c r="R31" s="769" t="s">
        <v>17</v>
      </c>
      <c r="S31" s="770">
        <f t="shared" si="10"/>
        <v>100</v>
      </c>
      <c r="T31" s="769" t="s">
        <v>17</v>
      </c>
      <c r="U31" s="770">
        <f t="shared" si="11"/>
        <v>100</v>
      </c>
      <c r="V31" s="769" t="s">
        <v>17</v>
      </c>
      <c r="W31" s="770">
        <f t="shared" si="12"/>
        <v>100</v>
      </c>
      <c r="X31" s="1807"/>
      <c r="Y31" s="3272"/>
      <c r="Z31" s="1808">
        <f t="shared" si="13"/>
        <v>111</v>
      </c>
      <c r="AA31" s="1805">
        <f t="shared" si="3"/>
        <v>1</v>
      </c>
      <c r="AB31" s="1805">
        <f t="shared" si="4"/>
        <v>1</v>
      </c>
      <c r="AC31" s="1805">
        <f t="shared" si="5"/>
        <v>1</v>
      </c>
    </row>
    <row r="32" spans="1:29" ht="15">
      <c r="A32" s="672"/>
      <c r="B32" s="269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73" t="s">
        <v>2549</v>
      </c>
      <c r="Q32" s="1804">
        <f t="shared" si="8"/>
        <v>111</v>
      </c>
      <c r="R32" s="769" t="s">
        <v>17</v>
      </c>
      <c r="S32" s="770">
        <f t="shared" si="10"/>
        <v>100</v>
      </c>
      <c r="T32" s="769" t="s">
        <v>17</v>
      </c>
      <c r="U32" s="770">
        <f t="shared" si="11"/>
        <v>100</v>
      </c>
      <c r="V32" s="769" t="s">
        <v>17</v>
      </c>
      <c r="W32" s="770">
        <f t="shared" si="12"/>
        <v>100</v>
      </c>
      <c r="X32" s="1807"/>
      <c r="Y32" s="3274" t="s">
        <v>2549</v>
      </c>
      <c r="Z32" s="1808">
        <f t="shared" si="13"/>
        <v>111</v>
      </c>
      <c r="AA32" s="1805">
        <f t="shared" si="3"/>
        <v>1</v>
      </c>
      <c r="AB32" s="1805">
        <f t="shared" si="4"/>
        <v>1</v>
      </c>
      <c r="AC32" s="1805">
        <f t="shared" si="5"/>
        <v>1</v>
      </c>
    </row>
    <row r="33" spans="1:29" s="468" customFormat="1" ht="15.75" thickBot="1">
      <c r="A33" s="673"/>
      <c r="B33" s="2700">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74"/>
      <c r="Q33" s="1804">
        <f t="shared" si="8"/>
        <v>111</v>
      </c>
      <c r="R33" s="772" t="s">
        <v>17</v>
      </c>
      <c r="S33" s="773">
        <f t="shared" si="10"/>
        <v>100</v>
      </c>
      <c r="T33" s="772" t="s">
        <v>17</v>
      </c>
      <c r="U33" s="773">
        <f t="shared" si="11"/>
        <v>100</v>
      </c>
      <c r="V33" s="772" t="s">
        <v>17</v>
      </c>
      <c r="W33" s="773">
        <f t="shared" si="12"/>
        <v>100</v>
      </c>
      <c r="X33" s="774"/>
      <c r="Y33" s="3274"/>
      <c r="Z33" s="775">
        <f t="shared" si="13"/>
        <v>111</v>
      </c>
      <c r="AA33" s="1805">
        <f t="shared" si="3"/>
        <v>1</v>
      </c>
      <c r="AB33" s="1805">
        <f t="shared" si="4"/>
        <v>1</v>
      </c>
      <c r="AC33" s="1805">
        <f t="shared" si="5"/>
        <v>1</v>
      </c>
    </row>
    <row r="34" spans="1:29" ht="15">
      <c r="A34" s="437" t="s">
        <v>2547</v>
      </c>
      <c r="B34" s="453" t="s">
        <v>2735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74"/>
      <c r="Q34" s="1804" t="str">
        <f>B34</f>
        <v>宗地面积</v>
      </c>
      <c r="R34" s="769" t="s">
        <v>17</v>
      </c>
      <c r="S34" s="770" t="e">
        <f t="shared" si="10"/>
        <v>#N/A</v>
      </c>
      <c r="T34" s="769" t="s">
        <v>17</v>
      </c>
      <c r="U34" s="770" t="e">
        <f t="shared" si="11"/>
        <v>#N/A</v>
      </c>
      <c r="V34" s="769" t="s">
        <v>17</v>
      </c>
      <c r="W34" s="770" t="e">
        <f t="shared" si="12"/>
        <v>#N/A</v>
      </c>
      <c r="X34" s="1807"/>
      <c r="Y34" s="3274"/>
      <c r="Z34" s="1808" t="str">
        <f t="shared" si="13"/>
        <v>宗地面积</v>
      </c>
      <c r="AA34" s="1805" t="e">
        <f t="shared" si="3"/>
        <v>#N/A</v>
      </c>
      <c r="AB34" s="1805" t="e">
        <f t="shared" si="4"/>
        <v>#N/A</v>
      </c>
      <c r="AC34" s="1805" t="e">
        <f t="shared" si="5"/>
        <v>#N/A</v>
      </c>
    </row>
    <row r="35" spans="1:29" ht="15">
      <c r="A35" s="469"/>
      <c r="B35" s="419" t="s">
        <v>2736</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7"/>
      <c r="M35" s="1128"/>
      <c r="N35" s="1128"/>
      <c r="O35" s="1136"/>
      <c r="P35" s="3274"/>
      <c r="Q35" s="1804" t="str">
        <f t="shared" ref="Q35:Q40" si="14">B35</f>
        <v>宗地形状</v>
      </c>
      <c r="R35" s="769" t="s">
        <v>17</v>
      </c>
      <c r="S35" s="770">
        <f t="shared" si="10"/>
        <v>100</v>
      </c>
      <c r="T35" s="769" t="s">
        <v>17</v>
      </c>
      <c r="U35" s="770">
        <f t="shared" si="11"/>
        <v>100</v>
      </c>
      <c r="V35" s="769" t="s">
        <v>17</v>
      </c>
      <c r="W35" s="770">
        <f t="shared" si="12"/>
        <v>100</v>
      </c>
      <c r="X35" s="1807"/>
      <c r="Y35" s="3274"/>
      <c r="Z35" s="1808" t="str">
        <f t="shared" si="13"/>
        <v>宗地形状</v>
      </c>
      <c r="AA35" s="1805">
        <f t="shared" si="3"/>
        <v>1</v>
      </c>
      <c r="AB35" s="1805">
        <f t="shared" si="4"/>
        <v>1</v>
      </c>
      <c r="AC35" s="1805">
        <f t="shared" si="5"/>
        <v>1</v>
      </c>
    </row>
    <row r="36" spans="1:29" s="116" customFormat="1" ht="15">
      <c r="A36" s="470"/>
      <c r="B36" s="419" t="s">
        <v>2738</v>
      </c>
      <c r="C36" s="2687"/>
      <c r="D36" s="134">
        <v>100</v>
      </c>
      <c r="E36" s="2687"/>
      <c r="F36" s="432">
        <f>SUMIF(112:112,E36,113:113)-SUMIF(112:112,C36,113:113)+100</f>
        <v>100</v>
      </c>
      <c r="G36" s="2687"/>
      <c r="H36" s="432">
        <f>SUMIF(112:112,G36,113:113)-SUMIF(112:112,C36,113:113)+100</f>
        <v>100</v>
      </c>
      <c r="I36" s="2687"/>
      <c r="J36" s="432">
        <f>SUMIF(112:112,I36,113:113)-SUMIF(112:112,C36,113:113)+100</f>
        <v>100</v>
      </c>
      <c r="K36" s="609"/>
      <c r="L36" s="1129"/>
      <c r="M36" s="1130"/>
      <c r="N36" s="1130"/>
      <c r="O36" s="1131"/>
      <c r="P36" s="3274"/>
      <c r="Q36" s="1804" t="str">
        <f t="shared" si="14"/>
        <v>宗地开发程度</v>
      </c>
      <c r="R36" s="765" t="s">
        <v>17</v>
      </c>
      <c r="S36" s="766">
        <f t="shared" si="10"/>
        <v>100</v>
      </c>
      <c r="T36" s="765" t="s">
        <v>17</v>
      </c>
      <c r="U36" s="766">
        <f t="shared" si="11"/>
        <v>100</v>
      </c>
      <c r="V36" s="765" t="s">
        <v>17</v>
      </c>
      <c r="W36" s="766">
        <f t="shared" si="12"/>
        <v>100</v>
      </c>
      <c r="X36" s="767"/>
      <c r="Y36" s="3274"/>
      <c r="Z36" s="55" t="str">
        <f t="shared" si="13"/>
        <v>宗地开发程度</v>
      </c>
      <c r="AA36" s="768">
        <f t="shared" si="3"/>
        <v>1</v>
      </c>
      <c r="AB36" s="768">
        <f t="shared" si="4"/>
        <v>1</v>
      </c>
      <c r="AC36" s="768">
        <f t="shared" si="5"/>
        <v>1</v>
      </c>
    </row>
    <row r="37" spans="1:29" ht="15">
      <c r="A37" s="469"/>
      <c r="B37" s="419" t="s">
        <v>2739</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7"/>
      <c r="M37" s="1128"/>
      <c r="N37" s="1128"/>
      <c r="O37" s="1136"/>
      <c r="P37" s="3274" t="s">
        <v>2549</v>
      </c>
      <c r="Q37" s="1804" t="str">
        <f t="shared" si="14"/>
        <v>工程地质条件</v>
      </c>
      <c r="R37" s="769" t="s">
        <v>17</v>
      </c>
      <c r="S37" s="770">
        <f t="shared" si="10"/>
        <v>100</v>
      </c>
      <c r="T37" s="769" t="s">
        <v>17</v>
      </c>
      <c r="U37" s="770">
        <f t="shared" si="11"/>
        <v>100</v>
      </c>
      <c r="V37" s="769" t="s">
        <v>17</v>
      </c>
      <c r="W37" s="770">
        <f t="shared" si="12"/>
        <v>100</v>
      </c>
      <c r="X37" s="1807"/>
      <c r="Y37" s="3274" t="s">
        <v>2549</v>
      </c>
      <c r="Z37" s="1808" t="str">
        <f t="shared" si="13"/>
        <v>工程地质条件</v>
      </c>
      <c r="AA37" s="1805">
        <f t="shared" si="3"/>
        <v>1</v>
      </c>
      <c r="AB37" s="1805">
        <f t="shared" si="4"/>
        <v>1</v>
      </c>
      <c r="AC37" s="1805">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74"/>
      <c r="Q38" s="1804">
        <f t="shared" si="14"/>
        <v>111</v>
      </c>
      <c r="R38" s="769" t="s">
        <v>17</v>
      </c>
      <c r="S38" s="770">
        <f t="shared" si="10"/>
        <v>100</v>
      </c>
      <c r="T38" s="769" t="s">
        <v>17</v>
      </c>
      <c r="U38" s="770">
        <f t="shared" si="11"/>
        <v>100</v>
      </c>
      <c r="V38" s="769" t="s">
        <v>17</v>
      </c>
      <c r="W38" s="770">
        <f t="shared" si="12"/>
        <v>100</v>
      </c>
      <c r="X38" s="1807"/>
      <c r="Y38" s="3274"/>
      <c r="Z38" s="1808">
        <f t="shared" si="13"/>
        <v>111</v>
      </c>
      <c r="AA38" s="1805">
        <f t="shared" si="3"/>
        <v>1</v>
      </c>
      <c r="AB38" s="1805">
        <f t="shared" si="4"/>
        <v>1</v>
      </c>
      <c r="AC38" s="1805">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74"/>
      <c r="Q39" s="1804">
        <f t="shared" si="14"/>
        <v>111</v>
      </c>
      <c r="R39" s="769" t="s">
        <v>17</v>
      </c>
      <c r="S39" s="770">
        <f t="shared" si="10"/>
        <v>100</v>
      </c>
      <c r="T39" s="769" t="s">
        <v>17</v>
      </c>
      <c r="U39" s="770">
        <f t="shared" si="11"/>
        <v>100</v>
      </c>
      <c r="V39" s="769" t="s">
        <v>17</v>
      </c>
      <c r="W39" s="770">
        <f t="shared" si="12"/>
        <v>100</v>
      </c>
      <c r="X39" s="1807"/>
      <c r="Y39" s="3274"/>
      <c r="Z39" s="1808">
        <f t="shared" si="13"/>
        <v>111</v>
      </c>
      <c r="AA39" s="1805">
        <f t="shared" si="3"/>
        <v>1</v>
      </c>
      <c r="AB39" s="1805">
        <f t="shared" si="4"/>
        <v>1</v>
      </c>
      <c r="AC39" s="1805">
        <f t="shared" si="5"/>
        <v>1</v>
      </c>
    </row>
    <row r="40" spans="1:29" s="468" customFormat="1" ht="15.75" thickBot="1">
      <c r="A40" s="465"/>
      <c r="B40" s="1382">
        <v>111</v>
      </c>
      <c r="C40" s="2688"/>
      <c r="D40" s="135">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74"/>
      <c r="Q40" s="1804">
        <f t="shared" si="14"/>
        <v>111</v>
      </c>
      <c r="R40" s="772" t="s">
        <v>17</v>
      </c>
      <c r="S40" s="773">
        <f t="shared" si="10"/>
        <v>100</v>
      </c>
      <c r="T40" s="772" t="s">
        <v>17</v>
      </c>
      <c r="U40" s="773">
        <f t="shared" si="11"/>
        <v>100</v>
      </c>
      <c r="V40" s="772" t="s">
        <v>17</v>
      </c>
      <c r="W40" s="773">
        <f t="shared" si="12"/>
        <v>100</v>
      </c>
      <c r="X40" s="774"/>
      <c r="Y40" s="3274"/>
      <c r="Z40" s="775">
        <f t="shared" si="13"/>
        <v>111</v>
      </c>
      <c r="AA40" s="1805">
        <f t="shared" si="3"/>
        <v>1</v>
      </c>
      <c r="AB40" s="1805">
        <f t="shared" si="4"/>
        <v>1</v>
      </c>
      <c r="AC40" s="1805">
        <f t="shared" si="5"/>
        <v>1</v>
      </c>
    </row>
    <row r="41" spans="1:29" ht="15">
      <c r="A41" s="476" t="s">
        <v>2704</v>
      </c>
      <c r="B41" s="2689" t="s">
        <v>2784</v>
      </c>
      <c r="C41" s="679" t="s">
        <v>1</v>
      </c>
      <c r="D41" s="478"/>
      <c r="E41" s="479"/>
      <c r="F41" s="480"/>
      <c r="G41" s="481"/>
      <c r="H41" s="482"/>
      <c r="I41" s="479"/>
      <c r="J41" s="482"/>
      <c r="K41" s="778"/>
      <c r="L41" s="1140"/>
      <c r="M41" s="1128"/>
      <c r="N41" s="1128"/>
      <c r="O41" s="1141"/>
      <c r="P41" s="3269" t="str">
        <f>A41</f>
        <v>成交单价</v>
      </c>
      <c r="Q41" s="3269"/>
      <c r="R41" s="3275">
        <f>E41</f>
        <v>0</v>
      </c>
      <c r="S41" s="3275"/>
      <c r="T41" s="3275">
        <f>G41</f>
        <v>0</v>
      </c>
      <c r="U41" s="3275"/>
      <c r="V41" s="3275">
        <f>I41</f>
        <v>0</v>
      </c>
      <c r="W41" s="3275"/>
      <c r="X41" s="754"/>
      <c r="Y41" s="776"/>
      <c r="Z41" s="754"/>
      <c r="AA41" s="754"/>
      <c r="AB41" s="754"/>
      <c r="AC41" s="754"/>
    </row>
    <row r="42" spans="1:29" ht="15.75" thickBot="1">
      <c r="A42" s="483" t="s">
        <v>2653</v>
      </c>
      <c r="B42" s="680"/>
      <c r="C42" s="487" t="e">
        <f>R43</f>
        <v>#DIV/0!</v>
      </c>
      <c r="D42" s="486"/>
      <c r="E42" s="487" t="e">
        <f>R42</f>
        <v>#DIV/0!</v>
      </c>
      <c r="F42" s="488"/>
      <c r="G42" s="485" t="e">
        <f>T42</f>
        <v>#DIV/0!</v>
      </c>
      <c r="H42" s="486"/>
      <c r="I42" s="487" t="e">
        <f>V42</f>
        <v>#DIV/0!</v>
      </c>
      <c r="J42" s="486"/>
      <c r="K42" s="779"/>
      <c r="L42" s="1140"/>
      <c r="M42" s="1128"/>
      <c r="N42" s="1128"/>
      <c r="O42" s="1141"/>
      <c r="P42" s="3269" t="str">
        <f>A42</f>
        <v>比较价值（元/平方米）</v>
      </c>
      <c r="Q42" s="3269"/>
      <c r="R42" s="3262" t="e">
        <f>ROUND(PRODUCT(R41,AA7:AA40),0)</f>
        <v>#DIV/0!</v>
      </c>
      <c r="S42" s="3262"/>
      <c r="T42" s="3262" t="e">
        <f>ROUND(PRODUCT(T41,AB7:AB40),0)</f>
        <v>#DIV/0!</v>
      </c>
      <c r="U42" s="3262"/>
      <c r="V42" s="3262" t="e">
        <f>ROUND(PRODUCT(V41,AC7:AC40),0)</f>
        <v>#DIV/0!</v>
      </c>
      <c r="W42" s="3262"/>
      <c r="X42" s="754"/>
      <c r="Y42" s="754"/>
      <c r="Z42" s="754"/>
      <c r="AA42" s="754"/>
      <c r="AB42" s="754"/>
      <c r="AC42" s="754"/>
    </row>
    <row r="43" spans="1:29" ht="15.75" thickBot="1">
      <c r="A43" s="489" t="s">
        <v>2654</v>
      </c>
      <c r="B43" s="490"/>
      <c r="C43" s="491" t="e">
        <f>R43</f>
        <v>#DIV/0!</v>
      </c>
      <c r="D43" s="491"/>
      <c r="E43" s="491"/>
      <c r="F43" s="491"/>
      <c r="G43" s="491"/>
      <c r="H43" s="491"/>
      <c r="I43" s="491"/>
      <c r="J43" s="491"/>
      <c r="K43" s="780"/>
      <c r="L43" s="1140"/>
      <c r="M43" s="1128"/>
      <c r="N43" s="1128"/>
      <c r="O43" s="1141"/>
      <c r="P43" s="3263" t="str">
        <f>A43</f>
        <v>估价对象XX用房的比较价值（楼面单价，元/平方米）</v>
      </c>
      <c r="Q43" s="3264"/>
      <c r="R43" s="3265" t="e">
        <f>ROUND(AVERAGE(R42:V42),0)</f>
        <v>#DIV/0!</v>
      </c>
      <c r="S43" s="3265"/>
      <c r="T43" s="3265"/>
      <c r="U43" s="3265"/>
      <c r="V43" s="3265"/>
      <c r="W43" s="3265"/>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7"/>
      <c r="D49" s="755"/>
      <c r="E49" s="755"/>
      <c r="F49" s="755"/>
      <c r="G49" s="755"/>
      <c r="H49" s="755"/>
      <c r="I49" s="755"/>
      <c r="J49" s="755"/>
      <c r="K49" s="1145"/>
      <c r="L49" s="1146"/>
      <c r="M49" s="1142"/>
      <c r="N49" s="1142"/>
      <c r="O49" s="1142"/>
    </row>
    <row r="50" spans="1:17" ht="27">
      <c r="A50" s="681" t="s">
        <v>2742</v>
      </c>
      <c r="B50" s="682" t="s">
        <v>2743</v>
      </c>
      <c r="C50" s="2690" t="s">
        <v>2744</v>
      </c>
      <c r="D50" s="2691" t="s">
        <v>2745</v>
      </c>
      <c r="E50" s="683" t="s">
        <v>2746</v>
      </c>
      <c r="F50" s="684" t="s">
        <v>2747</v>
      </c>
      <c r="G50" s="3266" t="s">
        <v>2748</v>
      </c>
      <c r="H50" s="3267"/>
      <c r="I50" s="1808" t="s">
        <v>2785</v>
      </c>
      <c r="J50" s="1808" t="str">
        <f>项目基本情况!F35</f>
        <v>山东省</v>
      </c>
      <c r="K50" s="2693" t="s">
        <v>2750</v>
      </c>
      <c r="L50" s="1103"/>
      <c r="M50" s="1141"/>
      <c r="N50" s="1141"/>
      <c r="O50" s="1141"/>
    </row>
    <row r="51" spans="1:17" s="689" customFormat="1">
      <c r="A51" s="685" t="s">
        <v>2751</v>
      </c>
      <c r="B51" s="686" t="e">
        <f>C43</f>
        <v>#DIV/0!</v>
      </c>
      <c r="C51" s="687">
        <v>1</v>
      </c>
      <c r="D51" s="1160">
        <v>1</v>
      </c>
      <c r="E51" s="687">
        <f>'数据-汇总表'!E8+'数据-汇总表'!E9</f>
        <v>49166.119999999995</v>
      </c>
      <c r="F51" s="688" t="e">
        <f t="shared" ref="F51:F60" si="15">ROUND(B51*E51/10000,0)</f>
        <v>#DIV/0!</v>
      </c>
      <c r="G51" s="3268"/>
      <c r="H51" s="3269"/>
      <c r="I51" s="939">
        <v>1</v>
      </c>
      <c r="J51" s="939">
        <v>1</v>
      </c>
      <c r="K51" s="1142"/>
      <c r="L51" s="938"/>
      <c r="M51" s="938"/>
      <c r="N51" s="938"/>
      <c r="O51" s="938"/>
    </row>
    <row r="52" spans="1:17" s="689" customFormat="1">
      <c r="A52" s="690" t="s">
        <v>2752</v>
      </c>
      <c r="B52" s="260" t="e">
        <f>ROUND($C$43*C52*D52,0)</f>
        <v>#DIV/0!</v>
      </c>
      <c r="C52" s="198">
        <f t="shared" ref="C52:C60" si="16">IF($C$50="北京市系数",I52,J52)</f>
        <v>0</v>
      </c>
      <c r="D52" s="1161">
        <v>0.25</v>
      </c>
      <c r="E52" s="691"/>
      <c r="F52" s="688" t="e">
        <f t="shared" si="15"/>
        <v>#DIV/0!</v>
      </c>
      <c r="G52" s="3270" t="s">
        <v>2753</v>
      </c>
      <c r="H52" s="1101">
        <f>项目基本情况!B37</f>
        <v>0</v>
      </c>
      <c r="I52" s="939">
        <f>SUMIF(修正!A45:A56,H52,修正!B45:B56)</f>
        <v>0</v>
      </c>
      <c r="J52" s="940"/>
      <c r="K52" s="1141"/>
      <c r="L52" s="938"/>
      <c r="M52" s="938"/>
      <c r="N52" s="938"/>
      <c r="O52" s="938"/>
    </row>
    <row r="53" spans="1:17" s="689" customFormat="1">
      <c r="A53" s="690" t="s">
        <v>2754</v>
      </c>
      <c r="B53" s="260" t="e">
        <f t="shared" ref="B53:B60" si="17">ROUND($C$43*C53*D53,0)</f>
        <v>#DIV/0!</v>
      </c>
      <c r="C53" s="198">
        <f t="shared" si="16"/>
        <v>0</v>
      </c>
      <c r="D53" s="1161">
        <v>0.25</v>
      </c>
      <c r="E53" s="691"/>
      <c r="F53" s="688" t="e">
        <f t="shared" si="15"/>
        <v>#DIV/0!</v>
      </c>
      <c r="G53" s="3270"/>
      <c r="H53" s="1101">
        <f>项目基本情况!B37</f>
        <v>0</v>
      </c>
      <c r="I53" s="939">
        <f>SUMIF(修正!A45:A56,H53,修正!C45:C56)</f>
        <v>0</v>
      </c>
      <c r="J53" s="940"/>
      <c r="K53" s="1142"/>
      <c r="L53" s="938"/>
      <c r="M53" s="938"/>
      <c r="N53" s="938"/>
      <c r="O53" s="938"/>
    </row>
    <row r="54" spans="1:17" s="689" customFormat="1">
      <c r="A54" s="690" t="s">
        <v>2755</v>
      </c>
      <c r="B54" s="260" t="e">
        <f t="shared" si="17"/>
        <v>#DIV/0!</v>
      </c>
      <c r="C54" s="198">
        <f t="shared" si="16"/>
        <v>0</v>
      </c>
      <c r="D54" s="1161">
        <v>0.25</v>
      </c>
      <c r="E54" s="691"/>
      <c r="F54" s="688" t="e">
        <f t="shared" si="15"/>
        <v>#DIV/0!</v>
      </c>
      <c r="G54" s="3270"/>
      <c r="H54" s="1101">
        <f>项目基本情况!B37</f>
        <v>0</v>
      </c>
      <c r="I54" s="939">
        <f>SUMIF(修正!A45:A56,H54,修正!D45:D56)</f>
        <v>0</v>
      </c>
      <c r="J54" s="940"/>
      <c r="K54" s="1141"/>
      <c r="L54" s="938"/>
      <c r="M54" s="938"/>
      <c r="N54" s="938"/>
      <c r="O54" s="938"/>
    </row>
    <row r="55" spans="1:17" s="689" customFormat="1">
      <c r="A55" s="690" t="s">
        <v>2756</v>
      </c>
      <c r="B55" s="260" t="e">
        <f t="shared" si="17"/>
        <v>#DIV/0!</v>
      </c>
      <c r="C55" s="198">
        <f t="shared" si="16"/>
        <v>0</v>
      </c>
      <c r="D55" s="1161">
        <v>0.25</v>
      </c>
      <c r="E55" s="691"/>
      <c r="F55" s="688" t="e">
        <f t="shared" si="15"/>
        <v>#DIV/0!</v>
      </c>
      <c r="G55" s="3270"/>
      <c r="H55" s="1101">
        <f>项目基本情况!B37</f>
        <v>0</v>
      </c>
      <c r="I55" s="939">
        <f>SUMIF(修正!A45:A56,H55,修正!E45:E56)</f>
        <v>0</v>
      </c>
      <c r="J55" s="940"/>
      <c r="K55" s="1142"/>
      <c r="L55" s="938"/>
      <c r="M55" s="938"/>
      <c r="N55" s="938"/>
      <c r="O55" s="938"/>
    </row>
    <row r="56" spans="1:17" s="689" customFormat="1">
      <c r="A56" s="690" t="s">
        <v>2757</v>
      </c>
      <c r="B56" s="260" t="e">
        <f t="shared" si="17"/>
        <v>#DIV/0!</v>
      </c>
      <c r="C56" s="198">
        <f t="shared" si="16"/>
        <v>0</v>
      </c>
      <c r="D56" s="1161">
        <v>0.25</v>
      </c>
      <c r="E56" s="259">
        <f>'数据-汇总表'!E11</f>
        <v>457.04</v>
      </c>
      <c r="F56" s="688" t="e">
        <f t="shared" si="15"/>
        <v>#DIV/0!</v>
      </c>
      <c r="G56" s="2694" t="s">
        <v>2758</v>
      </c>
      <c r="H56" s="1101">
        <f>项目基本情况!C37</f>
        <v>0</v>
      </c>
      <c r="I56" s="939">
        <f>SUMIF(修正!A45:A56,H56,修正!F45:F56)</f>
        <v>0</v>
      </c>
      <c r="J56" s="940"/>
      <c r="K56" s="1141"/>
      <c r="L56" s="938"/>
      <c r="M56" s="938"/>
      <c r="N56" s="938"/>
      <c r="O56" s="938"/>
    </row>
    <row r="57" spans="1:17" s="689" customFormat="1">
      <c r="A57" s="690" t="s">
        <v>2759</v>
      </c>
      <c r="B57" s="260" t="e">
        <f t="shared" si="17"/>
        <v>#DIV/0!</v>
      </c>
      <c r="C57" s="198">
        <f t="shared" si="16"/>
        <v>0</v>
      </c>
      <c r="D57" s="1161">
        <v>0.25</v>
      </c>
      <c r="E57" s="259">
        <f>'数据-汇总表'!E12</f>
        <v>5366.96</v>
      </c>
      <c r="F57" s="688" t="e">
        <f t="shared" si="15"/>
        <v>#DIV/0!</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2761</v>
      </c>
      <c r="B58" s="260" t="e">
        <f t="shared" si="17"/>
        <v>#DIV/0!</v>
      </c>
      <c r="C58" s="198">
        <f t="shared" si="16"/>
        <v>0</v>
      </c>
      <c r="D58" s="1161">
        <v>0.25</v>
      </c>
      <c r="E58" s="259">
        <f>'数据-汇总表'!E13</f>
        <v>9125.51</v>
      </c>
      <c r="F58" s="688" t="e">
        <f t="shared" si="15"/>
        <v>#DIV/0!</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2763</v>
      </c>
      <c r="B59" s="260" t="e">
        <f t="shared" si="17"/>
        <v>#DIV/0!</v>
      </c>
      <c r="C59" s="198">
        <f t="shared" si="16"/>
        <v>0</v>
      </c>
      <c r="D59" s="1161">
        <v>0.25</v>
      </c>
      <c r="E59" s="259">
        <f>'数据-汇总表'!E14</f>
        <v>0</v>
      </c>
      <c r="F59" s="688" t="e">
        <f t="shared" si="15"/>
        <v>#DIV/0!</v>
      </c>
      <c r="G59" s="2694" t="s">
        <v>2753</v>
      </c>
      <c r="H59" s="1101">
        <f>项目基本情况!B37</f>
        <v>0</v>
      </c>
      <c r="I59" s="939">
        <f>SUMIF(修正!A45:A56,H59,修正!H45:H56)</f>
        <v>0</v>
      </c>
      <c r="J59" s="940"/>
      <c r="K59" s="1142"/>
      <c r="L59" s="938"/>
      <c r="M59" s="938"/>
      <c r="N59" s="938"/>
      <c r="O59" s="938"/>
    </row>
    <row r="60" spans="1:17" s="689" customFormat="1" ht="15" thickBot="1">
      <c r="A60" s="690" t="s">
        <v>2764</v>
      </c>
      <c r="B60" s="260" t="e">
        <f t="shared" si="17"/>
        <v>#DIV/0!</v>
      </c>
      <c r="C60" s="198">
        <f t="shared" si="16"/>
        <v>0</v>
      </c>
      <c r="D60" s="1161">
        <v>0.25</v>
      </c>
      <c r="E60" s="259">
        <f>'数据-汇总表'!E15</f>
        <v>0</v>
      </c>
      <c r="F60" s="688" t="e">
        <f t="shared" si="15"/>
        <v>#DIV/0!</v>
      </c>
      <c r="G60" s="2695" t="s">
        <v>2758</v>
      </c>
      <c r="H60" s="1111">
        <f>项目基本情况!C37</f>
        <v>0</v>
      </c>
      <c r="I60" s="939">
        <f>SUMIF(修正!A45:A56,H60,修正!H45:H56)</f>
        <v>0</v>
      </c>
      <c r="J60" s="940"/>
      <c r="K60" s="1141"/>
      <c r="L60" s="938"/>
      <c r="M60" s="938"/>
      <c r="N60" s="938"/>
      <c r="O60" s="938"/>
    </row>
    <row r="61" spans="1:17" s="689" customFormat="1" ht="15" thickBot="1">
      <c r="A61" s="692" t="s">
        <v>2765</v>
      </c>
      <c r="B61" s="693" t="s">
        <v>28</v>
      </c>
      <c r="C61" s="693" t="s">
        <v>29</v>
      </c>
      <c r="D61" s="693" t="s">
        <v>1029</v>
      </c>
      <c r="E61" s="693">
        <f>IF(B41="楼面地价",SUM(E51:E60),'数据-汇总表'!D3)</f>
        <v>51051.35</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2018-4-1</v>
      </c>
      <c r="D63" s="756">
        <f>EDATE(C63,-3)</f>
        <v>43101</v>
      </c>
      <c r="E63" s="756">
        <f>EDATE(D63,-3)</f>
        <v>43009</v>
      </c>
      <c r="F63" s="756">
        <f t="shared" ref="F63:O63" si="18">EDATE(E63,-3)</f>
        <v>42917</v>
      </c>
      <c r="G63" s="756">
        <f t="shared" si="18"/>
        <v>42826</v>
      </c>
      <c r="H63" s="756">
        <f t="shared" si="18"/>
        <v>42736</v>
      </c>
      <c r="I63" s="756">
        <f t="shared" si="18"/>
        <v>42644</v>
      </c>
      <c r="J63" s="756">
        <f t="shared" si="18"/>
        <v>42552</v>
      </c>
      <c r="K63" s="756">
        <f t="shared" si="18"/>
        <v>42461</v>
      </c>
      <c r="L63" s="756">
        <f t="shared" si="18"/>
        <v>42370</v>
      </c>
      <c r="M63" s="756">
        <f t="shared" si="18"/>
        <v>42278</v>
      </c>
      <c r="N63" s="756">
        <f t="shared" si="18"/>
        <v>42186</v>
      </c>
      <c r="O63" s="756">
        <f t="shared" si="18"/>
        <v>42095</v>
      </c>
    </row>
    <row r="64" spans="1:17" ht="21.75" thickBot="1">
      <c r="A64" s="758" t="s">
        <v>2658</v>
      </c>
      <c r="B64" s="754"/>
      <c r="C64" s="759"/>
      <c r="D64" s="759"/>
      <c r="E64" s="759"/>
      <c r="F64" s="760"/>
      <c r="G64" s="760"/>
      <c r="H64" s="759"/>
      <c r="I64" s="759"/>
      <c r="J64" s="759"/>
      <c r="K64" s="761"/>
      <c r="L64" s="762"/>
      <c r="M64" s="759"/>
      <c r="N64" s="759"/>
      <c r="O64" s="1156"/>
      <c r="P64" s="500"/>
      <c r="Q64" s="501"/>
    </row>
    <row r="65" spans="1:17" s="505" customFormat="1" ht="15">
      <c r="A65" s="2696" t="s">
        <v>2766</v>
      </c>
      <c r="B65" s="1354"/>
      <c r="C65" s="1566" t="str">
        <f>YEAR(C63)&amp;"-"&amp;ROUNDUP(MONTH(C63)/3,0)</f>
        <v>2018-2</v>
      </c>
      <c r="D65" s="1566" t="str">
        <f t="shared" ref="D65:O65" si="19">YEAR(D63)&amp;"-"&amp;ROUNDUP(MONTH(D63)/3,0)</f>
        <v>2018-1</v>
      </c>
      <c r="E65" s="1566" t="str">
        <f t="shared" si="19"/>
        <v>2017-4</v>
      </c>
      <c r="F65" s="1566" t="str">
        <f t="shared" si="19"/>
        <v>2017-3</v>
      </c>
      <c r="G65" s="1566" t="str">
        <f t="shared" si="19"/>
        <v>2017-2</v>
      </c>
      <c r="H65" s="1566" t="str">
        <f t="shared" si="19"/>
        <v>2017-1</v>
      </c>
      <c r="I65" s="1566" t="str">
        <f t="shared" si="19"/>
        <v>2016-4</v>
      </c>
      <c r="J65" s="1566" t="str">
        <f t="shared" si="19"/>
        <v>2016-3</v>
      </c>
      <c r="K65" s="1566" t="str">
        <f t="shared" si="19"/>
        <v>2016-2</v>
      </c>
      <c r="L65" s="1566" t="str">
        <f t="shared" si="19"/>
        <v>2016-1</v>
      </c>
      <c r="M65" s="1566" t="str">
        <f t="shared" si="19"/>
        <v>2015-4</v>
      </c>
      <c r="N65" s="1566" t="str">
        <f t="shared" si="19"/>
        <v>2015-3</v>
      </c>
      <c r="O65" s="1566" t="str">
        <f t="shared" si="19"/>
        <v>2015-2</v>
      </c>
      <c r="P65" s="504"/>
    </row>
    <row r="66" spans="1:17" s="116" customFormat="1" ht="30.75" customHeight="1">
      <c r="A66" s="2701" t="s">
        <v>2786</v>
      </c>
      <c r="B66" s="330"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6" customFormat="1" ht="15.75" thickBot="1">
      <c r="A67" s="512" t="s">
        <v>2569</v>
      </c>
      <c r="B67" s="513"/>
      <c r="C67" s="514"/>
      <c r="D67" s="515"/>
      <c r="E67" s="515"/>
      <c r="F67" s="515"/>
      <c r="G67" s="515"/>
      <c r="H67" s="515"/>
      <c r="I67" s="515"/>
      <c r="J67" s="515"/>
      <c r="K67" s="515"/>
      <c r="L67" s="515"/>
      <c r="M67" s="516"/>
      <c r="N67" s="516"/>
      <c r="O67" s="517"/>
      <c r="P67" s="501"/>
      <c r="Q67" s="501"/>
    </row>
    <row r="68" spans="1:17" s="116" customFormat="1" ht="15">
      <c r="A68" s="518" t="s">
        <v>2534</v>
      </c>
      <c r="B68" s="507"/>
      <c r="C68" s="519" t="s">
        <v>2636</v>
      </c>
      <c r="D68" s="520"/>
      <c r="E68" s="520"/>
      <c r="F68" s="520"/>
      <c r="G68" s="520"/>
      <c r="H68" s="520"/>
      <c r="I68" s="520"/>
      <c r="J68" s="520"/>
      <c r="K68" s="520"/>
      <c r="L68" s="521"/>
      <c r="M68" s="522"/>
      <c r="N68" s="1148"/>
      <c r="O68" s="1148"/>
      <c r="P68" s="523"/>
      <c r="Q68" s="501"/>
    </row>
    <row r="69" spans="1:17" s="116"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2572</v>
      </c>
      <c r="B70" s="525" t="s">
        <v>2538</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2541</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6" customFormat="1" ht="15.75" thickTop="1">
      <c r="A87" s="576"/>
      <c r="B87" s="535" t="s">
        <v>2769</v>
      </c>
      <c r="C87" s="570" t="s">
        <v>2581</v>
      </c>
      <c r="D87" s="570" t="s">
        <v>2582</v>
      </c>
      <c r="E87" s="570" t="s">
        <v>2583</v>
      </c>
      <c r="F87" s="570" t="s">
        <v>2584</v>
      </c>
      <c r="G87" s="570" t="s">
        <v>2585</v>
      </c>
      <c r="H87" s="575"/>
      <c r="I87" s="575"/>
      <c r="J87" s="575"/>
      <c r="K87" s="575"/>
      <c r="L87" s="695"/>
      <c r="M87" s="619"/>
      <c r="N87" s="1148"/>
      <c r="O87" s="1148"/>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6" customFormat="1" ht="27.75" thickTop="1">
      <c r="A89" s="576"/>
      <c r="B89" s="535" t="s">
        <v>2770</v>
      </c>
      <c r="C89" s="570" t="s">
        <v>2581</v>
      </c>
      <c r="D89" s="570" t="s">
        <v>2582</v>
      </c>
      <c r="E89" s="570" t="s">
        <v>2583</v>
      </c>
      <c r="F89" s="570" t="s">
        <v>2584</v>
      </c>
      <c r="G89" s="570" t="s">
        <v>2585</v>
      </c>
      <c r="H89" s="575"/>
      <c r="I89" s="575"/>
      <c r="J89" s="575"/>
      <c r="K89" s="575"/>
      <c r="L89" s="575"/>
      <c r="M89" s="619"/>
      <c r="N89" s="1148"/>
      <c r="O89" s="1148"/>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2787</v>
      </c>
      <c r="C93" s="657" t="s">
        <v>2659</v>
      </c>
      <c r="D93" s="657" t="s">
        <v>2660</v>
      </c>
      <c r="E93" s="657" t="s">
        <v>2661</v>
      </c>
      <c r="F93" s="657" t="s">
        <v>2662</v>
      </c>
      <c r="G93" s="657" t="s">
        <v>2663</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1"/>
      <c r="O94" s="1151"/>
      <c r="P94" s="555"/>
      <c r="Q94" s="556"/>
    </row>
    <row r="95" spans="1:17" ht="15.75" thickTop="1">
      <c r="A95" s="531"/>
      <c r="B95" s="535" t="str">
        <f>B27</f>
        <v>临街状况</v>
      </c>
      <c r="C95" s="536" t="s">
        <v>2771</v>
      </c>
      <c r="D95" s="536" t="s">
        <v>2772</v>
      </c>
      <c r="E95" s="536" t="s">
        <v>2773</v>
      </c>
      <c r="F95" s="536" t="s">
        <v>2774</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2675</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2734</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2547</v>
      </c>
      <c r="B107" s="525" t="s">
        <v>2775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2776</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2778</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2779</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7" customWidth="1"/>
    <col min="33" max="36" width="9.375" style="2781" customWidth="1"/>
    <col min="37" max="38" width="9.375" style="2705" customWidth="1"/>
    <col min="39" max="16384" width="12" style="2705"/>
  </cols>
  <sheetData>
    <row r="1" spans="1:36" ht="28.5">
      <c r="A1" s="238" t="s">
        <v>2788</v>
      </c>
      <c r="B1" s="239"/>
      <c r="C1" s="243" t="s">
        <v>2789</v>
      </c>
      <c r="D1" s="386">
        <f>SUM(D29:D30,D33:D39)</f>
        <v>0</v>
      </c>
      <c r="E1" s="2702"/>
      <c r="F1" s="2702"/>
      <c r="G1" s="2702"/>
      <c r="H1" s="2702"/>
      <c r="I1" s="2702"/>
      <c r="J1" s="2702"/>
      <c r="K1" s="1365"/>
      <c r="L1" s="2703" t="s">
        <v>2790</v>
      </c>
      <c r="M1" s="1077">
        <f>SUMPRODUCT((区片价!B5:B9=I2)*(区片价!C3:F3=E2)*(区片价!C5:F9))</f>
        <v>0</v>
      </c>
      <c r="N1" s="1080">
        <f>SUMPRODUCT((因素修正幅度!B5:B9=I2)*(因素修正幅度!C3:F3=E2)*(因素修正幅度!C5:F9))</f>
        <v>0</v>
      </c>
      <c r="O1" s="2704"/>
      <c r="P1" s="2704"/>
      <c r="Q1" s="1365"/>
      <c r="R1" s="1596" t="s">
        <v>2791</v>
      </c>
      <c r="S1" s="1596" t="s">
        <v>2792</v>
      </c>
      <c r="T1" s="1596" t="s">
        <v>2793</v>
      </c>
      <c r="U1" s="1596" t="s">
        <v>2794</v>
      </c>
      <c r="V1" s="1596" t="s">
        <v>2795</v>
      </c>
      <c r="W1" s="1600"/>
      <c r="X1" s="1600"/>
      <c r="Y1" s="1600"/>
      <c r="Z1" s="1600"/>
      <c r="AA1" s="1600"/>
      <c r="AB1" s="1600"/>
      <c r="AC1" s="1601"/>
      <c r="AD1" s="1602"/>
      <c r="AE1" s="1602"/>
      <c r="AF1" s="1602"/>
      <c r="AG1" s="1602"/>
      <c r="AH1" s="1602"/>
      <c r="AI1" s="1602"/>
      <c r="AJ1" s="1603"/>
    </row>
    <row r="2" spans="1:36" ht="15.75">
      <c r="A2" s="243" t="s">
        <v>2796</v>
      </c>
      <c r="B2" s="246" t="e">
        <f>C26</f>
        <v>#DIV/0!</v>
      </c>
      <c r="C2" s="2706" t="s">
        <v>2797</v>
      </c>
      <c r="D2" s="2707" t="s">
        <v>2798</v>
      </c>
      <c r="E2" s="2708"/>
      <c r="F2" s="2707" t="s">
        <v>2799</v>
      </c>
      <c r="G2" s="2709">
        <f>IF(E2="商业",项目基本情况!B37,IF(E2="办公",项目基本情况!C37,IF(E2="住宅",项目基本情况!D37,项目基本情况!E37)))</f>
        <v>0</v>
      </c>
      <c r="H2" s="2707" t="s">
        <v>2800</v>
      </c>
      <c r="I2" s="2709">
        <f>IF(E2="商业",项目基本情况!B38,IF(E2="办公",项目基本情况!C38,IF(E2="住宅",项目基本情况!D38,项目基本情况!E38)))</f>
        <v>0</v>
      </c>
      <c r="J2" s="2710"/>
      <c r="K2" s="1365"/>
      <c r="L2" s="2711" t="s">
        <v>2801</v>
      </c>
      <c r="M2" s="1078">
        <f>SUMPRODUCT((区片价!B10:B28=I2)*(区片价!C3:F3=E2)*(区片价!C10:F28))</f>
        <v>0</v>
      </c>
      <c r="N2" s="1080">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2802</v>
      </c>
      <c r="B3" s="246" t="e">
        <f>ROUND(B2*10000/D1,0)</f>
        <v>#DIV/0!</v>
      </c>
      <c r="C3" s="2706" t="s">
        <v>2803</v>
      </c>
      <c r="D3" s="2707" t="s">
        <v>2804</v>
      </c>
      <c r="E3" s="2712"/>
      <c r="F3" s="2713" t="s">
        <v>2805</v>
      </c>
      <c r="G3" s="910">
        <f>IF(F3="宗地容积率",'数据-汇总表'!I4,IF(F3="估价对象容积率",'数据-汇总表'!I6,'数据-汇总表'!I7))</f>
        <v>0.93</v>
      </c>
      <c r="H3" s="196" t="s">
        <v>2806</v>
      </c>
      <c r="I3" s="941"/>
      <c r="J3" s="2710" t="s">
        <v>2807</v>
      </c>
      <c r="K3" s="1365"/>
      <c r="L3" s="2711" t="s">
        <v>2808</v>
      </c>
      <c r="M3" s="1078">
        <f>SUMPRODUCT((区片价!B29:B48=I2)*(区片价!C3:F3=E2)*(区片价!C29:F48))</f>
        <v>0</v>
      </c>
      <c r="N3" s="1080">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66"/>
      <c r="B4" s="3367"/>
      <c r="C4" s="3367"/>
      <c r="D4" s="3368"/>
      <c r="E4" s="3368"/>
      <c r="F4" s="3368"/>
      <c r="G4" s="3368"/>
      <c r="H4" s="3368"/>
      <c r="I4" s="3368"/>
      <c r="J4" s="3369"/>
      <c r="K4" s="1365"/>
      <c r="L4" s="2711" t="s">
        <v>2809</v>
      </c>
      <c r="M4" s="1078">
        <f>SUMPRODUCT((区片价!B49:B75=I2)*(区片价!C3:F3=E2)*(区片价!C49:F75))</f>
        <v>0</v>
      </c>
      <c r="N4" s="1080">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2810</v>
      </c>
      <c r="C5" s="911" t="e">
        <f>ROUND(IF(E2="商业",IF(F16="增加",C6*C7+C16,C6*C7-C16),IF(E2="住宅",IF(F16="增加",C6*C12+C16,C6*C12-C16),IF(F16="增加",C6+C16,C6-C16))),0)</f>
        <v>#DIV/0!</v>
      </c>
      <c r="D5" s="1781">
        <f>ROUND(IF(E2="商业",IF(F16="增加",C6+C16,C6-C16)),0)</f>
        <v>0</v>
      </c>
      <c r="E5" s="2716"/>
      <c r="F5" s="2716"/>
      <c r="G5" s="2717"/>
      <c r="H5" s="2717"/>
      <c r="I5" s="2717"/>
      <c r="J5" s="2718"/>
      <c r="K5" s="2719"/>
      <c r="L5" s="2711" t="s">
        <v>2811</v>
      </c>
      <c r="M5" s="1078">
        <f>SUMPRODUCT((区片价!B76:B109=I2)*(区片价!C3:F3=E2)*(区片价!C76:F109))</f>
        <v>0</v>
      </c>
      <c r="N5" s="1080">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2812</v>
      </c>
      <c r="B6" s="2725" t="s">
        <v>2813</v>
      </c>
      <c r="C6" s="912">
        <f>SUMIF(L1:L12,G2,M1:M12)</f>
        <v>0</v>
      </c>
      <c r="D6" s="2726" t="s">
        <v>2814</v>
      </c>
      <c r="E6" s="2727"/>
      <c r="F6" s="2727"/>
      <c r="G6" s="2728"/>
      <c r="H6" s="2728"/>
      <c r="I6" s="2728"/>
      <c r="J6" s="2729"/>
      <c r="K6" s="1836"/>
      <c r="L6" s="2711" t="s">
        <v>2815</v>
      </c>
      <c r="M6" s="1078">
        <f>SUMPRODUCT((区片价!B110:B157=I2)*(区片价!C3:F3=E2)*(区片价!C110:F157))</f>
        <v>0</v>
      </c>
      <c r="N6" s="1080">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370" t="str">
        <f>IF(E2="商业",IF(C8="不临58条商业街","",2),"")</f>
        <v/>
      </c>
      <c r="B7" s="2730" t="s">
        <v>2816</v>
      </c>
      <c r="C7" s="913" t="e">
        <f>IF(C8="不临58条商业街",1,ROUND(1+(1.6*E8+1.2*E9+0.8*E10+0.4*E11)*C9,4))</f>
        <v>#DIV/0!</v>
      </c>
      <c r="D7" s="2731" t="s">
        <v>2817</v>
      </c>
      <c r="E7" s="942"/>
      <c r="F7" s="2732"/>
      <c r="G7" s="2733"/>
      <c r="H7" s="2733"/>
      <c r="I7" s="2733"/>
      <c r="J7" s="2734"/>
      <c r="K7" s="1836"/>
      <c r="L7" s="2711" t="s">
        <v>2818</v>
      </c>
      <c r="M7" s="1078">
        <f>SUMPRODUCT((区片价!B158:B205=I2)*(区片价!C3:F3=E2)*(区片价!C158:F205))</f>
        <v>0</v>
      </c>
      <c r="N7" s="1080">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2819</v>
      </c>
      <c r="X7" s="1598">
        <f>G2</f>
        <v>0</v>
      </c>
      <c r="Y7" s="1598" t="s">
        <v>2820</v>
      </c>
      <c r="Z7" s="1599">
        <f>G3</f>
        <v>0.93</v>
      </c>
      <c r="AA7" s="1600"/>
      <c r="AB7" s="1600"/>
      <c r="AC7" s="1601"/>
      <c r="AD7" s="1602"/>
      <c r="AE7" s="1602"/>
      <c r="AF7" s="1602"/>
      <c r="AG7" s="1602"/>
      <c r="AH7" s="1602"/>
      <c r="AI7" s="1602"/>
      <c r="AJ7" s="1603"/>
    </row>
    <row r="8" spans="1:36" ht="15">
      <c r="A8" s="3371"/>
      <c r="B8" s="196" t="s">
        <v>2821</v>
      </c>
      <c r="C8" s="2735"/>
      <c r="D8" s="914" t="s">
        <v>139</v>
      </c>
      <c r="E8" s="915" t="e">
        <f>ROUND(C11/E7,4)</f>
        <v>#DIV/0!</v>
      </c>
      <c r="F8" s="2736" t="s">
        <v>2822</v>
      </c>
      <c r="G8" s="2737"/>
      <c r="H8" s="2737"/>
      <c r="I8" s="2737"/>
      <c r="J8" s="2738"/>
      <c r="K8" s="1365"/>
      <c r="L8" s="2711" t="s">
        <v>2823</v>
      </c>
      <c r="M8" s="1078">
        <f>SUMPRODUCT((区片价!B206:B244=I2)*(区片价!C3:F3=E2)*(区片价!C206:F244))</f>
        <v>0</v>
      </c>
      <c r="N8" s="1080">
        <f>SUMPRODUCT((因素修正幅度!B206:B244=I2)*(因素修正幅度!C3:F3=E2)*(因素修正幅度!C206:F244))</f>
        <v>0</v>
      </c>
      <c r="O8" s="1365"/>
      <c r="P8" s="1365"/>
      <c r="Q8" s="1365"/>
      <c r="R8" s="1596">
        <v>7</v>
      </c>
      <c r="S8" s="1597"/>
      <c r="T8" s="1596" t="e">
        <f t="shared" si="0"/>
        <v>#DIV/0!</v>
      </c>
      <c r="U8" s="1597"/>
      <c r="V8" s="1596" t="e">
        <f t="shared" si="1"/>
        <v>#DIV/0!</v>
      </c>
      <c r="W8" s="3363" t="s">
        <v>2824</v>
      </c>
      <c r="X8" s="3364"/>
      <c r="Y8" s="1604" t="s">
        <v>2825</v>
      </c>
      <c r="Z8" s="1604" t="s">
        <v>2826</v>
      </c>
      <c r="AA8" s="1604" t="s">
        <v>2827</v>
      </c>
      <c r="AB8" s="1604" t="s">
        <v>2828</v>
      </c>
      <c r="AC8" s="1604" t="s">
        <v>2829</v>
      </c>
      <c r="AD8" s="1604" t="s">
        <v>2830</v>
      </c>
      <c r="AE8" s="1604" t="s">
        <v>2831</v>
      </c>
      <c r="AF8" s="1604" t="s">
        <v>2832</v>
      </c>
      <c r="AG8" s="1604" t="s">
        <v>2833</v>
      </c>
      <c r="AH8" s="1604" t="s">
        <v>2834</v>
      </c>
      <c r="AI8" s="1604" t="s">
        <v>2835</v>
      </c>
      <c r="AJ8" s="1604" t="s">
        <v>2836</v>
      </c>
    </row>
    <row r="9" spans="1:36" ht="15">
      <c r="A9" s="3371"/>
      <c r="B9" s="196" t="s">
        <v>2837</v>
      </c>
      <c r="C9" s="916">
        <f>SUMIF(修正!C59:C119,C8,修正!E59:E119)</f>
        <v>0</v>
      </c>
      <c r="D9" s="198" t="s">
        <v>140</v>
      </c>
      <c r="E9" s="198" t="e">
        <f>ROUND(C11/E7,4)</f>
        <v>#DIV/0!</v>
      </c>
      <c r="F9" s="2736" t="s">
        <v>2838</v>
      </c>
      <c r="G9" s="2737"/>
      <c r="H9" s="2737"/>
      <c r="I9" s="2737"/>
      <c r="J9" s="2738"/>
      <c r="K9" s="1365"/>
      <c r="L9" s="2711" t="s">
        <v>2839</v>
      </c>
      <c r="M9" s="1078">
        <f>SUMPRODUCT((区片价!B245:B289=I2)*(区片价!C3:F3=E2)*(区片价!C245:F289))</f>
        <v>0</v>
      </c>
      <c r="N9" s="1080">
        <f>SUMPRODUCT((因素修正幅度!B245:B289=I2)*(因素修正幅度!C3:F3=E2)*(因素修正幅度!C245:F289))</f>
        <v>0</v>
      </c>
      <c r="O9" s="1365"/>
      <c r="P9" s="1365"/>
      <c r="Q9" s="1365"/>
      <c r="R9" s="1596">
        <v>8</v>
      </c>
      <c r="S9" s="1597"/>
      <c r="T9" s="1596" t="e">
        <f t="shared" si="0"/>
        <v>#DIV/0!</v>
      </c>
      <c r="U9" s="1597"/>
      <c r="V9" s="1596" t="e">
        <f t="shared" si="1"/>
        <v>#DIV/0!</v>
      </c>
      <c r="W9" s="3365" t="s">
        <v>2840</v>
      </c>
      <c r="X9" s="1605" t="s">
        <v>2841</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71"/>
      <c r="B10" s="196" t="s">
        <v>2842</v>
      </c>
      <c r="C10" s="198">
        <f>SUMIF(修正!C59:C119,C8,修正!F59:F119)</f>
        <v>0</v>
      </c>
      <c r="D10" s="198" t="s">
        <v>141</v>
      </c>
      <c r="E10" s="198" t="e">
        <f>ROUND(C11/E7,4)</f>
        <v>#DIV/0!</v>
      </c>
      <c r="F10" s="2736" t="s">
        <v>2843</v>
      </c>
      <c r="G10" s="2737"/>
      <c r="H10" s="2737"/>
      <c r="I10" s="2737"/>
      <c r="J10" s="2738"/>
      <c r="K10" s="1365"/>
      <c r="L10" s="2711" t="s">
        <v>2844</v>
      </c>
      <c r="M10" s="1078">
        <f>SUMPRODUCT((区片价!B290:B316=I2)*(区片价!C3:F3=E2)*(区片价!C290:F316))</f>
        <v>0</v>
      </c>
      <c r="N10" s="1080">
        <f>SUMPRODUCT((因素修正幅度!B290:B316=I2)*(因素修正幅度!C3:F3=E2)*(因素修正幅度!C290:F316))</f>
        <v>0</v>
      </c>
      <c r="O10" s="1365"/>
      <c r="P10" s="1365"/>
      <c r="Q10" s="1365"/>
      <c r="R10" s="1596">
        <v>9</v>
      </c>
      <c r="S10" s="1597"/>
      <c r="T10" s="1596" t="e">
        <f t="shared" si="0"/>
        <v>#DIV/0!</v>
      </c>
      <c r="U10" s="1597"/>
      <c r="V10" s="1596" t="e">
        <f t="shared" si="1"/>
        <v>#DIV/0!</v>
      </c>
      <c r="W10" s="3365"/>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71"/>
      <c r="B11" s="2739" t="s">
        <v>2845</v>
      </c>
      <c r="C11" s="917">
        <f>C10/4</f>
        <v>0</v>
      </c>
      <c r="D11" s="917" t="s">
        <v>142</v>
      </c>
      <c r="E11" s="917" t="e">
        <f>ROUND(C11/E7,4)</f>
        <v>#DIV/0!</v>
      </c>
      <c r="F11" s="2740" t="s">
        <v>2846</v>
      </c>
      <c r="G11" s="2741"/>
      <c r="H11" s="2741"/>
      <c r="I11" s="2741"/>
      <c r="J11" s="2742"/>
      <c r="K11" s="1365"/>
      <c r="L11" s="2711" t="s">
        <v>2847</v>
      </c>
      <c r="M11" s="1078">
        <f>SUMPRODUCT((区片价!B317:B337=I2)*(区片价!C3:F3=E2)*(区片价!C317:F337))</f>
        <v>0</v>
      </c>
      <c r="N11" s="1080">
        <f>SUMPRODUCT((因素修正幅度!B317:B337=I2)*(因素修正幅度!C3:F3=E2)*(因素修正幅度!C317:F337))</f>
        <v>0</v>
      </c>
      <c r="O11" s="1365"/>
      <c r="P11" s="1365"/>
      <c r="Q11" s="1365"/>
      <c r="R11" s="1596">
        <v>10</v>
      </c>
      <c r="S11" s="1597"/>
      <c r="T11" s="1596" t="e">
        <f t="shared" si="0"/>
        <v>#DIV/0!</v>
      </c>
      <c r="U11" s="1597"/>
      <c r="V11" s="1596" t="e">
        <f t="shared" si="1"/>
        <v>#DIV/0!</v>
      </c>
      <c r="W11" s="3365" t="s">
        <v>2848</v>
      </c>
      <c r="X11" s="1608" t="s">
        <v>2849</v>
      </c>
      <c r="Y11" s="1609">
        <f>$G$3</f>
        <v>0.93</v>
      </c>
      <c r="Z11" s="1609">
        <f t="shared" ref="Z11:AJ11" si="3">$G$3</f>
        <v>0.93</v>
      </c>
      <c r="AA11" s="1609">
        <f t="shared" si="3"/>
        <v>0.93</v>
      </c>
      <c r="AB11" s="1609">
        <f t="shared" si="3"/>
        <v>0.93</v>
      </c>
      <c r="AC11" s="1609">
        <f t="shared" si="3"/>
        <v>0.93</v>
      </c>
      <c r="AD11" s="1609">
        <f t="shared" si="3"/>
        <v>0.93</v>
      </c>
      <c r="AE11" s="1609">
        <f t="shared" si="3"/>
        <v>0.93</v>
      </c>
      <c r="AF11" s="1609">
        <f t="shared" si="3"/>
        <v>0.93</v>
      </c>
      <c r="AG11" s="1609">
        <f t="shared" si="3"/>
        <v>0.93</v>
      </c>
      <c r="AH11" s="1609">
        <f t="shared" si="3"/>
        <v>0.93</v>
      </c>
      <c r="AI11" s="1609">
        <f t="shared" si="3"/>
        <v>0.93</v>
      </c>
      <c r="AJ11" s="1609">
        <f t="shared" si="3"/>
        <v>0.93</v>
      </c>
    </row>
    <row r="12" spans="1:36" ht="25.5" thickBot="1">
      <c r="A12" s="3370" t="s">
        <v>2850</v>
      </c>
      <c r="B12" s="2743" t="s">
        <v>2851</v>
      </c>
      <c r="C12" s="913">
        <f>ROUND(C15*D15*E15*F15*G15*H15*I15*J15,4)</f>
        <v>1</v>
      </c>
      <c r="D12" s="2744" t="s">
        <v>2852</v>
      </c>
      <c r="E12" s="2745"/>
      <c r="F12" s="2745"/>
      <c r="G12" s="2746"/>
      <c r="H12" s="2746"/>
      <c r="I12" s="2746"/>
      <c r="J12" s="2747"/>
      <c r="K12" s="1365"/>
      <c r="L12" s="2748" t="s">
        <v>2853</v>
      </c>
      <c r="M12" s="1079">
        <f>SUMPRODUCT((区片价!B338:B344=I2)*(区片价!C3:F3=E2)*(区片价!C338:F344))</f>
        <v>0</v>
      </c>
      <c r="N12" s="1080">
        <f>SUMPRODUCT((因素修正幅度!B338:B344=I2)*(因素修正幅度!C3:F3=E2)*(因素修正幅度!C338:F344))</f>
        <v>0</v>
      </c>
      <c r="O12" s="1365"/>
      <c r="P12" s="1365"/>
      <c r="Q12" s="1365"/>
      <c r="R12" s="1596">
        <v>11</v>
      </c>
      <c r="S12" s="1597"/>
      <c r="T12" s="1596" t="e">
        <f t="shared" si="0"/>
        <v>#DIV/0!</v>
      </c>
      <c r="U12" s="1597"/>
      <c r="V12" s="1596" t="e">
        <f t="shared" si="1"/>
        <v>#DIV/0!</v>
      </c>
      <c r="W12" s="3365"/>
      <c r="X12" s="1610" t="s">
        <v>2854</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72"/>
      <c r="B13" s="2749" t="s">
        <v>2855</v>
      </c>
      <c r="C13" s="2750" t="s">
        <v>2856</v>
      </c>
      <c r="D13" s="1802" t="s">
        <v>2857</v>
      </c>
      <c r="E13" s="1802" t="s">
        <v>2858</v>
      </c>
      <c r="F13" s="30" t="s">
        <v>2859</v>
      </c>
      <c r="G13" s="2751" t="s">
        <v>2860</v>
      </c>
      <c r="H13" s="2751" t="s">
        <v>2860</v>
      </c>
      <c r="I13" s="2751" t="s">
        <v>2860</v>
      </c>
      <c r="J13" s="2752" t="s">
        <v>2860</v>
      </c>
      <c r="K13" s="1365"/>
      <c r="L13" s="1365"/>
      <c r="M13" s="1365"/>
      <c r="N13" s="1365"/>
      <c r="O13" s="1365"/>
      <c r="P13" s="1365"/>
      <c r="Q13" s="1365"/>
      <c r="R13" s="1596">
        <v>12</v>
      </c>
      <c r="S13" s="1597"/>
      <c r="T13" s="1596" t="e">
        <f t="shared" si="0"/>
        <v>#DIV/0!</v>
      </c>
      <c r="U13" s="1597"/>
      <c r="V13" s="1596" t="e">
        <f t="shared" si="1"/>
        <v>#DIV/0!</v>
      </c>
      <c r="W13" s="3365"/>
      <c r="X13" s="1610"/>
      <c r="Y13" s="1607">
        <f>(-0.163*(Y12^2)-0.59*Y12+7617)*(10^(-4))/Y11</f>
        <v>0.81903225806451618</v>
      </c>
      <c r="Z13" s="1607">
        <f t="shared" ref="Z13:AJ13" si="5">(-0.163*(Z12^2)-0.59*Z12+7617)*(10^(-4))/Z11</f>
        <v>0.81903225806451618</v>
      </c>
      <c r="AA13" s="1607">
        <f t="shared" si="5"/>
        <v>0.81903225806451618</v>
      </c>
      <c r="AB13" s="1607">
        <f t="shared" si="5"/>
        <v>0.81903225806451618</v>
      </c>
      <c r="AC13" s="1607">
        <f t="shared" si="5"/>
        <v>0.81903225806451618</v>
      </c>
      <c r="AD13" s="1607">
        <f t="shared" si="5"/>
        <v>0.81903225806451618</v>
      </c>
      <c r="AE13" s="1607">
        <f t="shared" si="5"/>
        <v>0.81903225806451618</v>
      </c>
      <c r="AF13" s="1607">
        <f t="shared" si="5"/>
        <v>0.81903225806451618</v>
      </c>
      <c r="AG13" s="1607">
        <f t="shared" si="5"/>
        <v>0.81903225806451618</v>
      </c>
      <c r="AH13" s="1607">
        <f t="shared" si="5"/>
        <v>0.81903225806451618</v>
      </c>
      <c r="AI13" s="1607">
        <f t="shared" si="5"/>
        <v>0.81903225806451618</v>
      </c>
      <c r="AJ13" s="1607">
        <f t="shared" si="5"/>
        <v>0.81903225806451618</v>
      </c>
    </row>
    <row r="14" spans="1:36" ht="15">
      <c r="A14" s="3372"/>
      <c r="B14" s="2753"/>
      <c r="C14" s="2754"/>
      <c r="D14" s="2755"/>
      <c r="E14" s="2755"/>
      <c r="F14" s="2756"/>
      <c r="G14" s="2757" t="s">
        <v>2861</v>
      </c>
      <c r="H14" s="2758"/>
      <c r="I14" s="2759"/>
      <c r="J14" s="276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73"/>
      <c r="B15" s="2761" t="s">
        <v>2862</v>
      </c>
      <c r="C15" s="227">
        <f>IF(C14="有",1.1,1)</f>
        <v>1</v>
      </c>
      <c r="D15" s="227">
        <f>IF(D14="有",1.1,1)</f>
        <v>1</v>
      </c>
      <c r="E15" s="227">
        <f>IF(E14="有",1.1,1)</f>
        <v>1</v>
      </c>
      <c r="F15" s="227">
        <f>IF(F14="500米范围内",1.2,IF(F14="500-1000米",1.1,1))</f>
        <v>1</v>
      </c>
      <c r="G15" s="943">
        <v>1</v>
      </c>
      <c r="H15" s="943">
        <v>1</v>
      </c>
      <c r="I15" s="943">
        <v>1</v>
      </c>
      <c r="J15" s="944">
        <v>1</v>
      </c>
      <c r="K15" s="1365"/>
      <c r="L15" s="2762" t="s">
        <v>2798</v>
      </c>
      <c r="M15" s="914" t="s">
        <v>2863</v>
      </c>
      <c r="N15" s="914" t="s">
        <v>2864</v>
      </c>
      <c r="O15" s="914" t="s">
        <v>2865</v>
      </c>
      <c r="P15" s="2763" t="s">
        <v>2866</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70" t="s">
        <v>2867</v>
      </c>
      <c r="B16" s="2730" t="s">
        <v>2868</v>
      </c>
      <c r="C16" s="1795" t="e">
        <f>ROUND(SUM(G17:J17)/C17,0)</f>
        <v>#DIV/0!</v>
      </c>
      <c r="D16" s="2764" t="s">
        <v>2869</v>
      </c>
      <c r="E16" s="2765"/>
      <c r="F16" s="2766"/>
      <c r="G16" s="2767"/>
      <c r="H16" s="2767"/>
      <c r="I16" s="2767"/>
      <c r="J16" s="2768"/>
      <c r="K16" s="1365"/>
      <c r="L16" s="2769" t="s">
        <v>2870</v>
      </c>
      <c r="M16" s="916">
        <v>0.25</v>
      </c>
      <c r="N16" s="916">
        <v>0.2</v>
      </c>
      <c r="O16" s="916">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71"/>
      <c r="B17" s="2770" t="s">
        <v>2871</v>
      </c>
      <c r="C17" s="918">
        <f>SUMPRODUCT((修正!A2:A5=E2)*(修正!B1:M1=G2)*(修正!B2:M5))</f>
        <v>0</v>
      </c>
      <c r="D17" s="2771"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5"/>
      <c r="L17" s="2772" t="s">
        <v>2874</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3"/>
      <c r="AF17" s="2773"/>
      <c r="AG17" s="2705"/>
      <c r="AH17" s="2705"/>
      <c r="AI17" s="2705"/>
      <c r="AJ17" s="2705"/>
    </row>
    <row r="18" spans="1:37" s="2723" customFormat="1" ht="15.75" thickBot="1">
      <c r="A18" s="2774" t="s">
        <v>808</v>
      </c>
      <c r="B18" s="2775" t="s">
        <v>2875</v>
      </c>
      <c r="C18" s="920">
        <f>SUMIF(修正!C18:C39,E3,修正!E18:E39)</f>
        <v>0</v>
      </c>
      <c r="D18" s="2776"/>
      <c r="E18" s="2777"/>
      <c r="F18" s="2778"/>
      <c r="G18" s="2779"/>
      <c r="H18" s="2779"/>
      <c r="I18" s="2779"/>
      <c r="J18" s="2780"/>
      <c r="K18" s="1372"/>
      <c r="O18" s="1370"/>
      <c r="P18" s="1370"/>
      <c r="Q18" s="1371"/>
      <c r="R18" s="1371"/>
      <c r="S18" s="1371"/>
      <c r="T18" s="1366"/>
      <c r="U18" s="1366"/>
      <c r="V18" s="1366"/>
      <c r="W18" s="1365"/>
      <c r="X18" s="1365"/>
      <c r="Y18" s="1365"/>
      <c r="Z18" s="1372"/>
      <c r="AA18" s="1373"/>
      <c r="AB18" s="1373"/>
      <c r="AC18" s="1373"/>
      <c r="AD18" s="1373"/>
      <c r="AE18" s="1367"/>
      <c r="AF18" s="1367"/>
      <c r="AG18" s="2781"/>
      <c r="AH18" s="2781"/>
      <c r="AI18" s="2781"/>
    </row>
    <row r="19" spans="1:37" s="2723" customFormat="1" ht="27.75" thickBot="1">
      <c r="A19" s="2774" t="s">
        <v>809</v>
      </c>
      <c r="B19" s="2775" t="s">
        <v>2876</v>
      </c>
      <c r="C19" s="921" t="e">
        <f>ROUND(IF(H19="按公示增长率计算",SUMPRODUCT((地价!A3:A21=YEAR(G19)&amp;"-"&amp;ROUNDUP(MONTH(G19)/3,0))*(地价!X2:AB2=E2)*(地价!X3:AB21)),IF(H19="地价指数",M20/M19,(1+I19)^O19)),4)</f>
        <v>#DIV/0!</v>
      </c>
      <c r="D19" s="2782" t="s">
        <v>2877</v>
      </c>
      <c r="E19" s="922">
        <v>41640</v>
      </c>
      <c r="F19" s="2782" t="s">
        <v>2878</v>
      </c>
      <c r="G19" s="923">
        <f>'数据-取费表'!B2</f>
        <v>43207</v>
      </c>
      <c r="H19" s="2783" t="s">
        <v>2879</v>
      </c>
      <c r="I19" s="924" t="str">
        <f>IF(H19="季度增幅（自定义）",SUMIF(N21:N24,E2,O21:O24),"")</f>
        <v/>
      </c>
      <c r="J19" s="2780"/>
      <c r="K19" s="1372"/>
      <c r="L19" s="2784" t="s">
        <v>2880</v>
      </c>
      <c r="M19" s="1728">
        <f>ROUND(SUMIF(地价!B2:F2,E2,地价!B21:F21),0)</f>
        <v>0</v>
      </c>
      <c r="N19" s="2785" t="s">
        <v>2881</v>
      </c>
      <c r="O19" s="925">
        <f>ROUNDDOWN(DATEDIF(E19,G19,"M")/3,0)</f>
        <v>17</v>
      </c>
      <c r="P19" s="1369"/>
      <c r="Q19" s="1371"/>
      <c r="R19" s="1371"/>
      <c r="S19" s="1371"/>
      <c r="T19" s="1366"/>
      <c r="U19" s="1366"/>
      <c r="V19" s="1366"/>
      <c r="W19" s="1365"/>
      <c r="X19" s="1365"/>
      <c r="Y19" s="1365"/>
      <c r="Z19" s="1372"/>
      <c r="AA19" s="1373"/>
      <c r="AB19" s="1373"/>
      <c r="AC19" s="1373"/>
      <c r="AD19" s="1373"/>
      <c r="AE19" s="1373"/>
      <c r="AF19" s="2786"/>
      <c r="AG19" s="2787"/>
      <c r="AH19" s="2781"/>
      <c r="AI19" s="2788"/>
      <c r="AJ19" s="2788"/>
      <c r="AK19" s="2788"/>
    </row>
    <row r="20" spans="1:37" s="2723" customFormat="1" ht="27.75" thickBot="1">
      <c r="A20" s="2789" t="s">
        <v>810</v>
      </c>
      <c r="B20" s="2790" t="s">
        <v>2882</v>
      </c>
      <c r="C20" s="926" t="e">
        <f>ROUND(POWER(1+G20,J20-I20)*(POWER(1+G20,I20)-1)/(POWER(1+G20,J20)-1),4)</f>
        <v>#DIV/0!</v>
      </c>
      <c r="D20" s="2791" t="s">
        <v>2883</v>
      </c>
      <c r="E20" s="1762">
        <f ca="1">存贷款利率!D4/100</f>
        <v>4.3499999999999997E-2</v>
      </c>
      <c r="F20" s="2791" t="s">
        <v>2874</v>
      </c>
      <c r="G20" s="931">
        <f>SUMIF(M15:P15,E2,M17:P17)</f>
        <v>0</v>
      </c>
      <c r="H20" s="2791" t="s">
        <v>2884</v>
      </c>
      <c r="I20" s="932" t="e">
        <f>SUMIF('数据-取费表'!C6:C15,E2,'数据-取费表'!F6:F15)/COUNTIF('数据-取费表'!C6:C15,E2)</f>
        <v>#DIV/0!</v>
      </c>
      <c r="J20" s="933">
        <f>IF(E2="住宅",70,IF(E2="商业",40,50))</f>
        <v>50</v>
      </c>
      <c r="K20" s="1372"/>
      <c r="L20" s="2792" t="s">
        <v>2885</v>
      </c>
      <c r="M20" s="1729">
        <f>ROUND(SUMPRODUCT((地价!A4:A21=YEAR(G19)&amp;"-"&amp;ROUNDUP(MONTH(G19)/3,0))*(地价!B2:F2=E2)*(地价!B4:F21)),0)</f>
        <v>0</v>
      </c>
      <c r="N20" s="2793" t="s">
        <v>2886</v>
      </c>
      <c r="O20" s="2794" t="s">
        <v>2887</v>
      </c>
      <c r="P20" s="2795" t="s">
        <v>2888</v>
      </c>
      <c r="R20" s="1371"/>
      <c r="S20" s="1371"/>
      <c r="T20" s="1366"/>
      <c r="U20" s="1366"/>
      <c r="V20" s="1366"/>
      <c r="W20" s="1365"/>
      <c r="X20" s="1365"/>
      <c r="Y20" s="1365"/>
      <c r="Z20" s="1372"/>
      <c r="AA20" s="1373"/>
      <c r="AB20" s="1373"/>
      <c r="AC20" s="1373"/>
      <c r="AD20" s="1373"/>
      <c r="AE20" s="1373"/>
      <c r="AF20" s="1373"/>
    </row>
    <row r="21" spans="1:37" s="2723" customFormat="1" ht="15">
      <c r="A21" s="2796" t="s">
        <v>811</v>
      </c>
      <c r="B21" s="2797" t="s">
        <v>2889</v>
      </c>
      <c r="C21" s="934">
        <f>IF(B21="容积率修正",IF(G3&lt;=10,D22,J22),C23)</f>
        <v>0</v>
      </c>
      <c r="D21" s="2798"/>
      <c r="E21" s="2798"/>
      <c r="F21" s="2798"/>
      <c r="G21" s="2798"/>
      <c r="H21" s="2798"/>
      <c r="I21" s="2798"/>
      <c r="J21" s="2799"/>
      <c r="K21" s="1372"/>
      <c r="N21" s="2800" t="s">
        <v>2890</v>
      </c>
      <c r="O21" s="1556"/>
      <c r="P21" s="1557">
        <f>SUMPRODUCT((地价!A3:A21=YEAR(G19)&amp;"-"&amp;ROUNDUP(MONTH(G19)/3,0))*(地价!AD2:AH2=N21)*(地价!AD3:AH21))</f>
        <v>0</v>
      </c>
      <c r="R21" s="1371"/>
      <c r="S21" s="1371"/>
      <c r="T21" s="1366"/>
      <c r="U21" s="1366"/>
      <c r="V21" s="1366"/>
      <c r="W21" s="1365"/>
      <c r="X21" s="1365"/>
      <c r="Y21" s="1365"/>
      <c r="Z21" s="1372"/>
      <c r="AA21" s="1373"/>
      <c r="AB21" s="1373"/>
      <c r="AC21" s="1373"/>
      <c r="AD21" s="1373"/>
      <c r="AE21" s="1373"/>
      <c r="AF21" s="1373"/>
    </row>
    <row r="22" spans="1:37" s="2723" customFormat="1" ht="14.25">
      <c r="A22" s="2649" t="s">
        <v>2891</v>
      </c>
      <c r="B22" s="2801" t="s">
        <v>2892</v>
      </c>
      <c r="C22" s="1804" t="s">
        <v>2893</v>
      </c>
      <c r="D22" s="1804">
        <f>IF(E22=G22,F22,IF(G3&lt;=10,ROUND(F22+(H22-F22)*(G3-E22)/(G22-E22),4),"——"))</f>
        <v>0</v>
      </c>
      <c r="E22" s="910">
        <f>ROUNDDOWN(G3,1)</f>
        <v>0.9</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5" t="str">
        <f>IF(G3&gt;10,D113,"——")</f>
        <v>——</v>
      </c>
      <c r="K22" s="1372"/>
      <c r="N22" s="2800" t="s">
        <v>2894</v>
      </c>
      <c r="O22" s="1556"/>
      <c r="P22" s="1557">
        <f>SUMPRODUCT((地价!A3:A21=YEAR(G19)&amp;"-"&amp;ROUNDUP(MONTH(G19)/3,0))*(地价!AD2:AH2=N22)*(地价!AD3:AH21))</f>
        <v>0</v>
      </c>
      <c r="R22" s="1371"/>
      <c r="S22" s="1371"/>
      <c r="T22" s="1366"/>
      <c r="U22" s="1366"/>
      <c r="V22" s="1366"/>
      <c r="W22" s="1365"/>
      <c r="X22" s="1365"/>
      <c r="Y22" s="1365"/>
      <c r="Z22" s="1372"/>
      <c r="AA22" s="1373"/>
      <c r="AB22" s="1373"/>
      <c r="AC22" s="1373"/>
      <c r="AD22" s="1373"/>
      <c r="AE22" s="1373"/>
      <c r="AF22" s="1373"/>
    </row>
    <row r="23" spans="1:37" ht="27.75" thickBot="1">
      <c r="A23" s="2649" t="s">
        <v>2895</v>
      </c>
      <c r="B23" s="2802" t="s">
        <v>2896</v>
      </c>
      <c r="C23" s="1010">
        <f>ROUND(IF(G3&gt;1,IF(I3&lt;7,SUMPRODUCT((B93:B98=I3)*(C92:N92=G2)*(C93:N98)),SUMIF(C92:N92,G2,C100:N100)),IF(I3&lt;7,SUMPRODUCT((B102:B107=I3)*(C92:N92=G2)*(C102:N107)),SUMIF(C92:N92,G2,C109:N109))),4)</f>
        <v>0</v>
      </c>
      <c r="D23" s="2758"/>
      <c r="E23" s="2758"/>
      <c r="F23" s="2803"/>
      <c r="G23" s="2804"/>
      <c r="H23" s="2805"/>
      <c r="I23" s="2806"/>
      <c r="J23" s="2807"/>
      <c r="K23" s="1365"/>
      <c r="N23" s="2800" t="s">
        <v>2897</v>
      </c>
      <c r="O23" s="1556"/>
      <c r="P23" s="1557">
        <f>SUMPRODUCT((地价!A3:A21=YEAR(G19)&amp;"-"&amp;ROUNDUP(MONTH(G19)/3,0))*(地价!AD2:AH2=N23)*(地价!AD3:AH21))</f>
        <v>0</v>
      </c>
      <c r="R23" s="1371"/>
      <c r="S23" s="1371"/>
      <c r="T23" s="1366"/>
      <c r="U23" s="1366"/>
      <c r="V23" s="1366"/>
      <c r="W23" s="1365"/>
      <c r="X23" s="1365"/>
      <c r="Y23" s="1365"/>
      <c r="Z23" s="1372"/>
      <c r="AA23" s="1373"/>
      <c r="AB23" s="1373"/>
      <c r="AC23" s="1373"/>
      <c r="AD23" s="1373"/>
      <c r="AK23" s="2781"/>
    </row>
    <row r="24" spans="1:37" s="2723" customFormat="1" ht="15.75" thickBot="1">
      <c r="A24" s="2789" t="s">
        <v>812</v>
      </c>
      <c r="B24" s="2775" t="s">
        <v>2898</v>
      </c>
      <c r="C24" s="921">
        <f>SUMIF(A45:A88,E2,B45:B88)</f>
        <v>0</v>
      </c>
      <c r="D24" s="2778"/>
      <c r="E24" s="2808"/>
      <c r="F24" s="2808"/>
      <c r="G24" s="2808"/>
      <c r="H24" s="2808"/>
      <c r="I24" s="2808"/>
      <c r="J24" s="2809"/>
      <c r="K24" s="1372"/>
      <c r="N24" s="2810" t="s">
        <v>2899</v>
      </c>
      <c r="O24" s="1558"/>
      <c r="P24" s="1559">
        <f>SUMPRODUCT((地价!A3:A21=YEAR(G19)&amp;"-"&amp;ROUNDUP(MONTH(G19)/3,0))*(地价!AD2:AH2=N24)*(地价!AD3:AH21))</f>
        <v>0</v>
      </c>
      <c r="R24" s="1371"/>
      <c r="S24" s="1371"/>
      <c r="T24" s="1366"/>
      <c r="U24" s="1366"/>
      <c r="V24" s="1366"/>
      <c r="W24" s="1365"/>
      <c r="X24" s="1365"/>
      <c r="Y24" s="1365"/>
      <c r="Z24" s="1372"/>
      <c r="AA24" s="1373"/>
      <c r="AB24" s="1373"/>
      <c r="AC24" s="1373"/>
      <c r="AD24" s="1373"/>
      <c r="AE24" s="1373"/>
      <c r="AF24" s="1373"/>
    </row>
    <row r="25" spans="1:37" ht="15.75" thickBot="1">
      <c r="A25" s="2789" t="s">
        <v>813</v>
      </c>
      <c r="B25" s="2811" t="s">
        <v>2900</v>
      </c>
      <c r="C25" s="927"/>
      <c r="D25" s="2733"/>
      <c r="E25" s="2733"/>
      <c r="F25" s="2812"/>
      <c r="G25" s="2733"/>
      <c r="H25" s="2733"/>
      <c r="I25" s="2733"/>
      <c r="J25" s="2734"/>
      <c r="K25" s="1365"/>
      <c r="N25" s="2813" t="s">
        <v>2901</v>
      </c>
      <c r="O25" s="1560"/>
      <c r="P25" s="1559">
        <f>SUMPRODUCT((地价!A3:A21=YEAR(G19)&amp;"-"&amp;ROUNDUP(MONTH(G19)/3,0))*(地价!AD2:AH2=N25)*(地价!AD3:AH21))</f>
        <v>0</v>
      </c>
      <c r="R25" s="1371"/>
      <c r="S25" s="1371"/>
      <c r="T25" s="1366"/>
      <c r="U25" s="1366"/>
      <c r="V25" s="1366"/>
      <c r="W25" s="1365"/>
      <c r="X25" s="1365"/>
      <c r="Y25" s="1365"/>
      <c r="Z25" s="1372"/>
      <c r="AA25" s="1373"/>
      <c r="AB25" s="1373"/>
      <c r="AC25" s="1373"/>
      <c r="AD25" s="1373"/>
    </row>
    <row r="26" spans="1:37" ht="15">
      <c r="A26" s="2814"/>
      <c r="B26" s="2801" t="s">
        <v>2902</v>
      </c>
      <c r="C26" s="204" t="e">
        <f>E29+SUM(E33:E39)</f>
        <v>#DIV/0!</v>
      </c>
      <c r="D26" s="2815"/>
      <c r="E26" s="2758"/>
      <c r="F26" s="2816"/>
      <c r="G26" s="2758"/>
      <c r="H26" s="2758"/>
      <c r="I26" s="2758"/>
      <c r="J26" s="2817"/>
      <c r="K26" s="1365"/>
      <c r="R26" s="1371"/>
      <c r="S26" s="1371"/>
      <c r="T26" s="1366"/>
      <c r="U26" s="1366"/>
      <c r="V26" s="1366"/>
      <c r="W26" s="1365"/>
      <c r="X26" s="1365"/>
      <c r="Y26" s="1365"/>
      <c r="Z26" s="1372"/>
      <c r="AA26" s="1373"/>
      <c r="AB26" s="1373"/>
      <c r="AC26" s="1373"/>
      <c r="AD26" s="1373"/>
    </row>
    <row r="27" spans="1:37" ht="15.75" thickBot="1">
      <c r="A27" s="2814"/>
      <c r="B27" s="2818" t="s">
        <v>2903</v>
      </c>
      <c r="C27" s="928" t="e">
        <f>E30+SUM(I33:I39)</f>
        <v>#DIV/0!</v>
      </c>
      <c r="D27" s="2819"/>
      <c r="E27" s="2820"/>
      <c r="F27" s="2821"/>
      <c r="G27" s="2820"/>
      <c r="H27" s="2820"/>
      <c r="I27" s="2820"/>
      <c r="J27" s="282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3"/>
      <c r="B28" s="2824" t="s">
        <v>2904</v>
      </c>
      <c r="C28" s="2825" t="s">
        <v>2905</v>
      </c>
      <c r="D28" s="2825" t="s">
        <v>2906</v>
      </c>
      <c r="E28" s="2826" t="s">
        <v>2907</v>
      </c>
      <c r="F28" s="2827"/>
      <c r="G28" s="2746"/>
      <c r="H28" s="2746"/>
      <c r="I28" s="2746"/>
      <c r="J28" s="274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8"/>
      <c r="B29" s="2829" t="s">
        <v>2908</v>
      </c>
      <c r="C29" s="204" t="e">
        <f>ROUND(C5*C18*C19*C20*C21*C24,0)</f>
        <v>#DIV/0!</v>
      </c>
      <c r="D29" s="2830"/>
      <c r="E29" s="939" t="e">
        <f>ROUND(C29*D29/10000,0)</f>
        <v>#DIV/0!</v>
      </c>
      <c r="F29" s="2831" t="s">
        <v>2909</v>
      </c>
      <c r="G29" s="2832"/>
      <c r="H29" s="2832"/>
      <c r="I29" s="2832"/>
      <c r="J29" s="2833"/>
      <c r="K29" s="1365"/>
      <c r="L29" s="1365"/>
      <c r="M29" s="1365"/>
      <c r="N29" s="1365"/>
      <c r="O29" s="1370"/>
      <c r="P29" s="1370"/>
      <c r="Q29" s="1371"/>
      <c r="R29" s="1371"/>
      <c r="S29" s="1371"/>
      <c r="T29" s="1366"/>
      <c r="U29" s="1366"/>
      <c r="V29" s="1366"/>
      <c r="W29" s="1365"/>
      <c r="X29" s="1365"/>
      <c r="Y29" s="1365"/>
      <c r="Z29" s="1372"/>
      <c r="AA29" s="1373"/>
      <c r="AB29" s="1373"/>
      <c r="AC29" s="1373"/>
      <c r="AD29" s="1373"/>
      <c r="AE29" s="2773"/>
      <c r="AF29" s="2773"/>
      <c r="AG29" s="2705"/>
      <c r="AH29" s="2705"/>
      <c r="AI29" s="2705"/>
      <c r="AJ29" s="2705"/>
    </row>
    <row r="30" spans="1:37" ht="25.5" thickBot="1">
      <c r="A30" s="2834"/>
      <c r="B30" s="2835" t="s">
        <v>2910</v>
      </c>
      <c r="C30" s="227" t="e">
        <f>ROUND(IF(E2="工业",C29*M39,C29*M38),0)</f>
        <v>#DIV/0!</v>
      </c>
      <c r="D30" s="2836"/>
      <c r="E30" s="939" t="e">
        <f>ROUND(C30*D30/10000,0)</f>
        <v>#DIV/0!</v>
      </c>
      <c r="F30" s="2837" t="s">
        <v>2911</v>
      </c>
      <c r="G30" s="2838"/>
      <c r="H30" s="2838"/>
      <c r="I30" s="2838"/>
      <c r="J30" s="2839"/>
      <c r="K30" s="1365"/>
      <c r="L30" s="1365"/>
      <c r="M30" s="1365"/>
      <c r="N30" s="1365"/>
      <c r="O30" s="1370"/>
      <c r="P30" s="1370"/>
      <c r="Q30" s="1371"/>
      <c r="R30" s="1371"/>
      <c r="S30" s="1371"/>
      <c r="T30" s="1366"/>
      <c r="U30" s="1366"/>
      <c r="V30" s="1366"/>
      <c r="W30" s="1365"/>
      <c r="X30" s="1365"/>
      <c r="Y30" s="1365"/>
      <c r="Z30" s="1372"/>
      <c r="AA30" s="1373"/>
      <c r="AB30" s="1373"/>
      <c r="AC30" s="1373"/>
      <c r="AD30" s="1373"/>
      <c r="AE30" s="2773"/>
      <c r="AF30" s="2773"/>
      <c r="AG30" s="2705"/>
      <c r="AH30" s="2705"/>
      <c r="AI30" s="2705"/>
      <c r="AJ30" s="2705"/>
    </row>
    <row r="31" spans="1:37" ht="14.25">
      <c r="A31" s="2840"/>
      <c r="B31" s="2841" t="s">
        <v>2912</v>
      </c>
      <c r="C31" s="2842" t="s">
        <v>2913</v>
      </c>
      <c r="D31" s="2746"/>
      <c r="E31" s="2842"/>
      <c r="F31" s="2842"/>
      <c r="G31" s="2744" t="s">
        <v>2914</v>
      </c>
      <c r="H31" s="2746"/>
      <c r="I31" s="2843"/>
      <c r="J31" s="2747"/>
      <c r="K31" s="1365"/>
      <c r="L31" s="1365"/>
      <c r="M31" s="1365"/>
      <c r="N31" s="1365"/>
      <c r="O31" s="1370"/>
      <c r="P31" s="1370"/>
      <c r="Q31" s="1371"/>
      <c r="R31" s="1371"/>
      <c r="S31" s="1371"/>
      <c r="T31" s="1366"/>
      <c r="U31" s="1366"/>
      <c r="V31" s="1366"/>
      <c r="W31" s="1365"/>
      <c r="X31" s="1365"/>
      <c r="Y31" s="1365"/>
      <c r="Z31" s="1372"/>
      <c r="AA31" s="1373"/>
      <c r="AB31" s="1373"/>
      <c r="AC31" s="1373"/>
      <c r="AD31" s="1373"/>
      <c r="AE31" s="2773"/>
      <c r="AF31" s="2773"/>
      <c r="AG31" s="2705"/>
      <c r="AH31" s="2705"/>
      <c r="AI31" s="2705"/>
      <c r="AJ31" s="2705"/>
    </row>
    <row r="32" spans="1:37" ht="24">
      <c r="A32" s="2828"/>
      <c r="B32" s="2844"/>
      <c r="C32" s="498" t="s">
        <v>2905</v>
      </c>
      <c r="D32" s="495" t="s">
        <v>2906</v>
      </c>
      <c r="E32" s="495" t="s">
        <v>2907</v>
      </c>
      <c r="F32" s="386" t="s">
        <v>2915</v>
      </c>
      <c r="G32" s="2845" t="s">
        <v>2905</v>
      </c>
      <c r="H32" s="2845" t="s">
        <v>2906</v>
      </c>
      <c r="I32" s="2845" t="s">
        <v>2907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3"/>
      <c r="AF32" s="2773"/>
      <c r="AG32" s="2705"/>
      <c r="AH32" s="2705"/>
      <c r="AI32" s="2705"/>
      <c r="AJ32" s="2705"/>
    </row>
    <row r="33" spans="1:37" ht="36" customHeight="1">
      <c r="A33" s="3380" t="s">
        <v>2916</v>
      </c>
      <c r="B33" s="2846" t="s">
        <v>2917</v>
      </c>
      <c r="C33" s="204" t="e">
        <f>ROUND(D5*C19*C20*C24*F33,0)</f>
        <v>#DIV/0!</v>
      </c>
      <c r="D33" s="2830"/>
      <c r="E33" s="198" t="e">
        <f>ROUND(C33*D33/10000,0)</f>
        <v>#DIV/0!</v>
      </c>
      <c r="F33" s="198">
        <f>SUMIF(修正!A45:A56,G2,修正!B45:B56)</f>
        <v>0</v>
      </c>
      <c r="G33" s="198" t="e">
        <f t="shared" ref="G33:G39" si="6">ROUND(IF(E2="工业",C33*$M$39,C33*$M$38),0)</f>
        <v>#DIV/0!</v>
      </c>
      <c r="H33" s="198">
        <f>D33</f>
        <v>0</v>
      </c>
      <c r="I33" s="198" t="e">
        <f>ROUND(G33*H33/10000,0)</f>
        <v>#DIV/0!</v>
      </c>
      <c r="J33" s="284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81"/>
      <c r="B34" s="2750" t="s">
        <v>2918</v>
      </c>
      <c r="C34" s="204" t="e">
        <f>ROUND(D5*C19*C20*C24*F34,0)</f>
        <v>#DIV/0!</v>
      </c>
      <c r="D34" s="2830"/>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81"/>
      <c r="B35" s="2750" t="s">
        <v>2919</v>
      </c>
      <c r="C35" s="204" t="e">
        <f>ROUND(D5*C19*C20*C24*F35,0)</f>
        <v>#DIV/0!</v>
      </c>
      <c r="D35" s="2830"/>
      <c r="E35" s="198" t="e">
        <f t="shared" si="7"/>
        <v>#DIV/0!</v>
      </c>
      <c r="F35" s="198">
        <f>SUMIF(修正!A45:A56,G2,修正!D45:D56)</f>
        <v>0</v>
      </c>
      <c r="G35" s="198" t="e">
        <f t="shared" si="6"/>
        <v>#DIV/0!</v>
      </c>
      <c r="H35" s="198">
        <f t="shared" si="8"/>
        <v>0</v>
      </c>
      <c r="I35" s="198" t="e">
        <f t="shared" si="9"/>
        <v>#DIV/0!</v>
      </c>
      <c r="J35" s="2847"/>
      <c r="K35" s="1365"/>
      <c r="L35" s="1365"/>
      <c r="M35" s="1365"/>
      <c r="N35" s="1365"/>
      <c r="O35" s="1365"/>
      <c r="P35" s="1365"/>
      <c r="Q35" s="1365"/>
      <c r="R35" s="1365"/>
      <c r="S35" s="1365"/>
      <c r="T35" s="1365"/>
      <c r="U35" s="1365"/>
      <c r="V35" s="1365"/>
      <c r="W35" s="1365"/>
      <c r="X35" s="1365"/>
      <c r="Y35" s="1365"/>
      <c r="Z35" s="1366"/>
    </row>
    <row r="36" spans="1:37" ht="13.5" thickBot="1">
      <c r="A36" s="3382"/>
      <c r="B36" s="2750" t="s">
        <v>2920</v>
      </c>
      <c r="C36" s="204" t="e">
        <f>ROUND(D5*C19*C20*C24*F36,0)</f>
        <v>#DIV/0!</v>
      </c>
      <c r="D36" s="2830"/>
      <c r="E36" s="198" t="e">
        <f t="shared" si="7"/>
        <v>#DIV/0!</v>
      </c>
      <c r="F36" s="198">
        <f>SUMIF(修正!A45:A56,G2,修正!E45:E56)</f>
        <v>0</v>
      </c>
      <c r="G36" s="198" t="e">
        <f t="shared" si="6"/>
        <v>#DIV/0!</v>
      </c>
      <c r="H36" s="198">
        <f t="shared" si="8"/>
        <v>0</v>
      </c>
      <c r="I36" s="198" t="e">
        <f t="shared" si="9"/>
        <v>#DIV/0!</v>
      </c>
      <c r="J36" s="2847"/>
      <c r="K36" s="1365"/>
      <c r="L36" s="2704"/>
      <c r="M36" s="2704"/>
      <c r="N36" s="1365"/>
      <c r="O36" s="1365"/>
      <c r="P36" s="1365"/>
      <c r="Q36" s="1365"/>
      <c r="R36" s="1365"/>
      <c r="S36" s="1365"/>
      <c r="T36" s="1365"/>
      <c r="U36" s="1365"/>
      <c r="V36" s="1365"/>
      <c r="W36" s="1365"/>
      <c r="X36" s="1365"/>
      <c r="Y36" s="1365"/>
      <c r="Z36" s="1366"/>
    </row>
    <row r="37" spans="1:37">
      <c r="A37" s="2848"/>
      <c r="B37" s="2750" t="s">
        <v>2921</v>
      </c>
      <c r="C37" s="198" t="e">
        <f>ROUND(C5*C19*C20*C24*F37,0)</f>
        <v>#DIV/0!</v>
      </c>
      <c r="D37" s="2830"/>
      <c r="E37" s="198" t="e">
        <f t="shared" si="7"/>
        <v>#DIV/0!</v>
      </c>
      <c r="F37" s="204">
        <f>SUMIF(修正!A45:A56,G2,修正!F45:F56)</f>
        <v>0</v>
      </c>
      <c r="G37" s="198" t="e">
        <f t="shared" si="6"/>
        <v>#DIV/0!</v>
      </c>
      <c r="H37" s="198">
        <f t="shared" si="8"/>
        <v>0</v>
      </c>
      <c r="I37" s="198" t="e">
        <f t="shared" si="9"/>
        <v>#DIV/0!</v>
      </c>
      <c r="J37" s="2847"/>
      <c r="K37" s="1365"/>
      <c r="L37" s="2849" t="s">
        <v>2922</v>
      </c>
      <c r="M37" s="2850"/>
      <c r="N37" s="1365"/>
      <c r="O37" s="1365"/>
      <c r="P37" s="1365"/>
      <c r="Q37" s="1365"/>
      <c r="R37" s="1365"/>
      <c r="S37" s="1365"/>
      <c r="T37" s="1365"/>
      <c r="U37" s="1365"/>
      <c r="V37" s="1365"/>
      <c r="W37" s="1365"/>
      <c r="X37" s="1365"/>
      <c r="Y37" s="1365"/>
      <c r="Z37" s="1366"/>
    </row>
    <row r="38" spans="1:37">
      <c r="A38" s="2848"/>
      <c r="B38" s="2750" t="s">
        <v>2923</v>
      </c>
      <c r="C38" s="198" t="e">
        <f>ROUND(C5*C19*C20*C24*F38,0)</f>
        <v>#DIV/0!</v>
      </c>
      <c r="D38" s="2830"/>
      <c r="E38" s="198" t="e">
        <f t="shared" si="7"/>
        <v>#DIV/0!</v>
      </c>
      <c r="F38" s="204">
        <f>SUMIF(修正!A45:A56,G2,修正!G45:G56)</f>
        <v>0</v>
      </c>
      <c r="G38" s="198" t="e">
        <f t="shared" si="6"/>
        <v>#DIV/0!</v>
      </c>
      <c r="H38" s="198">
        <f t="shared" si="8"/>
        <v>0</v>
      </c>
      <c r="I38" s="198" t="e">
        <f t="shared" si="9"/>
        <v>#DIV/0!</v>
      </c>
      <c r="J38" s="2847"/>
      <c r="K38" s="1365"/>
      <c r="L38" s="1881" t="s">
        <v>2924</v>
      </c>
      <c r="M38" s="2851">
        <v>0.25</v>
      </c>
      <c r="N38" s="1365"/>
      <c r="O38" s="1365"/>
      <c r="P38" s="1365"/>
      <c r="Q38" s="1365"/>
      <c r="R38" s="1365"/>
      <c r="S38" s="1365"/>
      <c r="T38" s="1365"/>
      <c r="U38" s="1365"/>
      <c r="V38" s="1365"/>
      <c r="W38" s="1365"/>
      <c r="X38" s="1365"/>
      <c r="Y38" s="1365"/>
      <c r="Z38" s="1366"/>
    </row>
    <row r="39" spans="1:37" ht="13.5" thickBot="1">
      <c r="A39" s="2834"/>
      <c r="B39" s="2852" t="s">
        <v>2925</v>
      </c>
      <c r="C39" s="227" t="e">
        <f>ROUND(C5*C19*C20*C24*F39,0)</f>
        <v>#DIV/0!</v>
      </c>
      <c r="D39" s="2836"/>
      <c r="E39" s="227" t="e">
        <f t="shared" si="7"/>
        <v>#DIV/0!</v>
      </c>
      <c r="F39" s="929">
        <f>SUMIF(修正!A45:A56,G2,修正!H45:H56)</f>
        <v>0</v>
      </c>
      <c r="G39" s="227" t="e">
        <f t="shared" si="6"/>
        <v>#DIV/0!</v>
      </c>
      <c r="H39" s="227">
        <f t="shared" si="8"/>
        <v>0</v>
      </c>
      <c r="I39" s="227" t="e">
        <f t="shared" si="9"/>
        <v>#DIV/0!</v>
      </c>
      <c r="J39" s="2853"/>
      <c r="K39" s="1365"/>
      <c r="L39" s="2854" t="s">
        <v>2866</v>
      </c>
      <c r="M39" s="285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6"/>
      <c r="Z41" s="1366"/>
      <c r="AA41" s="1366"/>
      <c r="AB41" s="1366"/>
      <c r="AC41" s="1366"/>
      <c r="AD41" s="1366"/>
      <c r="AE41" s="1366"/>
      <c r="AF41" s="1366"/>
      <c r="AG41" s="1366"/>
      <c r="AH41" s="1366"/>
      <c r="AI41" s="1366"/>
      <c r="AJ41" s="1366"/>
    </row>
    <row r="42" spans="1:37" s="1365" customFormat="1">
      <c r="A42" s="1366"/>
      <c r="B42" s="2856"/>
      <c r="Z42" s="1366"/>
      <c r="AA42" s="1366"/>
      <c r="AB42" s="1366"/>
      <c r="AC42" s="1366"/>
      <c r="AD42" s="1366"/>
      <c r="AE42" s="1366"/>
      <c r="AF42" s="1366"/>
      <c r="AG42" s="1366"/>
      <c r="AH42" s="1366"/>
      <c r="AI42" s="1366"/>
      <c r="AJ42" s="1366"/>
    </row>
    <row r="43" spans="1:37" s="1365" customFormat="1">
      <c r="A43" s="1366"/>
      <c r="B43" s="2856"/>
      <c r="Z43" s="1366"/>
      <c r="AA43" s="1366"/>
      <c r="AB43" s="1366"/>
      <c r="AC43" s="1366"/>
      <c r="AD43" s="1366"/>
      <c r="AE43" s="1366"/>
      <c r="AF43" s="1366"/>
      <c r="AG43" s="1366"/>
      <c r="AH43" s="1366"/>
      <c r="AI43" s="1366"/>
      <c r="AJ43" s="1366"/>
    </row>
    <row r="44" spans="1:37" s="1365" customFormat="1">
      <c r="A44" s="1366"/>
      <c r="B44" s="2856"/>
      <c r="Z44" s="1366"/>
      <c r="AA44" s="1366"/>
      <c r="AB44" s="1366"/>
      <c r="AC44" s="1366"/>
      <c r="AD44" s="1366"/>
      <c r="AE44" s="1366"/>
      <c r="AF44" s="1366"/>
      <c r="AG44" s="1366"/>
      <c r="AH44" s="1366"/>
      <c r="AI44" s="1366"/>
      <c r="AJ44" s="1366"/>
    </row>
    <row r="45" spans="1:37" s="1365" customFormat="1" ht="15.75" thickBot="1">
      <c r="A45" s="2857" t="s">
        <v>2926</v>
      </c>
      <c r="B45" s="2858"/>
      <c r="C45" s="7"/>
      <c r="D45" s="7"/>
      <c r="E45" s="7"/>
      <c r="F45" s="6"/>
      <c r="G45" s="6"/>
      <c r="H45" s="6"/>
      <c r="I45" s="7"/>
      <c r="J45" s="7"/>
      <c r="K45" s="7"/>
      <c r="L45" s="7"/>
      <c r="M45" s="7"/>
      <c r="N45" s="2773"/>
      <c r="Z45" s="1366"/>
      <c r="AA45" s="1366"/>
      <c r="AB45" s="1366"/>
      <c r="AC45" s="1366"/>
      <c r="AD45" s="1366"/>
      <c r="AE45" s="1366"/>
      <c r="AF45" s="1366"/>
      <c r="AG45" s="1366"/>
      <c r="AH45" s="1366"/>
      <c r="AI45" s="1366"/>
      <c r="AJ45" s="1366"/>
    </row>
    <row r="46" spans="1:37" s="1365" customFormat="1" ht="15">
      <c r="A46" s="2859" t="s">
        <v>2927</v>
      </c>
      <c r="B46" s="2860">
        <f>1+E48</f>
        <v>1</v>
      </c>
      <c r="C46" s="2861"/>
      <c r="D46" s="808"/>
      <c r="E46" s="809"/>
      <c r="F46" s="2862"/>
      <c r="G46" s="6"/>
      <c r="H46" s="7"/>
      <c r="I46" s="7"/>
      <c r="J46" s="7"/>
      <c r="K46" s="7"/>
      <c r="L46" s="7"/>
      <c r="M46" s="7"/>
      <c r="N46" s="2773"/>
      <c r="Z46" s="1366"/>
      <c r="AA46" s="1366"/>
      <c r="AB46" s="1366"/>
      <c r="AC46" s="1366"/>
      <c r="AD46" s="1366"/>
      <c r="AE46" s="1366"/>
      <c r="AF46" s="1366"/>
      <c r="AG46" s="1366"/>
      <c r="AH46" s="1366"/>
      <c r="AI46" s="1366"/>
      <c r="AJ46" s="1366"/>
    </row>
    <row r="47" spans="1:37" s="1365" customFormat="1" ht="24.75">
      <c r="A47" s="2863" t="s">
        <v>2928</v>
      </c>
      <c r="B47" s="1803" t="s">
        <v>2929</v>
      </c>
      <c r="C47" s="1803" t="s">
        <v>2930</v>
      </c>
      <c r="D47" s="1803" t="s">
        <v>2931</v>
      </c>
      <c r="E47" s="813" t="s">
        <v>2932</v>
      </c>
      <c r="F47" s="2864" t="s">
        <v>2933</v>
      </c>
      <c r="G47" s="1803" t="s">
        <v>754</v>
      </c>
      <c r="H47" s="2865" t="s">
        <v>2934</v>
      </c>
      <c r="I47" s="1803" t="s">
        <v>2935</v>
      </c>
      <c r="J47" s="600" t="s">
        <v>2581</v>
      </c>
      <c r="K47" s="600" t="s">
        <v>2582</v>
      </c>
      <c r="L47" s="600" t="s">
        <v>2583</v>
      </c>
      <c r="M47" s="600" t="s">
        <v>2584</v>
      </c>
      <c r="N47" s="600" t="s">
        <v>2585</v>
      </c>
      <c r="AA47" s="1366"/>
      <c r="AB47" s="1366"/>
      <c r="AC47" s="1366"/>
      <c r="AD47" s="1366"/>
      <c r="AE47" s="1366"/>
      <c r="AF47" s="1366"/>
      <c r="AG47" s="1366"/>
      <c r="AH47" s="1366"/>
      <c r="AI47" s="1366"/>
      <c r="AJ47" s="1366"/>
      <c r="AK47" s="1366"/>
    </row>
    <row r="48" spans="1:37" s="1365" customFormat="1" ht="24.75">
      <c r="A48" s="2863" t="s">
        <v>2936</v>
      </c>
      <c r="B48" s="2866">
        <f>估价对象房地状况!C4</f>
        <v>0</v>
      </c>
      <c r="C48" s="2755"/>
      <c r="D48" s="1281">
        <f t="shared" ref="D48:D56" si="10">SUMIF($J$47:$N$47,C48,J48:N48)</f>
        <v>0</v>
      </c>
      <c r="E48" s="815">
        <f>ROUND(SUM(D48:D56),4)</f>
        <v>0</v>
      </c>
      <c r="F48" s="2487" t="str">
        <f>IF(E2="商业",SUMIF(L1:L12,G2,N1:N12),"——")</f>
        <v>——</v>
      </c>
      <c r="G48" s="1279"/>
      <c r="H48" s="1283" t="str">
        <f t="shared" ref="H48:H56" si="11">IFERROR(ROUNDDOWN($F$48*I48/2,4),"——")</f>
        <v>——</v>
      </c>
      <c r="I48" s="814">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3" t="s">
        <v>2937</v>
      </c>
      <c r="B49" s="2867">
        <f>估价对象房地状况!C18</f>
        <v>0</v>
      </c>
      <c r="C49" s="2755"/>
      <c r="D49" s="1281">
        <f t="shared" si="10"/>
        <v>0</v>
      </c>
      <c r="E49" s="816"/>
      <c r="F49" s="2487"/>
      <c r="G49" s="1279"/>
      <c r="H49" s="1283" t="str">
        <f t="shared" si="11"/>
        <v>——</v>
      </c>
      <c r="I49" s="814">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3" t="s">
        <v>2938</v>
      </c>
      <c r="B50" s="2867">
        <f>估价对象房地状况!C19</f>
        <v>0</v>
      </c>
      <c r="C50" s="2755"/>
      <c r="D50" s="1281">
        <f t="shared" si="10"/>
        <v>0</v>
      </c>
      <c r="E50" s="816"/>
      <c r="F50" s="2487"/>
      <c r="G50" s="1279"/>
      <c r="H50" s="1283" t="str">
        <f t="shared" si="11"/>
        <v>——</v>
      </c>
      <c r="I50" s="814">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3" t="s">
        <v>2939</v>
      </c>
      <c r="B51" s="2868" t="s">
        <v>2940</v>
      </c>
      <c r="C51" s="2755"/>
      <c r="D51" s="1281">
        <f t="shared" si="10"/>
        <v>0</v>
      </c>
      <c r="E51" s="816"/>
      <c r="F51" s="2487"/>
      <c r="G51" s="1279"/>
      <c r="H51" s="1283" t="str">
        <f t="shared" si="11"/>
        <v>——</v>
      </c>
      <c r="I51" s="814">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3" t="s">
        <v>2941</v>
      </c>
      <c r="B52" s="2867">
        <f>估价对象房地状况!C24</f>
        <v>0</v>
      </c>
      <c r="C52" s="2755"/>
      <c r="D52" s="1281">
        <f t="shared" si="10"/>
        <v>0</v>
      </c>
      <c r="E52" s="816"/>
      <c r="F52" s="2487"/>
      <c r="G52" s="1279"/>
      <c r="H52" s="1283" t="str">
        <f t="shared" si="11"/>
        <v>——</v>
      </c>
      <c r="I52" s="814">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3" t="s">
        <v>2942</v>
      </c>
      <c r="B53" s="2869" t="s">
        <v>2943</v>
      </c>
      <c r="C53" s="2755"/>
      <c r="D53" s="1281">
        <f t="shared" si="10"/>
        <v>0</v>
      </c>
      <c r="E53" s="816"/>
      <c r="F53" s="2487"/>
      <c r="G53" s="1279"/>
      <c r="H53" s="1283" t="str">
        <f t="shared" si="11"/>
        <v>——</v>
      </c>
      <c r="I53" s="814">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0" t="s">
        <v>2944</v>
      </c>
      <c r="B54" s="1719">
        <f>估价对象房地状况!C21</f>
        <v>0</v>
      </c>
      <c r="C54" s="2755"/>
      <c r="D54" s="1281">
        <f t="shared" si="10"/>
        <v>0</v>
      </c>
      <c r="E54" s="816"/>
      <c r="F54" s="2487"/>
      <c r="G54" s="1279"/>
      <c r="H54" s="1283" t="str">
        <f t="shared" si="11"/>
        <v>——</v>
      </c>
      <c r="I54" s="814">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0" t="s">
        <v>2945</v>
      </c>
      <c r="B55" s="2867">
        <f>估价对象房地状况!C22</f>
        <v>0</v>
      </c>
      <c r="C55" s="2755"/>
      <c r="D55" s="1281">
        <f t="shared" si="10"/>
        <v>0</v>
      </c>
      <c r="E55" s="816"/>
      <c r="F55" s="2487"/>
      <c r="G55" s="1279"/>
      <c r="H55" s="1283" t="str">
        <f t="shared" si="11"/>
        <v>——</v>
      </c>
      <c r="I55" s="814">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1" t="s">
        <v>2946</v>
      </c>
      <c r="B56" s="2872">
        <f>估价对象房地状况!C20</f>
        <v>0</v>
      </c>
      <c r="C56" s="2755"/>
      <c r="D56" s="1281">
        <f t="shared" si="10"/>
        <v>0</v>
      </c>
      <c r="E56" s="819"/>
      <c r="F56" s="2487"/>
      <c r="G56" s="1279"/>
      <c r="H56" s="1283" t="str">
        <f t="shared" si="11"/>
        <v>——</v>
      </c>
      <c r="I56" s="818">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9" t="s">
        <v>2947</v>
      </c>
      <c r="B57" s="2860">
        <f>1+E59</f>
        <v>1</v>
      </c>
      <c r="C57" s="808"/>
      <c r="D57" s="808"/>
      <c r="E57" s="809"/>
      <c r="F57" s="286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3" t="s">
        <v>2928</v>
      </c>
      <c r="B58" s="1803"/>
      <c r="C58" s="1803" t="s">
        <v>2930</v>
      </c>
      <c r="D58" s="1803" t="s">
        <v>2931</v>
      </c>
      <c r="E58" s="813" t="s">
        <v>2932</v>
      </c>
      <c r="F58" s="2864" t="s">
        <v>2948</v>
      </c>
      <c r="G58" s="1803" t="s">
        <v>754</v>
      </c>
      <c r="H58" s="2865" t="s">
        <v>2934</v>
      </c>
      <c r="I58" s="1803" t="s">
        <v>2935</v>
      </c>
      <c r="J58" s="600" t="s">
        <v>2581</v>
      </c>
      <c r="K58" s="600" t="s">
        <v>2582</v>
      </c>
      <c r="L58" s="600" t="s">
        <v>2583</v>
      </c>
      <c r="M58" s="600" t="s">
        <v>2584</v>
      </c>
      <c r="N58" s="600" t="s">
        <v>2585</v>
      </c>
      <c r="AA58" s="1366"/>
      <c r="AB58" s="1366"/>
      <c r="AC58" s="1366"/>
      <c r="AD58" s="1366"/>
      <c r="AE58" s="1366"/>
      <c r="AF58" s="1366"/>
      <c r="AG58" s="1366"/>
      <c r="AH58" s="1366"/>
      <c r="AI58" s="1366"/>
      <c r="AJ58" s="1366"/>
      <c r="AK58" s="1366"/>
    </row>
    <row r="59" spans="1:37" s="1365" customFormat="1" ht="24">
      <c r="A59" s="2863" t="s">
        <v>2949</v>
      </c>
      <c r="B59" s="2866">
        <f>估价对象房地状况!C17</f>
        <v>0</v>
      </c>
      <c r="C59" s="2755"/>
      <c r="D59" s="1281">
        <f t="shared" ref="D59:D67" si="15">SUMIF($J$58:$N$58,C59,J59:N59)</f>
        <v>0</v>
      </c>
      <c r="E59" s="815">
        <f>ROUND(SUM(D59:D67),4)</f>
        <v>0</v>
      </c>
      <c r="F59" s="2487" t="str">
        <f>IF(E2="办公",SUMIF(L1:L12,G2,N1:N12),"——")</f>
        <v>——</v>
      </c>
      <c r="G59" s="1279"/>
      <c r="H59" s="1283" t="str">
        <f t="shared" ref="H59:H67" si="16">IFERROR(ROUNDDOWN($F$59*I59/2,4),"——")</f>
        <v>——</v>
      </c>
      <c r="I59" s="814">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3" t="s">
        <v>2937</v>
      </c>
      <c r="B60" s="2867">
        <f>估价对象房地状况!C18</f>
        <v>0</v>
      </c>
      <c r="C60" s="2755"/>
      <c r="D60" s="1281">
        <f t="shared" si="15"/>
        <v>0</v>
      </c>
      <c r="E60" s="816"/>
      <c r="F60" s="2487"/>
      <c r="G60" s="1279"/>
      <c r="H60" s="1283" t="str">
        <f t="shared" si="16"/>
        <v>——</v>
      </c>
      <c r="I60" s="814">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3" t="s">
        <v>2938</v>
      </c>
      <c r="B61" s="2867">
        <f>估价对象房地状况!C19</f>
        <v>0</v>
      </c>
      <c r="C61" s="2755"/>
      <c r="D61" s="1281">
        <f t="shared" si="15"/>
        <v>0</v>
      </c>
      <c r="E61" s="816"/>
      <c r="F61" s="2487"/>
      <c r="G61" s="1279"/>
      <c r="H61" s="1283" t="str">
        <f t="shared" si="16"/>
        <v>——</v>
      </c>
      <c r="I61" s="814">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3" t="s">
        <v>2939</v>
      </c>
      <c r="B62" s="2868" t="s">
        <v>2940</v>
      </c>
      <c r="C62" s="2755"/>
      <c r="D62" s="1281">
        <f t="shared" si="15"/>
        <v>0</v>
      </c>
      <c r="E62" s="816"/>
      <c r="F62" s="2487"/>
      <c r="G62" s="1279"/>
      <c r="H62" s="1283" t="str">
        <f t="shared" si="16"/>
        <v>——</v>
      </c>
      <c r="I62" s="814">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3" t="s">
        <v>2941</v>
      </c>
      <c r="B63" s="2867">
        <f>估价对象房地状况!C24</f>
        <v>0</v>
      </c>
      <c r="C63" s="2755"/>
      <c r="D63" s="1281">
        <f t="shared" si="15"/>
        <v>0</v>
      </c>
      <c r="E63" s="816"/>
      <c r="F63" s="2487"/>
      <c r="G63" s="1279"/>
      <c r="H63" s="1283" t="str">
        <f t="shared" si="16"/>
        <v>——</v>
      </c>
      <c r="I63" s="814">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3" t="s">
        <v>2942</v>
      </c>
      <c r="B64" s="2869" t="s">
        <v>2943</v>
      </c>
      <c r="C64" s="2755"/>
      <c r="D64" s="1281">
        <f t="shared" si="15"/>
        <v>0</v>
      </c>
      <c r="E64" s="816"/>
      <c r="F64" s="2487"/>
      <c r="G64" s="1279"/>
      <c r="H64" s="1283" t="str">
        <f t="shared" si="16"/>
        <v>——</v>
      </c>
      <c r="I64" s="814">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3" t="s">
        <v>2944</v>
      </c>
      <c r="B65" s="1719">
        <f>估价对象房地状况!C21</f>
        <v>0</v>
      </c>
      <c r="C65" s="2755"/>
      <c r="D65" s="1281">
        <f t="shared" si="15"/>
        <v>0</v>
      </c>
      <c r="E65" s="816"/>
      <c r="F65" s="2487"/>
      <c r="G65" s="1279"/>
      <c r="H65" s="1283" t="str">
        <f t="shared" si="16"/>
        <v>——</v>
      </c>
      <c r="I65" s="814">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3" t="s">
        <v>2945</v>
      </c>
      <c r="B66" s="1719">
        <f>估价对象房地状况!C22</f>
        <v>0</v>
      </c>
      <c r="C66" s="2755"/>
      <c r="D66" s="1281">
        <f t="shared" si="15"/>
        <v>0</v>
      </c>
      <c r="E66" s="816"/>
      <c r="F66" s="2487"/>
      <c r="G66" s="1279"/>
      <c r="H66" s="1283" t="str">
        <f t="shared" si="16"/>
        <v>——</v>
      </c>
      <c r="I66" s="814">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1" t="s">
        <v>2946</v>
      </c>
      <c r="B67" s="2873">
        <f>估价对象房地状况!C20</f>
        <v>0</v>
      </c>
      <c r="C67" s="2755"/>
      <c r="D67" s="1281">
        <f t="shared" si="15"/>
        <v>0</v>
      </c>
      <c r="E67" s="819"/>
      <c r="F67" s="2487"/>
      <c r="G67" s="1279"/>
      <c r="H67" s="1283" t="str">
        <f t="shared" si="16"/>
        <v>——</v>
      </c>
      <c r="I67" s="818">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9" t="s">
        <v>2950</v>
      </c>
      <c r="B68" s="2860">
        <f>1+E70</f>
        <v>1</v>
      </c>
      <c r="C68" s="808"/>
      <c r="D68" s="808"/>
      <c r="E68" s="809"/>
      <c r="F68" s="286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3" t="s">
        <v>2928</v>
      </c>
      <c r="B69" s="1803"/>
      <c r="C69" s="1803" t="s">
        <v>2930</v>
      </c>
      <c r="D69" s="1803" t="s">
        <v>2931</v>
      </c>
      <c r="E69" s="813" t="s">
        <v>2932</v>
      </c>
      <c r="F69" s="2864" t="s">
        <v>2948</v>
      </c>
      <c r="G69" s="1803" t="s">
        <v>754</v>
      </c>
      <c r="H69" s="2865" t="s">
        <v>2934</v>
      </c>
      <c r="I69" s="1803" t="s">
        <v>2935</v>
      </c>
      <c r="J69" s="600" t="s">
        <v>2581</v>
      </c>
      <c r="K69" s="600" t="s">
        <v>2582</v>
      </c>
      <c r="L69" s="600" t="s">
        <v>2583</v>
      </c>
      <c r="M69" s="600" t="s">
        <v>2584</v>
      </c>
      <c r="N69" s="600" t="s">
        <v>2585</v>
      </c>
      <c r="AA69" s="1366"/>
      <c r="AB69" s="1366"/>
      <c r="AC69" s="1366"/>
      <c r="AD69" s="1366"/>
      <c r="AE69" s="1366"/>
      <c r="AF69" s="1366"/>
      <c r="AG69" s="1366"/>
      <c r="AH69" s="1366"/>
      <c r="AI69" s="1366"/>
      <c r="AJ69" s="1366"/>
      <c r="AK69" s="1366"/>
    </row>
    <row r="70" spans="1:37" s="1365" customFormat="1" ht="24">
      <c r="A70" s="2863" t="s">
        <v>2951</v>
      </c>
      <c r="B70" s="2866">
        <f>估价对象房地状况!C15</f>
        <v>0</v>
      </c>
      <c r="C70" s="2755"/>
      <c r="D70" s="1281">
        <f t="shared" ref="D70:D78" si="20">SUMIF($J$69:$N$69,C70,J70:N70)</f>
        <v>0</v>
      </c>
      <c r="E70" s="815">
        <f>ROUND(SUM(D70:D78),4)</f>
        <v>0</v>
      </c>
      <c r="F70" s="2487" t="str">
        <f>IF(E2="住宅",SUMIF(L1:L12,G2,N1:N12),"——")</f>
        <v>——</v>
      </c>
      <c r="G70" s="1279"/>
      <c r="H70" s="1283" t="str">
        <f t="shared" ref="H70:H78" si="21">IFERROR(ROUNDDOWN($F$70*I70/2,4),"——")</f>
        <v>——</v>
      </c>
      <c r="I70" s="814">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3" t="s">
        <v>2937</v>
      </c>
      <c r="B71" s="2867">
        <f>估价对象房地状况!C18</f>
        <v>0</v>
      </c>
      <c r="C71" s="2755"/>
      <c r="D71" s="1281">
        <f t="shared" si="20"/>
        <v>0</v>
      </c>
      <c r="E71" s="820"/>
      <c r="F71" s="2487"/>
      <c r="G71" s="1279"/>
      <c r="H71" s="1283" t="str">
        <f t="shared" si="21"/>
        <v>——</v>
      </c>
      <c r="I71" s="814">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3" t="s">
        <v>2938</v>
      </c>
      <c r="B72" s="2867">
        <f>估价对象房地状况!C19</f>
        <v>0</v>
      </c>
      <c r="C72" s="2755"/>
      <c r="D72" s="1281">
        <f t="shared" si="20"/>
        <v>0</v>
      </c>
      <c r="E72" s="820"/>
      <c r="F72" s="2487"/>
      <c r="G72" s="1279"/>
      <c r="H72" s="1283" t="str">
        <f t="shared" si="21"/>
        <v>——</v>
      </c>
      <c r="I72" s="814">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3" t="s">
        <v>2952</v>
      </c>
      <c r="B73" s="2867">
        <f>估价对象房地状况!C24</f>
        <v>0</v>
      </c>
      <c r="C73" s="2755"/>
      <c r="D73" s="1281">
        <f t="shared" si="20"/>
        <v>0</v>
      </c>
      <c r="E73" s="820"/>
      <c r="F73" s="2487"/>
      <c r="G73" s="1279"/>
      <c r="H73" s="1283" t="str">
        <f t="shared" si="21"/>
        <v>——</v>
      </c>
      <c r="I73" s="814">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3" t="s">
        <v>2944</v>
      </c>
      <c r="B74" s="1719">
        <f>估价对象房地状况!C21</f>
        <v>0</v>
      </c>
      <c r="C74" s="2755"/>
      <c r="D74" s="1281">
        <f t="shared" si="20"/>
        <v>0</v>
      </c>
      <c r="E74" s="820"/>
      <c r="F74" s="2487"/>
      <c r="G74" s="1279"/>
      <c r="H74" s="1283" t="str">
        <f t="shared" si="21"/>
        <v>——</v>
      </c>
      <c r="I74" s="814">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3" t="s">
        <v>2945</v>
      </c>
      <c r="B75" s="1719">
        <f>估价对象房地状况!C22</f>
        <v>0</v>
      </c>
      <c r="C75" s="2755"/>
      <c r="D75" s="1281">
        <f t="shared" si="20"/>
        <v>0</v>
      </c>
      <c r="E75" s="820"/>
      <c r="F75" s="2487"/>
      <c r="G75" s="1279"/>
      <c r="H75" s="1283" t="str">
        <f t="shared" si="21"/>
        <v>——</v>
      </c>
      <c r="I75" s="814">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4" customFormat="1" ht="24">
      <c r="A76" s="2863" t="s">
        <v>2942</v>
      </c>
      <c r="B76" s="2869" t="s">
        <v>2943</v>
      </c>
      <c r="C76" s="2755"/>
      <c r="D76" s="1281">
        <f t="shared" si="20"/>
        <v>0</v>
      </c>
      <c r="E76" s="820"/>
      <c r="F76" s="2487"/>
      <c r="G76" s="1279"/>
      <c r="H76" s="1283" t="str">
        <f t="shared" si="21"/>
        <v>——</v>
      </c>
      <c r="I76" s="814">
        <v>0.05</v>
      </c>
      <c r="J76" s="1280">
        <f t="shared" si="22"/>
        <v>0</v>
      </c>
      <c r="K76" s="1280">
        <f t="shared" si="23"/>
        <v>0</v>
      </c>
      <c r="L76" s="1280">
        <v>0</v>
      </c>
      <c r="M76" s="1280">
        <f t="shared" si="24"/>
        <v>0</v>
      </c>
      <c r="N76" s="1280">
        <f t="shared" si="24"/>
        <v>0</v>
      </c>
      <c r="AA76" s="2874"/>
      <c r="AB76" s="1366"/>
      <c r="AC76" s="1366"/>
      <c r="AD76" s="1366"/>
      <c r="AE76" s="1366"/>
      <c r="AF76" s="1366"/>
      <c r="AG76" s="1366"/>
      <c r="AH76" s="2874"/>
      <c r="AI76" s="2874"/>
      <c r="AJ76" s="2874"/>
      <c r="AK76" s="2874"/>
    </row>
    <row r="77" spans="1:37" ht="24">
      <c r="A77" s="2863" t="s">
        <v>2946</v>
      </c>
      <c r="B77" s="2866">
        <f>估价对象房地状况!C20</f>
        <v>0</v>
      </c>
      <c r="C77" s="2755"/>
      <c r="D77" s="1281">
        <f t="shared" si="20"/>
        <v>0</v>
      </c>
      <c r="E77" s="820"/>
      <c r="F77" s="2487"/>
      <c r="G77" s="1279"/>
      <c r="H77" s="1283" t="str">
        <f t="shared" si="21"/>
        <v>——</v>
      </c>
      <c r="I77" s="814">
        <v>0.15</v>
      </c>
      <c r="J77" s="1280">
        <f t="shared" si="22"/>
        <v>0</v>
      </c>
      <c r="K77" s="1280">
        <f t="shared" si="23"/>
        <v>0</v>
      </c>
      <c r="L77" s="1280">
        <v>0</v>
      </c>
      <c r="M77" s="1280">
        <f t="shared" si="24"/>
        <v>0</v>
      </c>
      <c r="N77" s="1280">
        <f t="shared" si="24"/>
        <v>0</v>
      </c>
      <c r="Z77" s="2705"/>
      <c r="AA77" s="2781"/>
      <c r="AG77" s="1367"/>
      <c r="AK77" s="2781"/>
    </row>
    <row r="78" spans="1:37" ht="24.75" thickBot="1">
      <c r="A78" s="2871" t="s">
        <v>2953</v>
      </c>
      <c r="B78" s="2875"/>
      <c r="C78" s="2755"/>
      <c r="D78" s="1281">
        <f t="shared" si="20"/>
        <v>0</v>
      </c>
      <c r="E78" s="821"/>
      <c r="F78" s="2487"/>
      <c r="G78" s="1279"/>
      <c r="H78" s="1283" t="str">
        <f t="shared" si="21"/>
        <v>——</v>
      </c>
      <c r="I78" s="818">
        <v>0.04</v>
      </c>
      <c r="J78" s="1280">
        <f t="shared" si="22"/>
        <v>0</v>
      </c>
      <c r="K78" s="1280">
        <f t="shared" si="23"/>
        <v>0</v>
      </c>
      <c r="L78" s="1280">
        <v>0</v>
      </c>
      <c r="M78" s="1280">
        <f t="shared" si="24"/>
        <v>0</v>
      </c>
      <c r="N78" s="1280">
        <f t="shared" si="24"/>
        <v>0</v>
      </c>
      <c r="Z78" s="2705"/>
      <c r="AA78" s="2781"/>
      <c r="AG78" s="1367"/>
      <c r="AK78" s="2781"/>
    </row>
    <row r="79" spans="1:37" ht="15">
      <c r="A79" s="2859" t="s">
        <v>2954</v>
      </c>
      <c r="B79" s="2860">
        <f>1+E81</f>
        <v>1</v>
      </c>
      <c r="C79" s="808"/>
      <c r="D79" s="808"/>
      <c r="E79" s="809"/>
      <c r="F79" s="2862"/>
      <c r="G79" s="6"/>
      <c r="H79" s="6"/>
      <c r="I79" s="6"/>
      <c r="J79" s="7"/>
      <c r="K79" s="7"/>
      <c r="L79" s="7"/>
      <c r="M79" s="7"/>
      <c r="N79" s="7"/>
      <c r="Z79" s="2705"/>
      <c r="AA79" s="2781"/>
      <c r="AG79" s="1367"/>
      <c r="AK79" s="2781"/>
    </row>
    <row r="80" spans="1:37" ht="24.75">
      <c r="A80" s="2863" t="s">
        <v>2928</v>
      </c>
      <c r="B80" s="1803"/>
      <c r="C80" s="1803" t="s">
        <v>2930</v>
      </c>
      <c r="D80" s="1803" t="s">
        <v>2931</v>
      </c>
      <c r="E80" s="813" t="s">
        <v>2932</v>
      </c>
      <c r="F80" s="2864" t="s">
        <v>2948</v>
      </c>
      <c r="G80" s="1803" t="s">
        <v>754</v>
      </c>
      <c r="H80" s="2865" t="s">
        <v>2934</v>
      </c>
      <c r="I80" s="1803" t="s">
        <v>2935</v>
      </c>
      <c r="J80" s="600" t="s">
        <v>2581</v>
      </c>
      <c r="K80" s="600" t="s">
        <v>2582</v>
      </c>
      <c r="L80" s="600" t="s">
        <v>2583</v>
      </c>
      <c r="M80" s="600" t="s">
        <v>2584</v>
      </c>
      <c r="N80" s="600" t="s">
        <v>2585</v>
      </c>
      <c r="Z80" s="2705"/>
      <c r="AA80" s="2781"/>
      <c r="AG80" s="1367"/>
      <c r="AK80" s="2781"/>
    </row>
    <row r="81" spans="1:37" ht="24">
      <c r="A81" s="2863" t="s">
        <v>2955</v>
      </c>
      <c r="B81" s="2867">
        <f>估价对象房地状况!G15</f>
        <v>0</v>
      </c>
      <c r="C81" s="2755"/>
      <c r="D81" s="1281">
        <f t="shared" ref="D81:D88" si="25">SUMIF($J$80:$N$80,C81,J81:N81)</f>
        <v>0</v>
      </c>
      <c r="E81" s="815">
        <f>ROUND(SUM(D81:D88),4)</f>
        <v>0</v>
      </c>
      <c r="F81" s="2487" t="str">
        <f>IF(E2="工业",SUMIF(L1:L12,G2,N1:N12),"——")</f>
        <v>——</v>
      </c>
      <c r="G81" s="1279"/>
      <c r="H81" s="1283" t="str">
        <f t="shared" ref="H81:H88" si="26">IFERROR(ROUNDDOWN($F$81*I81/2,4),"——")</f>
        <v>——</v>
      </c>
      <c r="I81" s="814">
        <v>0.26</v>
      </c>
      <c r="J81" s="1280">
        <f t="shared" ref="J81:J88" si="27">K81+$G81</f>
        <v>0</v>
      </c>
      <c r="K81" s="1280">
        <f t="shared" ref="K81:K88" si="28">$L81+$G81</f>
        <v>0</v>
      </c>
      <c r="L81" s="1280">
        <v>0</v>
      </c>
      <c r="M81" s="1280">
        <f t="shared" ref="M81:N88" si="29">L81-$G81</f>
        <v>0</v>
      </c>
      <c r="N81" s="1280">
        <f t="shared" si="29"/>
        <v>0</v>
      </c>
      <c r="Z81" s="2705"/>
      <c r="AA81" s="2781"/>
      <c r="AG81" s="1367"/>
      <c r="AK81" s="2781"/>
    </row>
    <row r="82" spans="1:37" ht="14.25">
      <c r="A82" s="2863" t="s">
        <v>2937</v>
      </c>
      <c r="B82" s="2867">
        <f>估价对象房地状况!G16</f>
        <v>0</v>
      </c>
      <c r="C82" s="2755"/>
      <c r="D82" s="1281">
        <f t="shared" si="25"/>
        <v>0</v>
      </c>
      <c r="E82" s="820"/>
      <c r="F82" s="2487"/>
      <c r="G82" s="1279"/>
      <c r="H82" s="1283" t="str">
        <f t="shared" si="26"/>
        <v>——</v>
      </c>
      <c r="I82" s="814">
        <v>0.33</v>
      </c>
      <c r="J82" s="1280">
        <f t="shared" si="27"/>
        <v>0</v>
      </c>
      <c r="K82" s="1280">
        <f t="shared" si="28"/>
        <v>0</v>
      </c>
      <c r="L82" s="1280">
        <v>0</v>
      </c>
      <c r="M82" s="1280">
        <f t="shared" si="29"/>
        <v>0</v>
      </c>
      <c r="N82" s="1280">
        <f t="shared" si="29"/>
        <v>0</v>
      </c>
      <c r="Z82" s="2705"/>
      <c r="AA82" s="2781"/>
      <c r="AG82" s="1367"/>
      <c r="AK82" s="2781"/>
    </row>
    <row r="83" spans="1:37" ht="24">
      <c r="A83" s="2863" t="s">
        <v>2938</v>
      </c>
      <c r="B83" s="2867">
        <f>估价对象房地状况!G17</f>
        <v>0</v>
      </c>
      <c r="C83" s="2755"/>
      <c r="D83" s="1281">
        <f t="shared" si="25"/>
        <v>0</v>
      </c>
      <c r="E83" s="820"/>
      <c r="F83" s="2487"/>
      <c r="G83" s="1279"/>
      <c r="H83" s="1283" t="str">
        <f t="shared" si="26"/>
        <v>——</v>
      </c>
      <c r="I83" s="814">
        <v>0.05</v>
      </c>
      <c r="J83" s="1280">
        <f t="shared" si="27"/>
        <v>0</v>
      </c>
      <c r="K83" s="1280">
        <f t="shared" si="28"/>
        <v>0</v>
      </c>
      <c r="L83" s="1280">
        <v>0</v>
      </c>
      <c r="M83" s="1280">
        <f t="shared" si="29"/>
        <v>0</v>
      </c>
      <c r="N83" s="1280">
        <f t="shared" si="29"/>
        <v>0</v>
      </c>
      <c r="Z83" s="2705"/>
      <c r="AA83" s="2781"/>
      <c r="AG83" s="1367"/>
      <c r="AK83" s="2781"/>
    </row>
    <row r="84" spans="1:37" ht="14.25">
      <c r="A84" s="2863" t="s">
        <v>2952</v>
      </c>
      <c r="B84" s="2867">
        <f>估价对象房地状况!G22</f>
        <v>0</v>
      </c>
      <c r="C84" s="2755"/>
      <c r="D84" s="1281">
        <f t="shared" si="25"/>
        <v>0</v>
      </c>
      <c r="E84" s="820"/>
      <c r="F84" s="2487"/>
      <c r="G84" s="1279"/>
      <c r="H84" s="1283" t="str">
        <f t="shared" si="26"/>
        <v>——</v>
      </c>
      <c r="I84" s="814">
        <v>0.04</v>
      </c>
      <c r="J84" s="1280">
        <f t="shared" si="27"/>
        <v>0</v>
      </c>
      <c r="K84" s="1280">
        <f t="shared" si="28"/>
        <v>0</v>
      </c>
      <c r="L84" s="1280">
        <v>0</v>
      </c>
      <c r="M84" s="1280">
        <f t="shared" si="29"/>
        <v>0</v>
      </c>
      <c r="N84" s="1280">
        <f t="shared" si="29"/>
        <v>0</v>
      </c>
      <c r="Z84" s="2705"/>
      <c r="AA84" s="2781"/>
      <c r="AG84" s="1367"/>
      <c r="AK84" s="2781"/>
    </row>
    <row r="85" spans="1:37" ht="24">
      <c r="A85" s="2863" t="s">
        <v>2944</v>
      </c>
      <c r="B85" s="1719">
        <f>估价对象房地状况!G19</f>
        <v>0</v>
      </c>
      <c r="C85" s="2755"/>
      <c r="D85" s="1281">
        <f t="shared" si="25"/>
        <v>0</v>
      </c>
      <c r="E85" s="820"/>
      <c r="F85" s="2487"/>
      <c r="G85" s="1279"/>
      <c r="H85" s="1283" t="str">
        <f t="shared" si="26"/>
        <v>——</v>
      </c>
      <c r="I85" s="814">
        <v>0.06</v>
      </c>
      <c r="J85" s="1280">
        <f t="shared" si="27"/>
        <v>0</v>
      </c>
      <c r="K85" s="1280">
        <f t="shared" si="28"/>
        <v>0</v>
      </c>
      <c r="L85" s="1280">
        <v>0</v>
      </c>
      <c r="M85" s="1280">
        <f t="shared" si="29"/>
        <v>0</v>
      </c>
      <c r="N85" s="1280">
        <f t="shared" si="29"/>
        <v>0</v>
      </c>
      <c r="Z85" s="2705"/>
      <c r="AA85" s="2781"/>
      <c r="AG85" s="1367"/>
      <c r="AK85" s="2781"/>
    </row>
    <row r="86" spans="1:37" ht="24">
      <c r="A86" s="2863" t="s">
        <v>2945</v>
      </c>
      <c r="B86" s="1719">
        <f>估价对象房地状况!G20</f>
        <v>0</v>
      </c>
      <c r="C86" s="2755"/>
      <c r="D86" s="1281">
        <f t="shared" si="25"/>
        <v>0</v>
      </c>
      <c r="E86" s="820"/>
      <c r="F86" s="2487"/>
      <c r="G86" s="1279"/>
      <c r="H86" s="1283" t="str">
        <f t="shared" si="26"/>
        <v>——</v>
      </c>
      <c r="I86" s="814">
        <v>0.15</v>
      </c>
      <c r="J86" s="1280">
        <f t="shared" si="27"/>
        <v>0</v>
      </c>
      <c r="K86" s="1280">
        <f t="shared" si="28"/>
        <v>0</v>
      </c>
      <c r="L86" s="1280">
        <v>0</v>
      </c>
      <c r="M86" s="1280">
        <f t="shared" si="29"/>
        <v>0</v>
      </c>
      <c r="N86" s="1280">
        <f t="shared" si="29"/>
        <v>0</v>
      </c>
      <c r="Z86" s="2705"/>
      <c r="AA86" s="2781"/>
      <c r="AG86" s="1367"/>
      <c r="AK86" s="2781"/>
    </row>
    <row r="87" spans="1:37" ht="24">
      <c r="A87" s="2863" t="s">
        <v>2942</v>
      </c>
      <c r="B87" s="2869" t="s">
        <v>2956</v>
      </c>
      <c r="C87" s="2755"/>
      <c r="D87" s="1281">
        <f t="shared" si="25"/>
        <v>0</v>
      </c>
      <c r="E87" s="820"/>
      <c r="F87" s="2487"/>
      <c r="G87" s="1279"/>
      <c r="H87" s="1283" t="str">
        <f t="shared" si="26"/>
        <v>——</v>
      </c>
      <c r="I87" s="814">
        <v>0.05</v>
      </c>
      <c r="J87" s="1280">
        <f t="shared" si="27"/>
        <v>0</v>
      </c>
      <c r="K87" s="1280">
        <f t="shared" si="28"/>
        <v>0</v>
      </c>
      <c r="L87" s="1280">
        <v>0</v>
      </c>
      <c r="M87" s="1280">
        <f t="shared" si="29"/>
        <v>0</v>
      </c>
      <c r="N87" s="1280">
        <f t="shared" si="29"/>
        <v>0</v>
      </c>
      <c r="Z87" s="2705"/>
      <c r="AA87" s="2781"/>
      <c r="AG87" s="1367"/>
      <c r="AK87" s="2781"/>
    </row>
    <row r="88" spans="1:37" ht="15" thickBot="1">
      <c r="A88" s="2871" t="s">
        <v>2957</v>
      </c>
      <c r="B88" s="2876">
        <f>估价对象房地状况!G18</f>
        <v>0</v>
      </c>
      <c r="C88" s="2755"/>
      <c r="D88" s="1281">
        <f t="shared" si="25"/>
        <v>0</v>
      </c>
      <c r="E88" s="821"/>
      <c r="F88" s="2487"/>
      <c r="G88" s="1279"/>
      <c r="H88" s="1283" t="str">
        <f t="shared" si="26"/>
        <v>——</v>
      </c>
      <c r="I88" s="818">
        <v>0.06</v>
      </c>
      <c r="J88" s="1280">
        <f t="shared" si="27"/>
        <v>0</v>
      </c>
      <c r="K88" s="1280">
        <f t="shared" si="28"/>
        <v>0</v>
      </c>
      <c r="L88" s="1280">
        <v>0</v>
      </c>
      <c r="M88" s="1280">
        <f t="shared" si="29"/>
        <v>0</v>
      </c>
      <c r="N88" s="1280">
        <f t="shared" si="29"/>
        <v>0</v>
      </c>
      <c r="Z88" s="2705"/>
      <c r="AA88" s="2781"/>
      <c r="AG88" s="1367"/>
      <c r="AK88" s="2781"/>
    </row>
    <row r="90" spans="1:37">
      <c r="A90" s="3374" t="s">
        <v>2958</v>
      </c>
      <c r="B90" s="3374"/>
      <c r="C90" s="3374"/>
      <c r="D90" s="3374"/>
      <c r="E90" s="3374"/>
      <c r="F90" s="3374"/>
      <c r="G90" s="3374"/>
      <c r="H90" s="3374"/>
      <c r="I90" s="3374"/>
      <c r="J90" s="3374"/>
      <c r="K90" s="2877"/>
      <c r="L90" s="2877"/>
      <c r="M90" s="2877"/>
      <c r="N90" s="2877"/>
    </row>
    <row r="91" spans="1:37">
      <c r="A91" s="3376" t="s">
        <v>2959</v>
      </c>
      <c r="B91" s="3376" t="s">
        <v>2960</v>
      </c>
      <c r="C91" s="2831" t="s">
        <v>2961</v>
      </c>
      <c r="D91" s="2832"/>
      <c r="E91" s="2832"/>
      <c r="F91" s="2832"/>
      <c r="G91" s="2832"/>
      <c r="H91" s="2832"/>
      <c r="I91" s="2832"/>
      <c r="J91" s="2878"/>
      <c r="K91" s="2879"/>
      <c r="L91" s="2879"/>
      <c r="M91" s="2879"/>
      <c r="N91" s="2879"/>
    </row>
    <row r="92" spans="1:37">
      <c r="A92" s="3376"/>
      <c r="B92" s="3376"/>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377"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7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7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7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7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7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78"/>
      <c r="B99" s="2880" t="s">
        <v>2841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79"/>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77" t="s">
        <v>2963</v>
      </c>
      <c r="B101" s="2884" t="s">
        <v>2964</v>
      </c>
      <c r="C101" s="2885">
        <f>$G$3</f>
        <v>0.93</v>
      </c>
      <c r="D101" s="2885">
        <f t="shared" ref="D101:N101" si="31">$G$3</f>
        <v>0.93</v>
      </c>
      <c r="E101" s="2885">
        <f t="shared" si="31"/>
        <v>0.93</v>
      </c>
      <c r="F101" s="2885">
        <f t="shared" si="31"/>
        <v>0.93</v>
      </c>
      <c r="G101" s="2885">
        <f t="shared" si="31"/>
        <v>0.93</v>
      </c>
      <c r="H101" s="2885">
        <f t="shared" si="31"/>
        <v>0.93</v>
      </c>
      <c r="I101" s="2885">
        <f t="shared" si="31"/>
        <v>0.93</v>
      </c>
      <c r="J101" s="2885">
        <f t="shared" si="31"/>
        <v>0.93</v>
      </c>
      <c r="K101" s="2885">
        <f t="shared" si="31"/>
        <v>0.93</v>
      </c>
      <c r="L101" s="2885">
        <f t="shared" si="31"/>
        <v>0.93</v>
      </c>
      <c r="M101" s="2885">
        <f t="shared" si="31"/>
        <v>0.93</v>
      </c>
      <c r="N101" s="2885">
        <f t="shared" si="31"/>
        <v>0.93</v>
      </c>
    </row>
    <row r="102" spans="1:14">
      <c r="A102" s="3378"/>
      <c r="B102" s="2880">
        <v>1</v>
      </c>
      <c r="C102" s="2881">
        <f>1.9362/C101</f>
        <v>2.0819354838709674</v>
      </c>
      <c r="D102" s="2881">
        <f>1.9362/D101</f>
        <v>2.0819354838709674</v>
      </c>
      <c r="E102" s="2881">
        <f>1.8629/E101</f>
        <v>2.0031182795698923</v>
      </c>
      <c r="F102" s="2881">
        <f>1.8629/F101</f>
        <v>2.0031182795698923</v>
      </c>
      <c r="G102" s="2881">
        <f>1.8629/G101</f>
        <v>2.0031182795698923</v>
      </c>
      <c r="H102" s="2881">
        <f>1.8629/H101</f>
        <v>2.0031182795698923</v>
      </c>
      <c r="I102" s="2881">
        <f>1.8629/I101</f>
        <v>2.0031182795698923</v>
      </c>
      <c r="J102" s="2881">
        <f>1.942/J101</f>
        <v>2.0881720430107524</v>
      </c>
      <c r="K102" s="2881">
        <f>1.942/K101</f>
        <v>2.0881720430107524</v>
      </c>
      <c r="L102" s="2881">
        <f>1.942/L101</f>
        <v>2.0881720430107524</v>
      </c>
      <c r="M102" s="2881">
        <f>1.942/M101</f>
        <v>2.0881720430107524</v>
      </c>
      <c r="N102" s="2881">
        <f>1.942/N101</f>
        <v>2.0881720430107524</v>
      </c>
    </row>
    <row r="103" spans="1:14">
      <c r="A103" s="3378"/>
      <c r="B103" s="2880">
        <v>2</v>
      </c>
      <c r="C103" s="2881">
        <f>1.4198/C101</f>
        <v>1.5266666666666666</v>
      </c>
      <c r="D103" s="2881">
        <f>1.4198/D101</f>
        <v>1.5266666666666666</v>
      </c>
      <c r="E103" s="2881">
        <f>1.3372/E101</f>
        <v>1.4378494623655913</v>
      </c>
      <c r="F103" s="2881">
        <f>1.3372/F101</f>
        <v>1.4378494623655913</v>
      </c>
      <c r="G103" s="2881">
        <f>1.3372/G101</f>
        <v>1.4378494623655913</v>
      </c>
      <c r="H103" s="2881">
        <f>1.3372/H101</f>
        <v>1.4378494623655913</v>
      </c>
      <c r="I103" s="2881">
        <f>1.3372/I101</f>
        <v>1.4378494623655913</v>
      </c>
      <c r="J103" s="2881">
        <f>1.2799/J101</f>
        <v>1.3762365591397849</v>
      </c>
      <c r="K103" s="2881">
        <f>1.2799/K101</f>
        <v>1.3762365591397849</v>
      </c>
      <c r="L103" s="2881">
        <f>1.2799/L101</f>
        <v>1.3762365591397849</v>
      </c>
      <c r="M103" s="2881">
        <f>1.2799/M101</f>
        <v>1.3762365591397849</v>
      </c>
      <c r="N103" s="2881">
        <f>1.2799/N101</f>
        <v>1.3762365591397849</v>
      </c>
    </row>
    <row r="104" spans="1:14">
      <c r="A104" s="3378"/>
      <c r="B104" s="2880">
        <v>3</v>
      </c>
      <c r="C104" s="2881">
        <f>1.1594/C101</f>
        <v>1.2466666666666666</v>
      </c>
      <c r="D104" s="2881">
        <f>1.1594/D101</f>
        <v>1.2466666666666666</v>
      </c>
      <c r="E104" s="2881">
        <f>1.0788/E101</f>
        <v>1.1599999999999999</v>
      </c>
      <c r="F104" s="2881">
        <f>1.0788/F101</f>
        <v>1.1599999999999999</v>
      </c>
      <c r="G104" s="2881">
        <f>1.0788/G101</f>
        <v>1.1599999999999999</v>
      </c>
      <c r="H104" s="2881">
        <f>1.0788/H101</f>
        <v>1.1599999999999999</v>
      </c>
      <c r="I104" s="2881">
        <f>1.0788/I101</f>
        <v>1.1599999999999999</v>
      </c>
      <c r="J104" s="2881">
        <f>1.0072/J101</f>
        <v>1.083010752688172</v>
      </c>
      <c r="K104" s="2881">
        <f>1.0072/K101</f>
        <v>1.083010752688172</v>
      </c>
      <c r="L104" s="2881">
        <f>1.0072/L101</f>
        <v>1.083010752688172</v>
      </c>
      <c r="M104" s="2881">
        <f>1.0072/M101</f>
        <v>1.083010752688172</v>
      </c>
      <c r="N104" s="2881">
        <f>1.0072/N101</f>
        <v>1.083010752688172</v>
      </c>
    </row>
    <row r="105" spans="1:14">
      <c r="A105" s="3378"/>
      <c r="B105" s="2880">
        <v>4</v>
      </c>
      <c r="C105" s="2881">
        <f>0.9622/C101</f>
        <v>1.0346236559139785</v>
      </c>
      <c r="D105" s="2881">
        <f>0.9622/D101</f>
        <v>1.0346236559139785</v>
      </c>
      <c r="E105" s="2881">
        <f>0.8656/E101</f>
        <v>0.93075268817204304</v>
      </c>
      <c r="F105" s="2881">
        <f>0.8656/F101</f>
        <v>0.93075268817204304</v>
      </c>
      <c r="G105" s="2881">
        <f>0.8656/G101</f>
        <v>0.93075268817204304</v>
      </c>
      <c r="H105" s="2881">
        <f>0.8656/H101</f>
        <v>0.93075268817204304</v>
      </c>
      <c r="I105" s="2881">
        <f>0.8656/I101</f>
        <v>0.93075268817204304</v>
      </c>
      <c r="J105" s="2881">
        <f>0.7525/J101</f>
        <v>0.80913978494623651</v>
      </c>
      <c r="K105" s="2881">
        <f>0.7525/K101</f>
        <v>0.80913978494623651</v>
      </c>
      <c r="L105" s="2881">
        <f>0.7525/L101</f>
        <v>0.80913978494623651</v>
      </c>
      <c r="M105" s="2881">
        <f>0.7525/M101</f>
        <v>0.80913978494623651</v>
      </c>
      <c r="N105" s="2881">
        <f>0.7525/N101</f>
        <v>0.80913978494623651</v>
      </c>
    </row>
    <row r="106" spans="1:14">
      <c r="A106" s="3378"/>
      <c r="B106" s="2880">
        <v>5</v>
      </c>
      <c r="C106" s="2881">
        <f>0.8417/C101</f>
        <v>0.90505376344086019</v>
      </c>
      <c r="D106" s="2881">
        <f>0.8417/D101</f>
        <v>0.90505376344086019</v>
      </c>
      <c r="E106" s="2881">
        <f>0.7371/E101</f>
        <v>0.79258064516129023</v>
      </c>
      <c r="F106" s="2881">
        <f>0.7371/F101</f>
        <v>0.79258064516129023</v>
      </c>
      <c r="G106" s="2881">
        <f>0.7371/G101</f>
        <v>0.79258064516129023</v>
      </c>
      <c r="H106" s="2881">
        <f>0.7371/H101</f>
        <v>0.79258064516129023</v>
      </c>
      <c r="I106" s="2881">
        <f>0.7371/I101</f>
        <v>0.79258064516129023</v>
      </c>
      <c r="J106" s="2881">
        <f>0.5659/J101</f>
        <v>0.60849462365591389</v>
      </c>
      <c r="K106" s="2881">
        <f>0.5659/K101</f>
        <v>0.60849462365591389</v>
      </c>
      <c r="L106" s="2881">
        <f>0.5659/L101</f>
        <v>0.60849462365591389</v>
      </c>
      <c r="M106" s="2881">
        <f>0.5659/M101</f>
        <v>0.60849462365591389</v>
      </c>
      <c r="N106" s="2881">
        <f>0.5659/N101</f>
        <v>0.60849462365591389</v>
      </c>
    </row>
    <row r="107" spans="1:14">
      <c r="A107" s="3378"/>
      <c r="B107" s="2880">
        <v>6</v>
      </c>
      <c r="C107" s="2881">
        <f>0.7608/C101</f>
        <v>0.8180645161290323</v>
      </c>
      <c r="D107" s="2881">
        <f>0.7608/D101</f>
        <v>0.8180645161290323</v>
      </c>
      <c r="E107" s="2881">
        <f>0.6482/E101</f>
        <v>0.69698924731182788</v>
      </c>
      <c r="F107" s="2881">
        <f>0.6482/F101</f>
        <v>0.69698924731182788</v>
      </c>
      <c r="G107" s="2881">
        <f>0.6482/G101</f>
        <v>0.69698924731182788</v>
      </c>
      <c r="H107" s="2881">
        <f>0.6482/H101</f>
        <v>0.69698924731182788</v>
      </c>
      <c r="I107" s="2881">
        <f>0.6482/I101</f>
        <v>0.69698924731182788</v>
      </c>
      <c r="J107" s="2881">
        <f>0.4525/J101</f>
        <v>0.48655913978494625</v>
      </c>
      <c r="K107" s="2881">
        <f>0.4525/K101</f>
        <v>0.48655913978494625</v>
      </c>
      <c r="L107" s="2881">
        <f>0.4525/L101</f>
        <v>0.48655913978494625</v>
      </c>
      <c r="M107" s="2881">
        <f>0.4525/M101</f>
        <v>0.48655913978494625</v>
      </c>
      <c r="N107" s="2881">
        <f>0.4525/N101</f>
        <v>0.48655913978494625</v>
      </c>
    </row>
    <row r="108" spans="1:14">
      <c r="A108" s="3378"/>
      <c r="B108" s="3232"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79"/>
      <c r="B109" s="3233"/>
      <c r="C109" s="2883">
        <f>(-0.163*(C108^2)-0.59*C108+7617)*(10^(-4))/C101</f>
        <v>0.81903225806451618</v>
      </c>
      <c r="D109" s="2883">
        <f>(-0.163*(D108^2)-0.59*D108+7617)*(10^(-4))/D101</f>
        <v>0.81903225806451618</v>
      </c>
      <c r="E109" s="2883">
        <f>(-0.161*(E108^2)-7.509*E108+6533)*(10^(-4))/E101</f>
        <v>0.70247311827956982</v>
      </c>
      <c r="F109" s="2883">
        <f>(-0.161*(F108^2)-7.509*F108+6533)*(10^(-4))/F101</f>
        <v>0.70247311827956982</v>
      </c>
      <c r="G109" s="2883">
        <f>(-0.161*(G108^2)-7.509*G108+6533)*(10^(-4))/G101</f>
        <v>0.70247311827956982</v>
      </c>
      <c r="H109" s="2883">
        <f>(-0.161*(H108^2)-7.509*H108+6533)*(10^(-4))/H101</f>
        <v>0.70247311827956982</v>
      </c>
      <c r="I109" s="2883">
        <f>(-0.161*(I108^2)-7.509*I108+6533)*(10^(-4))/I101</f>
        <v>0.70247311827956982</v>
      </c>
      <c r="J109" s="2883">
        <f>(-0.214*(J108^2)-21.991*J108+4665)*(10^(-4))/J101</f>
        <v>0.50161290322580643</v>
      </c>
      <c r="K109" s="2883">
        <f>(-0.214*(K108^2)-21.991*K108+4665)*(10^(-4))/K101</f>
        <v>0.50161290322580643</v>
      </c>
      <c r="L109" s="2883">
        <f>(-0.214*(L108^2)-21.991*L108+4665)*(10^(-4))/L101</f>
        <v>0.50161290322580643</v>
      </c>
      <c r="M109" s="2883">
        <f>(-0.214*(M108^2)-21.991*M108+4665)*(10^(-4))/M101</f>
        <v>0.50161290322580643</v>
      </c>
      <c r="N109" s="2883">
        <f>(-0.214*(N108^2)-21.991*N108+4665)*(10^(-4))/N101</f>
        <v>0.50161290322580643</v>
      </c>
    </row>
    <row r="110" spans="1:14">
      <c r="A110" s="3375" t="s">
        <v>2966</v>
      </c>
      <c r="B110" s="3375"/>
      <c r="C110" s="3375"/>
      <c r="D110" s="3375"/>
      <c r="E110" s="3375"/>
      <c r="F110" s="3375"/>
      <c r="G110" s="3375"/>
      <c r="H110" s="3375"/>
      <c r="I110" s="3375"/>
      <c r="J110" s="3375"/>
      <c r="K110" s="2886"/>
      <c r="L110" s="2886"/>
      <c r="M110" s="2886"/>
      <c r="N110" s="2886"/>
    </row>
    <row r="112" spans="1:14" ht="13.5" thickBot="1"/>
    <row r="113" spans="1:13" ht="25.5" thickBot="1">
      <c r="A113" s="897" t="s">
        <v>2967</v>
      </c>
      <c r="B113" s="1282">
        <f>G3</f>
        <v>0.93</v>
      </c>
      <c r="C113" s="898" t="s">
        <v>2968</v>
      </c>
      <c r="D113" s="899">
        <f>SUMPRODUCT((A115:A118=F113)*(B114:M114=H113)*B115:M118)</f>
        <v>0</v>
      </c>
      <c r="E113" s="2709" t="s">
        <v>2798</v>
      </c>
      <c r="F113" s="2888">
        <f>E2</f>
        <v>0</v>
      </c>
      <c r="G113" s="2709" t="s">
        <v>2799</v>
      </c>
      <c r="H113" s="2888">
        <f>G2</f>
        <v>0</v>
      </c>
      <c r="I113" s="2709"/>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2863</v>
      </c>
      <c r="B115" s="904">
        <f>ROUND(0.9335-0.0094*B113,4)</f>
        <v>0.92479999999999996</v>
      </c>
      <c r="C115" s="904">
        <f>B115</f>
        <v>0.92479999999999996</v>
      </c>
      <c r="D115" s="904">
        <f>ROUND(0.8331-0.0109*B113,4)</f>
        <v>0.82299999999999995</v>
      </c>
      <c r="E115" s="904">
        <f>D115</f>
        <v>0.82299999999999995</v>
      </c>
      <c r="F115" s="904">
        <f>E115</f>
        <v>0.82299999999999995</v>
      </c>
      <c r="G115" s="904">
        <f>F115</f>
        <v>0.82299999999999995</v>
      </c>
      <c r="H115" s="904">
        <f>G115</f>
        <v>0.82299999999999995</v>
      </c>
      <c r="I115" s="904">
        <f>ROUND(0.689-0.0155*B113,4)</f>
        <v>0.67459999999999998</v>
      </c>
      <c r="J115" s="904">
        <f t="shared" ref="J115:M118" si="33">I115</f>
        <v>0.67459999999999998</v>
      </c>
      <c r="K115" s="904">
        <f t="shared" si="33"/>
        <v>0.67459999999999998</v>
      </c>
      <c r="L115" s="904">
        <f t="shared" si="33"/>
        <v>0.67459999999999998</v>
      </c>
      <c r="M115" s="905">
        <f t="shared" si="33"/>
        <v>0.67459999999999998</v>
      </c>
    </row>
    <row r="116" spans="1:13">
      <c r="A116" s="903" t="s">
        <v>2864</v>
      </c>
      <c r="B116" s="904">
        <f>ROUND(0.949-0.012*B113,4)</f>
        <v>0.93779999999999997</v>
      </c>
      <c r="C116" s="904">
        <f>B116</f>
        <v>0.93779999999999997</v>
      </c>
      <c r="D116" s="904">
        <f>ROUND(0.8567-0.013*B113,4)</f>
        <v>0.84460000000000002</v>
      </c>
      <c r="E116" s="904">
        <f t="shared" ref="E116:H117" si="34">D116</f>
        <v>0.84460000000000002</v>
      </c>
      <c r="F116" s="904">
        <f t="shared" si="34"/>
        <v>0.84460000000000002</v>
      </c>
      <c r="G116" s="904">
        <f t="shared" si="34"/>
        <v>0.84460000000000002</v>
      </c>
      <c r="H116" s="904">
        <f t="shared" si="34"/>
        <v>0.84460000000000002</v>
      </c>
      <c r="I116" s="904">
        <f>ROUND(0.7694-0.014*B113,4)</f>
        <v>0.75639999999999996</v>
      </c>
      <c r="J116" s="904">
        <f t="shared" si="33"/>
        <v>0.75639999999999996</v>
      </c>
      <c r="K116" s="904">
        <f t="shared" si="33"/>
        <v>0.75639999999999996</v>
      </c>
      <c r="L116" s="904">
        <f t="shared" si="33"/>
        <v>0.75639999999999996</v>
      </c>
      <c r="M116" s="905">
        <f t="shared" si="33"/>
        <v>0.75639999999999996</v>
      </c>
    </row>
    <row r="117" spans="1:13">
      <c r="A117" s="903" t="s">
        <v>2865</v>
      </c>
      <c r="B117" s="904">
        <f>ROUND(0.8808-0.006*B113,4)</f>
        <v>0.87519999999999998</v>
      </c>
      <c r="C117" s="904">
        <f>B117</f>
        <v>0.87519999999999998</v>
      </c>
      <c r="D117" s="904">
        <f>ROUND(0.8748-0.008*B113,4)</f>
        <v>0.86739999999999995</v>
      </c>
      <c r="E117" s="904">
        <f t="shared" si="34"/>
        <v>0.86739999999999995</v>
      </c>
      <c r="F117" s="904">
        <f t="shared" si="34"/>
        <v>0.86739999999999995</v>
      </c>
      <c r="G117" s="904">
        <f t="shared" si="34"/>
        <v>0.86739999999999995</v>
      </c>
      <c r="H117" s="904">
        <f t="shared" si="34"/>
        <v>0.86739999999999995</v>
      </c>
      <c r="I117" s="904">
        <f>ROUND(0.7412-0.0095*B113,4)</f>
        <v>0.73240000000000005</v>
      </c>
      <c r="J117" s="904">
        <f t="shared" si="33"/>
        <v>0.73240000000000005</v>
      </c>
      <c r="K117" s="904">
        <f t="shared" si="33"/>
        <v>0.73240000000000005</v>
      </c>
      <c r="L117" s="904">
        <f t="shared" si="33"/>
        <v>0.73240000000000005</v>
      </c>
      <c r="M117" s="905">
        <f t="shared" si="33"/>
        <v>0.73240000000000005</v>
      </c>
    </row>
    <row r="118" spans="1:13" ht="13.5" thickBot="1">
      <c r="A118" s="709" t="s">
        <v>2866</v>
      </c>
      <c r="B118" s="906">
        <f>ROUND(0.7275-0.01*B113,4)</f>
        <v>0.71819999999999995</v>
      </c>
      <c r="C118" s="906">
        <f>B118</f>
        <v>0.71819999999999995</v>
      </c>
      <c r="D118" s="906">
        <f>ROUND(0.7043-0.012*B113,4)</f>
        <v>0.69310000000000005</v>
      </c>
      <c r="E118" s="906">
        <f>D118</f>
        <v>0.69310000000000005</v>
      </c>
      <c r="F118" s="906">
        <f>E118</f>
        <v>0.69310000000000005</v>
      </c>
      <c r="G118" s="906">
        <f>ROUND(0.6299-0.0122*B113,4)</f>
        <v>0.61860000000000004</v>
      </c>
      <c r="H118" s="906">
        <f>G118</f>
        <v>0.61860000000000004</v>
      </c>
      <c r="I118" s="906">
        <f>ROUND(0.5667-0.0136*B113,4)</f>
        <v>0.55410000000000004</v>
      </c>
      <c r="J118" s="906">
        <f t="shared" si="33"/>
        <v>0.55410000000000004</v>
      </c>
      <c r="K118" s="906">
        <f t="shared" si="33"/>
        <v>0.55410000000000004</v>
      </c>
      <c r="L118" s="906">
        <f t="shared" si="33"/>
        <v>0.55410000000000004</v>
      </c>
      <c r="M118" s="907">
        <f t="shared" si="33"/>
        <v>0.55410000000000004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83" t="s">
        <v>183</v>
      </c>
      <c r="B18" s="876" t="s">
        <v>560</v>
      </c>
      <c r="C18" s="877" t="s">
        <v>561</v>
      </c>
      <c r="D18" s="878"/>
      <c r="E18" s="876">
        <v>1</v>
      </c>
      <c r="F18" s="879" t="s">
        <v>562</v>
      </c>
      <c r="G18" s="880"/>
      <c r="H18" s="872"/>
      <c r="I18" s="872"/>
    </row>
    <row r="19" spans="1:9" s="881" customFormat="1" ht="19.5" customHeight="1">
      <c r="A19" s="3383"/>
      <c r="B19" s="3383" t="s">
        <v>563</v>
      </c>
      <c r="C19" s="877" t="s">
        <v>564</v>
      </c>
      <c r="D19" s="878"/>
      <c r="E19" s="876">
        <v>0.9</v>
      </c>
      <c r="F19" s="879" t="s">
        <v>565</v>
      </c>
      <c r="G19" s="880"/>
      <c r="H19" s="872"/>
      <c r="I19" s="872"/>
    </row>
    <row r="20" spans="1:9" s="881" customFormat="1" ht="19.5" customHeight="1">
      <c r="A20" s="3383"/>
      <c r="B20" s="3383"/>
      <c r="C20" s="877" t="s">
        <v>566</v>
      </c>
      <c r="D20" s="878"/>
      <c r="E20" s="876">
        <v>1.1000000000000001</v>
      </c>
      <c r="F20" s="879" t="s">
        <v>567</v>
      </c>
      <c r="G20" s="880"/>
      <c r="H20" s="872"/>
      <c r="I20" s="872"/>
    </row>
    <row r="21" spans="1:9" s="881" customFormat="1" ht="19.5" customHeight="1">
      <c r="A21" s="3383"/>
      <c r="B21" s="3383"/>
      <c r="C21" s="877" t="s">
        <v>568</v>
      </c>
      <c r="D21" s="878"/>
      <c r="E21" s="876">
        <v>0.8</v>
      </c>
      <c r="F21" s="879" t="s">
        <v>569</v>
      </c>
      <c r="G21" s="880"/>
      <c r="H21" s="872"/>
      <c r="I21" s="872"/>
    </row>
    <row r="22" spans="1:9" s="881" customFormat="1" ht="19.5" customHeight="1">
      <c r="A22" s="3383"/>
      <c r="B22" s="3383"/>
      <c r="C22" s="877" t="s">
        <v>570</v>
      </c>
      <c r="D22" s="878"/>
      <c r="E22" s="876">
        <v>0.5</v>
      </c>
      <c r="F22" s="879"/>
      <c r="G22" s="880"/>
      <c r="H22" s="872"/>
      <c r="I22" s="872"/>
    </row>
    <row r="23" spans="1:9" s="881" customFormat="1" ht="19.5" customHeight="1">
      <c r="A23" s="3383" t="s">
        <v>184</v>
      </c>
      <c r="B23" s="876" t="s">
        <v>560</v>
      </c>
      <c r="C23" s="877" t="s">
        <v>571</v>
      </c>
      <c r="D23" s="878"/>
      <c r="E23" s="876">
        <v>1</v>
      </c>
      <c r="F23" s="879" t="s">
        <v>572</v>
      </c>
      <c r="G23" s="880"/>
      <c r="H23" s="872"/>
      <c r="I23" s="872"/>
    </row>
    <row r="24" spans="1:9" s="881" customFormat="1" ht="19.5" customHeight="1">
      <c r="A24" s="3383"/>
      <c r="B24" s="3383" t="s">
        <v>563</v>
      </c>
      <c r="C24" s="877" t="s">
        <v>573</v>
      </c>
      <c r="D24" s="878"/>
      <c r="E24" s="876">
        <v>0.5</v>
      </c>
      <c r="F24" s="879"/>
      <c r="G24" s="880"/>
      <c r="H24" s="872"/>
      <c r="I24" s="872"/>
    </row>
    <row r="25" spans="1:9" s="881" customFormat="1" ht="19.5" customHeight="1">
      <c r="A25" s="3383"/>
      <c r="B25" s="3383"/>
      <c r="C25" s="877" t="s">
        <v>574</v>
      </c>
      <c r="D25" s="878"/>
      <c r="E25" s="876">
        <v>1.1000000000000001</v>
      </c>
      <c r="F25" s="879"/>
      <c r="G25" s="880"/>
      <c r="H25" s="872"/>
      <c r="I25" s="872"/>
    </row>
    <row r="26" spans="1:9" s="881" customFormat="1" ht="19.5" customHeight="1">
      <c r="A26" s="3383"/>
      <c r="B26" s="3383"/>
      <c r="C26" s="877" t="s">
        <v>575</v>
      </c>
      <c r="D26" s="878"/>
      <c r="E26" s="876">
        <v>1.1000000000000001</v>
      </c>
      <c r="F26" s="879"/>
      <c r="G26" s="880"/>
      <c r="H26" s="872"/>
      <c r="I26" s="872"/>
    </row>
    <row r="27" spans="1:9" s="881" customFormat="1" ht="19.5" customHeight="1">
      <c r="A27" s="3383"/>
      <c r="B27" s="3383"/>
      <c r="C27" s="877" t="s">
        <v>576</v>
      </c>
      <c r="D27" s="878"/>
      <c r="E27" s="876">
        <v>0.9</v>
      </c>
      <c r="F27" s="879" t="s">
        <v>577</v>
      </c>
      <c r="G27" s="880"/>
      <c r="H27" s="872"/>
      <c r="I27" s="872"/>
    </row>
    <row r="28" spans="1:9" s="881" customFormat="1" ht="19.5" customHeight="1">
      <c r="A28" s="3383"/>
      <c r="B28" s="3383"/>
      <c r="C28" s="877" t="s">
        <v>578</v>
      </c>
      <c r="D28" s="878"/>
      <c r="E28" s="876">
        <v>0.9</v>
      </c>
      <c r="F28" s="879" t="s">
        <v>579</v>
      </c>
      <c r="G28" s="880"/>
      <c r="H28" s="872"/>
      <c r="I28" s="872"/>
    </row>
    <row r="29" spans="1:9" s="881" customFormat="1" ht="19.5" customHeight="1">
      <c r="A29" s="3383"/>
      <c r="B29" s="3383"/>
      <c r="C29" s="877" t="s">
        <v>580</v>
      </c>
      <c r="D29" s="878"/>
      <c r="E29" s="876">
        <v>0.9</v>
      </c>
      <c r="F29" s="879" t="s">
        <v>581</v>
      </c>
      <c r="G29" s="880"/>
      <c r="H29" s="872"/>
      <c r="I29" s="872"/>
    </row>
    <row r="30" spans="1:9" s="881" customFormat="1" ht="19.5" customHeight="1">
      <c r="A30" s="3383"/>
      <c r="B30" s="3383"/>
      <c r="C30" s="877" t="s">
        <v>582</v>
      </c>
      <c r="D30" s="878"/>
      <c r="E30" s="876">
        <v>0.9</v>
      </c>
      <c r="F30" s="879" t="s">
        <v>583</v>
      </c>
      <c r="G30" s="880"/>
      <c r="H30" s="872"/>
      <c r="I30" s="872"/>
    </row>
    <row r="31" spans="1:9" s="881" customFormat="1" ht="19.5" customHeight="1">
      <c r="A31" s="3383"/>
      <c r="B31" s="3383"/>
      <c r="C31" s="877" t="s">
        <v>584</v>
      </c>
      <c r="D31" s="878"/>
      <c r="E31" s="876">
        <v>0.8</v>
      </c>
      <c r="F31" s="879" t="s">
        <v>585</v>
      </c>
      <c r="G31" s="880"/>
      <c r="H31" s="872"/>
      <c r="I31" s="872"/>
    </row>
    <row r="32" spans="1:9" s="881" customFormat="1" ht="19.5" customHeight="1">
      <c r="A32" s="3383"/>
      <c r="B32" s="3383"/>
      <c r="C32" s="877" t="s">
        <v>586</v>
      </c>
      <c r="D32" s="878"/>
      <c r="E32" s="876">
        <v>0.8</v>
      </c>
      <c r="F32" s="879" t="s">
        <v>587</v>
      </c>
      <c r="G32" s="880"/>
      <c r="H32" s="872"/>
      <c r="I32" s="872"/>
    </row>
    <row r="33" spans="1:9" s="881" customFormat="1" ht="19.5" customHeight="1">
      <c r="A33" s="3383" t="s">
        <v>185</v>
      </c>
      <c r="B33" s="876" t="s">
        <v>560</v>
      </c>
      <c r="C33" s="877" t="s">
        <v>588</v>
      </c>
      <c r="D33" s="878"/>
      <c r="E33" s="876">
        <v>1</v>
      </c>
      <c r="F33" s="879" t="s">
        <v>589</v>
      </c>
      <c r="G33" s="880"/>
      <c r="H33" s="872"/>
      <c r="I33" s="872"/>
    </row>
    <row r="34" spans="1:9" s="881" customFormat="1" ht="19.5" customHeight="1">
      <c r="A34" s="3383"/>
      <c r="B34" s="876" t="s">
        <v>563</v>
      </c>
      <c r="C34" s="877" t="s">
        <v>590</v>
      </c>
      <c r="D34" s="878"/>
      <c r="E34" s="876">
        <v>1.5</v>
      </c>
      <c r="F34" s="879" t="s">
        <v>591</v>
      </c>
      <c r="G34" s="880"/>
      <c r="H34" s="872"/>
      <c r="I34" s="872"/>
    </row>
    <row r="35" spans="1:9" s="881" customFormat="1" ht="19.5" customHeight="1">
      <c r="A35" s="3383" t="s">
        <v>186</v>
      </c>
      <c r="B35" s="876" t="s">
        <v>560</v>
      </c>
      <c r="C35" s="877" t="s">
        <v>592</v>
      </c>
      <c r="D35" s="878"/>
      <c r="E35" s="876">
        <v>1</v>
      </c>
      <c r="F35" s="879" t="s">
        <v>593</v>
      </c>
      <c r="G35" s="880"/>
      <c r="H35" s="872"/>
      <c r="I35" s="872"/>
    </row>
    <row r="36" spans="1:9" s="881" customFormat="1" ht="19.5" customHeight="1">
      <c r="A36" s="3383"/>
      <c r="B36" s="3383" t="s">
        <v>563</v>
      </c>
      <c r="C36" s="877" t="s">
        <v>594</v>
      </c>
      <c r="D36" s="878"/>
      <c r="E36" s="876">
        <v>1</v>
      </c>
      <c r="F36" s="879" t="s">
        <v>595</v>
      </c>
      <c r="G36" s="880"/>
      <c r="H36" s="872"/>
      <c r="I36" s="872"/>
    </row>
    <row r="37" spans="1:9" s="881" customFormat="1" ht="19.5" customHeight="1">
      <c r="A37" s="3383"/>
      <c r="B37" s="3383"/>
      <c r="C37" s="877" t="s">
        <v>596</v>
      </c>
      <c r="D37" s="878"/>
      <c r="E37" s="876">
        <v>1.5</v>
      </c>
      <c r="F37" s="879" t="s">
        <v>597</v>
      </c>
      <c r="G37" s="880"/>
      <c r="H37" s="872"/>
      <c r="I37" s="872"/>
    </row>
    <row r="38" spans="1:9" s="881" customFormat="1" ht="19.5" customHeight="1">
      <c r="A38" s="3383"/>
      <c r="B38" s="3383"/>
      <c r="C38" s="877" t="s">
        <v>598</v>
      </c>
      <c r="D38" s="878"/>
      <c r="E38" s="876">
        <v>1</v>
      </c>
      <c r="F38" s="879" t="s">
        <v>599</v>
      </c>
      <c r="G38" s="880"/>
      <c r="H38" s="872"/>
      <c r="I38" s="872"/>
    </row>
    <row r="39" spans="1:9" s="881" customFormat="1" ht="19.5" customHeight="1">
      <c r="A39" s="3383"/>
      <c r="B39" s="338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83" t="s">
        <v>614</v>
      </c>
      <c r="C61" s="812" t="s">
        <v>615</v>
      </c>
      <c r="D61" s="812" t="s">
        <v>616</v>
      </c>
      <c r="E61" s="889">
        <v>0.5</v>
      </c>
      <c r="F61" s="876">
        <v>80</v>
      </c>
    </row>
    <row r="62" spans="1:8" s="872" customFormat="1" ht="24">
      <c r="A62" s="876">
        <v>2</v>
      </c>
      <c r="B62" s="3383"/>
      <c r="C62" s="812" t="s">
        <v>617</v>
      </c>
      <c r="D62" s="812" t="s">
        <v>618</v>
      </c>
      <c r="E62" s="889">
        <v>0.5</v>
      </c>
      <c r="F62" s="876">
        <v>80</v>
      </c>
    </row>
    <row r="63" spans="1:8" s="872" customFormat="1" ht="36">
      <c r="A63" s="876">
        <v>3</v>
      </c>
      <c r="B63" s="3383"/>
      <c r="C63" s="812" t="s">
        <v>619</v>
      </c>
      <c r="D63" s="812" t="s">
        <v>620</v>
      </c>
      <c r="E63" s="889">
        <v>0.5</v>
      </c>
      <c r="F63" s="876">
        <v>80</v>
      </c>
    </row>
    <row r="64" spans="1:8" s="872" customFormat="1" ht="36">
      <c r="A64" s="876">
        <v>4</v>
      </c>
      <c r="B64" s="3383"/>
      <c r="C64" s="812" t="s">
        <v>621</v>
      </c>
      <c r="D64" s="812" t="s">
        <v>622</v>
      </c>
      <c r="E64" s="889">
        <v>0.4</v>
      </c>
      <c r="F64" s="876">
        <v>60</v>
      </c>
    </row>
    <row r="65" spans="1:6" s="872" customFormat="1" ht="36">
      <c r="A65" s="876">
        <v>5</v>
      </c>
      <c r="B65" s="3383"/>
      <c r="C65" s="812" t="s">
        <v>623</v>
      </c>
      <c r="D65" s="812" t="s">
        <v>624</v>
      </c>
      <c r="E65" s="889">
        <v>0.2</v>
      </c>
      <c r="F65" s="876">
        <v>30</v>
      </c>
    </row>
    <row r="66" spans="1:6" s="872" customFormat="1" ht="36">
      <c r="A66" s="876">
        <v>6</v>
      </c>
      <c r="B66" s="3383"/>
      <c r="C66" s="812" t="s">
        <v>625</v>
      </c>
      <c r="D66" s="812" t="s">
        <v>626</v>
      </c>
      <c r="E66" s="889">
        <v>0.3</v>
      </c>
      <c r="F66" s="876">
        <v>50</v>
      </c>
    </row>
    <row r="67" spans="1:6" s="872" customFormat="1" ht="36">
      <c r="A67" s="876">
        <v>7</v>
      </c>
      <c r="B67" s="3383"/>
      <c r="C67" s="812" t="s">
        <v>627</v>
      </c>
      <c r="D67" s="812" t="s">
        <v>628</v>
      </c>
      <c r="E67" s="889">
        <v>0.2</v>
      </c>
      <c r="F67" s="876">
        <v>30</v>
      </c>
    </row>
    <row r="68" spans="1:6" s="872" customFormat="1" ht="36">
      <c r="A68" s="876">
        <v>8</v>
      </c>
      <c r="B68" s="3383"/>
      <c r="C68" s="812" t="s">
        <v>629</v>
      </c>
      <c r="D68" s="812" t="s">
        <v>630</v>
      </c>
      <c r="E68" s="889">
        <v>0.2</v>
      </c>
      <c r="F68" s="876">
        <v>30</v>
      </c>
    </row>
    <row r="69" spans="1:6" s="872" customFormat="1" ht="36">
      <c r="A69" s="876">
        <v>9</v>
      </c>
      <c r="B69" s="3383"/>
      <c r="C69" s="812" t="s">
        <v>631</v>
      </c>
      <c r="D69" s="812" t="s">
        <v>632</v>
      </c>
      <c r="E69" s="889">
        <v>0.2</v>
      </c>
      <c r="F69" s="876">
        <v>30</v>
      </c>
    </row>
    <row r="70" spans="1:6" s="872" customFormat="1" ht="48">
      <c r="A70" s="876">
        <v>10</v>
      </c>
      <c r="B70" s="3383"/>
      <c r="C70" s="812" t="s">
        <v>633</v>
      </c>
      <c r="D70" s="812" t="s">
        <v>634</v>
      </c>
      <c r="E70" s="889">
        <v>0.2</v>
      </c>
      <c r="F70" s="876">
        <v>30</v>
      </c>
    </row>
    <row r="71" spans="1:6" s="872" customFormat="1" ht="48">
      <c r="A71" s="876">
        <v>11</v>
      </c>
      <c r="B71" s="3383"/>
      <c r="C71" s="812" t="s">
        <v>635</v>
      </c>
      <c r="D71" s="812" t="s">
        <v>636</v>
      </c>
      <c r="E71" s="889">
        <v>0.2</v>
      </c>
      <c r="F71" s="876">
        <v>30</v>
      </c>
    </row>
    <row r="72" spans="1:6" s="872" customFormat="1" ht="36">
      <c r="A72" s="876">
        <v>12</v>
      </c>
      <c r="B72" s="3383"/>
      <c r="C72" s="812" t="s">
        <v>637</v>
      </c>
      <c r="D72" s="812" t="s">
        <v>638</v>
      </c>
      <c r="E72" s="889">
        <v>0.5</v>
      </c>
      <c r="F72" s="876">
        <v>80</v>
      </c>
    </row>
    <row r="73" spans="1:6" s="872" customFormat="1" ht="24">
      <c r="A73" s="876">
        <v>13</v>
      </c>
      <c r="B73" s="3383"/>
      <c r="C73" s="812" t="s">
        <v>639</v>
      </c>
      <c r="D73" s="812" t="s">
        <v>640</v>
      </c>
      <c r="E73" s="889">
        <v>0.4</v>
      </c>
      <c r="F73" s="876">
        <v>60</v>
      </c>
    </row>
    <row r="74" spans="1:6" s="872" customFormat="1" ht="24">
      <c r="A74" s="876">
        <v>14</v>
      </c>
      <c r="B74" s="3383"/>
      <c r="C74" s="812" t="s">
        <v>641</v>
      </c>
      <c r="D74" s="812" t="s">
        <v>642</v>
      </c>
      <c r="E74" s="889">
        <v>0.2</v>
      </c>
      <c r="F74" s="876">
        <v>30</v>
      </c>
    </row>
    <row r="75" spans="1:6" s="872" customFormat="1" ht="24">
      <c r="A75" s="876">
        <v>15</v>
      </c>
      <c r="B75" s="3383"/>
      <c r="C75" s="812" t="s">
        <v>643</v>
      </c>
      <c r="D75" s="812" t="s">
        <v>644</v>
      </c>
      <c r="E75" s="889">
        <v>0.2</v>
      </c>
      <c r="F75" s="876">
        <v>30</v>
      </c>
    </row>
    <row r="76" spans="1:6" s="872" customFormat="1" ht="24">
      <c r="A76" s="876">
        <v>16</v>
      </c>
      <c r="B76" s="3383" t="s">
        <v>645</v>
      </c>
      <c r="C76" s="812" t="s">
        <v>646</v>
      </c>
      <c r="D76" s="812" t="s">
        <v>647</v>
      </c>
      <c r="E76" s="889">
        <v>0.5</v>
      </c>
      <c r="F76" s="876">
        <v>80</v>
      </c>
    </row>
    <row r="77" spans="1:6" s="872" customFormat="1" ht="24">
      <c r="A77" s="876">
        <v>17</v>
      </c>
      <c r="B77" s="3383"/>
      <c r="C77" s="812" t="s">
        <v>648</v>
      </c>
      <c r="D77" s="812" t="s">
        <v>649</v>
      </c>
      <c r="E77" s="889">
        <v>0.5</v>
      </c>
      <c r="F77" s="876">
        <v>80</v>
      </c>
    </row>
    <row r="78" spans="1:6" s="872" customFormat="1" ht="24">
      <c r="A78" s="876">
        <v>18</v>
      </c>
      <c r="B78" s="3383"/>
      <c r="C78" s="812" t="s">
        <v>650</v>
      </c>
      <c r="D78" s="812" t="s">
        <v>651</v>
      </c>
      <c r="E78" s="889">
        <v>0.2</v>
      </c>
      <c r="F78" s="876">
        <v>30</v>
      </c>
    </row>
    <row r="79" spans="1:6" s="872" customFormat="1" ht="24">
      <c r="A79" s="876">
        <v>19</v>
      </c>
      <c r="B79" s="3383"/>
      <c r="C79" s="812" t="s">
        <v>652</v>
      </c>
      <c r="D79" s="812" t="s">
        <v>653</v>
      </c>
      <c r="E79" s="889">
        <v>0.5</v>
      </c>
      <c r="F79" s="876">
        <v>80</v>
      </c>
    </row>
    <row r="80" spans="1:6" s="872" customFormat="1" ht="36">
      <c r="A80" s="876">
        <v>20</v>
      </c>
      <c r="B80" s="3383"/>
      <c r="C80" s="812" t="s">
        <v>654</v>
      </c>
      <c r="D80" s="812" t="s">
        <v>655</v>
      </c>
      <c r="E80" s="889">
        <v>0.2</v>
      </c>
      <c r="F80" s="876">
        <v>30</v>
      </c>
    </row>
    <row r="81" spans="1:6" s="872" customFormat="1" ht="36">
      <c r="A81" s="876">
        <v>21</v>
      </c>
      <c r="B81" s="3383"/>
      <c r="C81" s="812" t="s">
        <v>656</v>
      </c>
      <c r="D81" s="812" t="s">
        <v>657</v>
      </c>
      <c r="E81" s="889">
        <v>0.2</v>
      </c>
      <c r="F81" s="876">
        <v>30</v>
      </c>
    </row>
    <row r="82" spans="1:6" s="872" customFormat="1" ht="48">
      <c r="A82" s="876">
        <v>22</v>
      </c>
      <c r="B82" s="3383"/>
      <c r="C82" s="812" t="s">
        <v>658</v>
      </c>
      <c r="D82" s="812" t="s">
        <v>659</v>
      </c>
      <c r="E82" s="889">
        <v>0.2</v>
      </c>
      <c r="F82" s="876">
        <v>30</v>
      </c>
    </row>
    <row r="83" spans="1:6" s="872" customFormat="1" ht="48">
      <c r="A83" s="876">
        <v>23</v>
      </c>
      <c r="B83" s="3383"/>
      <c r="C83" s="812" t="s">
        <v>660</v>
      </c>
      <c r="D83" s="812" t="s">
        <v>661</v>
      </c>
      <c r="E83" s="889">
        <v>0.2</v>
      </c>
      <c r="F83" s="876">
        <v>30</v>
      </c>
    </row>
    <row r="84" spans="1:6" s="872" customFormat="1" ht="36">
      <c r="A84" s="876">
        <v>24</v>
      </c>
      <c r="B84" s="3383"/>
      <c r="C84" s="812" t="s">
        <v>662</v>
      </c>
      <c r="D84" s="812" t="s">
        <v>663</v>
      </c>
      <c r="E84" s="889">
        <v>0.2</v>
      </c>
      <c r="F84" s="876">
        <v>30</v>
      </c>
    </row>
    <row r="85" spans="1:6" s="872" customFormat="1" ht="36">
      <c r="A85" s="876">
        <v>25</v>
      </c>
      <c r="B85" s="3383"/>
      <c r="C85" s="812" t="s">
        <v>664</v>
      </c>
      <c r="D85" s="812" t="s">
        <v>665</v>
      </c>
      <c r="E85" s="889">
        <v>0.5</v>
      </c>
      <c r="F85" s="876">
        <v>80</v>
      </c>
    </row>
    <row r="86" spans="1:6" s="872" customFormat="1" ht="36">
      <c r="A86" s="876">
        <v>26</v>
      </c>
      <c r="B86" s="3383"/>
      <c r="C86" s="812" t="s">
        <v>666</v>
      </c>
      <c r="D86" s="812" t="s">
        <v>667</v>
      </c>
      <c r="E86" s="889">
        <v>0.2</v>
      </c>
      <c r="F86" s="876">
        <v>30</v>
      </c>
    </row>
    <row r="87" spans="1:6" s="872" customFormat="1" ht="36">
      <c r="A87" s="876">
        <v>27</v>
      </c>
      <c r="B87" s="3383"/>
      <c r="C87" s="812" t="s">
        <v>668</v>
      </c>
      <c r="D87" s="812" t="s">
        <v>669</v>
      </c>
      <c r="E87" s="889">
        <v>0.2</v>
      </c>
      <c r="F87" s="876">
        <v>30</v>
      </c>
    </row>
    <row r="88" spans="1:6" s="872" customFormat="1" ht="36">
      <c r="A88" s="876">
        <v>28</v>
      </c>
      <c r="B88" s="3383"/>
      <c r="C88" s="812" t="s">
        <v>670</v>
      </c>
      <c r="D88" s="812" t="s">
        <v>671</v>
      </c>
      <c r="E88" s="889">
        <v>0.2</v>
      </c>
      <c r="F88" s="876">
        <v>30</v>
      </c>
    </row>
    <row r="89" spans="1:6" s="872" customFormat="1" ht="24">
      <c r="A89" s="876">
        <v>29</v>
      </c>
      <c r="B89" s="3383"/>
      <c r="C89" s="812" t="s">
        <v>672</v>
      </c>
      <c r="D89" s="812" t="s">
        <v>673</v>
      </c>
      <c r="E89" s="889">
        <v>0.2</v>
      </c>
      <c r="F89" s="876">
        <v>30</v>
      </c>
    </row>
    <row r="90" spans="1:6" s="872" customFormat="1" ht="24">
      <c r="A90" s="876">
        <v>30</v>
      </c>
      <c r="B90" s="3383"/>
      <c r="C90" s="812" t="s">
        <v>674</v>
      </c>
      <c r="D90" s="812" t="s">
        <v>675</v>
      </c>
      <c r="E90" s="889">
        <v>0.2</v>
      </c>
      <c r="F90" s="876">
        <v>30</v>
      </c>
    </row>
    <row r="91" spans="1:6" s="872" customFormat="1" ht="36">
      <c r="A91" s="876">
        <v>31</v>
      </c>
      <c r="B91" s="3383"/>
      <c r="C91" s="812" t="s">
        <v>676</v>
      </c>
      <c r="D91" s="812" t="s">
        <v>677</v>
      </c>
      <c r="E91" s="889">
        <v>0.2</v>
      </c>
      <c r="F91" s="876">
        <v>30</v>
      </c>
    </row>
    <row r="92" spans="1:6" s="872" customFormat="1" ht="24">
      <c r="A92" s="876">
        <v>32</v>
      </c>
      <c r="B92" s="3383" t="s">
        <v>678</v>
      </c>
      <c r="C92" s="876" t="s">
        <v>679</v>
      </c>
      <c r="D92" s="812" t="s">
        <v>680</v>
      </c>
      <c r="E92" s="889">
        <v>0.2</v>
      </c>
      <c r="F92" s="876">
        <v>30</v>
      </c>
    </row>
    <row r="93" spans="1:6" s="872" customFormat="1" ht="36">
      <c r="A93" s="876">
        <v>33</v>
      </c>
      <c r="B93" s="3383"/>
      <c r="C93" s="876" t="s">
        <v>681</v>
      </c>
      <c r="D93" s="812" t="s">
        <v>682</v>
      </c>
      <c r="E93" s="889">
        <v>0.2</v>
      </c>
      <c r="F93" s="876">
        <v>30</v>
      </c>
    </row>
    <row r="94" spans="1:6" s="872" customFormat="1" ht="48">
      <c r="A94" s="876">
        <v>34</v>
      </c>
      <c r="B94" s="3383"/>
      <c r="C94" s="876" t="s">
        <v>683</v>
      </c>
      <c r="D94" s="812" t="s">
        <v>684</v>
      </c>
      <c r="E94" s="889">
        <v>0.2</v>
      </c>
      <c r="F94" s="876">
        <v>30</v>
      </c>
    </row>
    <row r="95" spans="1:6" s="872" customFormat="1" ht="36">
      <c r="A95" s="876">
        <v>35</v>
      </c>
      <c r="B95" s="3383"/>
      <c r="C95" s="876" t="s">
        <v>685</v>
      </c>
      <c r="D95" s="812" t="s">
        <v>686</v>
      </c>
      <c r="E95" s="889">
        <v>0.2</v>
      </c>
      <c r="F95" s="876">
        <v>30</v>
      </c>
    </row>
    <row r="96" spans="1:6" s="872" customFormat="1" ht="48">
      <c r="A96" s="876">
        <v>36</v>
      </c>
      <c r="B96" s="3383"/>
      <c r="C96" s="812" t="s">
        <v>687</v>
      </c>
      <c r="D96" s="812" t="s">
        <v>688</v>
      </c>
      <c r="E96" s="889">
        <v>0.2</v>
      </c>
      <c r="F96" s="876">
        <v>30</v>
      </c>
    </row>
    <row r="97" spans="1:6" s="872" customFormat="1" ht="36">
      <c r="A97" s="876">
        <v>37</v>
      </c>
      <c r="B97" s="3383"/>
      <c r="C97" s="876" t="s">
        <v>689</v>
      </c>
      <c r="D97" s="812" t="s">
        <v>690</v>
      </c>
      <c r="E97" s="889">
        <v>0.2</v>
      </c>
      <c r="F97" s="876">
        <v>30</v>
      </c>
    </row>
    <row r="98" spans="1:6" s="872" customFormat="1" ht="36">
      <c r="A98" s="876">
        <v>38</v>
      </c>
      <c r="B98" s="3383"/>
      <c r="C98" s="876" t="s">
        <v>691</v>
      </c>
      <c r="D98" s="812" t="s">
        <v>692</v>
      </c>
      <c r="E98" s="889">
        <v>0.2</v>
      </c>
      <c r="F98" s="876">
        <v>30</v>
      </c>
    </row>
    <row r="99" spans="1:6" s="872" customFormat="1" ht="36">
      <c r="A99" s="876">
        <v>39</v>
      </c>
      <c r="B99" s="3383" t="s">
        <v>693</v>
      </c>
      <c r="C99" s="876" t="s">
        <v>694</v>
      </c>
      <c r="D99" s="812" t="s">
        <v>695</v>
      </c>
      <c r="E99" s="889">
        <v>0.3</v>
      </c>
      <c r="F99" s="876">
        <v>50</v>
      </c>
    </row>
    <row r="100" spans="1:6" s="872" customFormat="1" ht="24">
      <c r="A100" s="876">
        <v>40</v>
      </c>
      <c r="B100" s="3383"/>
      <c r="C100" s="876" t="s">
        <v>696</v>
      </c>
      <c r="D100" s="812" t="s">
        <v>697</v>
      </c>
      <c r="E100" s="889">
        <v>0.2</v>
      </c>
      <c r="F100" s="876">
        <v>30</v>
      </c>
    </row>
    <row r="101" spans="1:6" s="872" customFormat="1" ht="36">
      <c r="A101" s="876">
        <v>41</v>
      </c>
      <c r="B101" s="338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83" t="s">
        <v>708</v>
      </c>
      <c r="C105" s="876" t="s">
        <v>709</v>
      </c>
      <c r="D105" s="812" t="s">
        <v>710</v>
      </c>
      <c r="E105" s="889">
        <v>0.2</v>
      </c>
      <c r="F105" s="876">
        <v>30</v>
      </c>
    </row>
    <row r="106" spans="1:6" s="872" customFormat="1" ht="36">
      <c r="A106" s="876">
        <v>46</v>
      </c>
      <c r="B106" s="3383"/>
      <c r="C106" s="876" t="s">
        <v>711</v>
      </c>
      <c r="D106" s="812" t="s">
        <v>712</v>
      </c>
      <c r="E106" s="889">
        <v>0.2</v>
      </c>
      <c r="F106" s="876">
        <v>30</v>
      </c>
    </row>
    <row r="107" spans="1:6" s="872" customFormat="1" ht="36">
      <c r="A107" s="876">
        <v>47</v>
      </c>
      <c r="B107" s="3383" t="s">
        <v>713</v>
      </c>
      <c r="C107" s="876" t="s">
        <v>714</v>
      </c>
      <c r="D107" s="812" t="s">
        <v>715</v>
      </c>
      <c r="E107" s="889">
        <v>0.3</v>
      </c>
      <c r="F107" s="876">
        <v>50</v>
      </c>
    </row>
    <row r="108" spans="1:6" s="872" customFormat="1" ht="36">
      <c r="A108" s="876">
        <v>48</v>
      </c>
      <c r="B108" s="338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83" t="s">
        <v>724</v>
      </c>
      <c r="C111" s="876" t="s">
        <v>725</v>
      </c>
      <c r="D111" s="812" t="s">
        <v>726</v>
      </c>
      <c r="E111" s="889">
        <v>0.2</v>
      </c>
      <c r="F111" s="876">
        <v>30</v>
      </c>
    </row>
    <row r="112" spans="1:6" s="872" customFormat="1" ht="24">
      <c r="A112" s="876">
        <v>52</v>
      </c>
      <c r="B112" s="3383"/>
      <c r="C112" s="876" t="s">
        <v>727</v>
      </c>
      <c r="D112" s="812" t="s">
        <v>728</v>
      </c>
      <c r="E112" s="889">
        <v>0.2</v>
      </c>
      <c r="F112" s="876">
        <v>30</v>
      </c>
    </row>
    <row r="113" spans="1:6" s="872" customFormat="1" ht="24">
      <c r="A113" s="876">
        <v>53</v>
      </c>
      <c r="B113" s="338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83" t="s">
        <v>737</v>
      </c>
      <c r="C116" s="876" t="s">
        <v>738</v>
      </c>
      <c r="D116" s="812" t="s">
        <v>739</v>
      </c>
      <c r="E116" s="889">
        <v>0.2</v>
      </c>
      <c r="F116" s="876">
        <v>30</v>
      </c>
    </row>
    <row r="117" spans="1:6" ht="36">
      <c r="A117" s="876">
        <v>57</v>
      </c>
      <c r="B117" s="338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955"/>
      <c r="B4" s="3077" t="s">
        <v>1630</v>
      </c>
      <c r="C4" s="3077"/>
      <c r="D4" s="3077"/>
      <c r="E4" s="1955"/>
    </row>
    <row r="5" spans="1:5" ht="16.5" thickTop="1">
      <c r="A5" s="1953"/>
      <c r="B5" s="3075" t="s">
        <v>1622</v>
      </c>
      <c r="C5" s="1956" t="s">
        <v>1623</v>
      </c>
      <c r="D5" s="1037">
        <f ca="1">结果表!H101</f>
        <v>13233</v>
      </c>
      <c r="E5" s="1953"/>
    </row>
    <row r="6" spans="1:5" ht="15.75">
      <c r="A6" s="1953"/>
      <c r="B6" s="3075"/>
      <c r="C6" s="1956" t="s">
        <v>1624</v>
      </c>
      <c r="D6" s="1037" t="str">
        <f ca="1">NUMBERSTRING(INT(D5*10000),2)&amp;"元整"</f>
        <v>壹亿叁仟贰佰叁拾叁万元整</v>
      </c>
      <c r="E6" s="1953"/>
    </row>
    <row r="7" spans="1:5" ht="15.75">
      <c r="A7" s="1953"/>
      <c r="B7" s="3080"/>
      <c r="C7" s="1957" t="s">
        <v>1625</v>
      </c>
      <c r="D7" s="1038">
        <f ca="1">结果表!H102</f>
        <v>2062</v>
      </c>
      <c r="E7" s="1953"/>
    </row>
    <row r="8" spans="1:5" ht="15.75">
      <c r="A8" s="1953"/>
      <c r="B8" s="3081" t="str">
        <f>结果表!E103</f>
        <v>2.估价师知悉的法定优先受偿款</v>
      </c>
      <c r="C8" s="1958" t="s">
        <v>1626</v>
      </c>
      <c r="D8" s="1038">
        <f>结果表!H103</f>
        <v>0</v>
      </c>
      <c r="E8" s="1953"/>
    </row>
    <row r="9" spans="1:5" ht="15.75">
      <c r="A9" s="1953"/>
      <c r="B9" s="3083"/>
      <c r="C9" s="1956" t="s">
        <v>1624</v>
      </c>
      <c r="D9" s="1037" t="str">
        <f>NUMBERSTRING(INT(D8*10000),2)&amp;"元整"</f>
        <v>零元整</v>
      </c>
      <c r="E9" s="1953"/>
    </row>
    <row r="10" spans="1:5" ht="15">
      <c r="A10" s="1953"/>
      <c r="B10" s="1959" t="s">
        <v>1629</v>
      </c>
      <c r="C10" s="1960" t="s">
        <v>1627</v>
      </c>
      <c r="D10" s="1039">
        <f>结果表!H104</f>
        <v>0</v>
      </c>
      <c r="E10" s="1953"/>
    </row>
    <row r="11" spans="1:5" ht="15">
      <c r="A11" s="1953"/>
      <c r="B11" s="1959" t="s">
        <v>1631</v>
      </c>
      <c r="C11" s="1960" t="s">
        <v>1632</v>
      </c>
      <c r="D11" s="1039">
        <f>结果表!H105</f>
        <v>0</v>
      </c>
      <c r="E11" s="1953"/>
    </row>
    <row r="12" spans="1:5" ht="15">
      <c r="A12" s="1953"/>
      <c r="B12" s="1959" t="s">
        <v>1633</v>
      </c>
      <c r="C12" s="1960" t="s">
        <v>1632</v>
      </c>
      <c r="D12" s="1039">
        <f>结果表!H106</f>
        <v>0</v>
      </c>
      <c r="E12" s="1953"/>
    </row>
    <row r="13" spans="1:5" ht="15.75">
      <c r="A13" s="1953"/>
      <c r="B13" s="3074" t="str">
        <f>结果表!E107</f>
        <v>3.房地产抵押价值</v>
      </c>
      <c r="C13" s="1961" t="s">
        <v>1623</v>
      </c>
      <c r="D13" s="1040">
        <f ca="1">结果表!H107</f>
        <v>13233</v>
      </c>
      <c r="E13" s="1953"/>
    </row>
    <row r="14" spans="1:5" ht="15.75">
      <c r="A14" s="1953"/>
      <c r="B14" s="3075"/>
      <c r="C14" s="1956" t="s">
        <v>1624</v>
      </c>
      <c r="D14" s="1037" t="str">
        <f ca="1">NUMBERSTRING(INT(D13*10000),2)&amp;"元整"</f>
        <v>壹亿叁仟贰佰叁拾叁万元整</v>
      </c>
      <c r="E14" s="1953"/>
    </row>
    <row r="15" spans="1:5" ht="15">
      <c r="A15" s="1953"/>
      <c r="B15" s="3080"/>
      <c r="C15" s="1957" t="s">
        <v>1634</v>
      </c>
      <c r="D15" s="1049">
        <f ca="1">结果表!H108</f>
        <v>2062</v>
      </c>
      <c r="E15" s="1953"/>
    </row>
    <row r="16" spans="1:5" ht="15">
      <c r="A16" s="1953"/>
      <c r="B16" s="3081" t="str">
        <f>结果表!E109</f>
        <v>——</v>
      </c>
      <c r="C16" s="1961" t="s">
        <v>1635</v>
      </c>
      <c r="D16" s="1962" t="str">
        <f>结果表!H109</f>
        <v>——</v>
      </c>
      <c r="E16" s="1953"/>
    </row>
    <row r="17" spans="1:5" ht="15.75">
      <c r="A17" s="1953"/>
      <c r="B17" s="3082"/>
      <c r="C17" s="1956" t="s">
        <v>1636</v>
      </c>
      <c r="D17" s="1037" t="e">
        <f>NUMBERSTRING(INT(D16*10000),2)&amp;"元整"</f>
        <v>#VALUE!</v>
      </c>
      <c r="E17" s="1953"/>
    </row>
    <row r="18" spans="1:5" ht="15">
      <c r="A18" s="1953"/>
      <c r="B18" s="3083"/>
      <c r="C18" s="1957" t="s">
        <v>1625</v>
      </c>
      <c r="D18" s="1049" t="str">
        <f>结果表!H110</f>
        <v>——</v>
      </c>
      <c r="E18" s="1953"/>
    </row>
    <row r="19" spans="1:5" ht="15.75">
      <c r="A19" s="1953"/>
      <c r="B19" s="3074" t="str">
        <f>结果表!E111</f>
        <v>——</v>
      </c>
      <c r="C19" s="1961" t="s">
        <v>1623</v>
      </c>
      <c r="D19" s="1038" t="str">
        <f>结果表!H111</f>
        <v>——</v>
      </c>
      <c r="E19" s="1953"/>
    </row>
    <row r="20" spans="1:5" ht="15.75">
      <c r="A20" s="1953"/>
      <c r="B20" s="3075"/>
      <c r="C20" s="1956" t="s">
        <v>1636</v>
      </c>
      <c r="D20" s="1037" t="e">
        <f>NUMBERSTRING(INT(D19*10000),2)&amp;"元整"</f>
        <v>#VALUE!</v>
      </c>
      <c r="E20" s="1953"/>
    </row>
    <row r="21" spans="1:5" ht="15.75" thickBot="1">
      <c r="A21" s="1953"/>
      <c r="B21" s="3076"/>
      <c r="C21" s="1963" t="s">
        <v>1634</v>
      </c>
      <c r="D21" s="1050"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46" t="s">
        <v>2989</v>
      </c>
    </row>
    <row r="2" spans="1:5" ht="15.75">
      <c r="A2" s="2895" t="s">
        <v>2981</v>
      </c>
      <c r="B2" s="2896" t="e">
        <f ca="1">SUMIF(B6:B13,"&lt;&gt;#ref!",B6:B13)</f>
        <v>#DIV/0!</v>
      </c>
      <c r="C2" s="2895" t="s">
        <v>2982</v>
      </c>
      <c r="D2" s="2895" t="s">
        <v>2983</v>
      </c>
      <c r="E2" s="2896" t="e">
        <f ca="1">SUM(E6:E13)</f>
        <v>#REF!</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0">
        <f ca="1">SUMIF(INDIRECT("'"&amp;A6&amp;"'"&amp;"!C:C"),"建筑面积",INDIRECT("'"&amp;A6&amp;"'"&amp;"!D:D"))</f>
        <v>0</v>
      </c>
    </row>
    <row r="7" spans="1:5" ht="15.75">
      <c r="A7" s="2900"/>
      <c r="B7" s="2896" t="e">
        <f ca="1">SUMIF(INDIRECT("'"&amp;A7&amp;"'"&amp;"!A:A"),"总价",INDIRECT("'"&amp;A7&amp;"'"&amp;"!B:B"))</f>
        <v>#REF!</v>
      </c>
      <c r="C7" s="2895" t="s">
        <v>2982</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0" t="e">
        <f t="shared" ca="1" si="0"/>
        <v>#REF!</v>
      </c>
    </row>
    <row r="9" spans="1:5" ht="15.75">
      <c r="A9" s="2900"/>
      <c r="B9" s="2896" t="e">
        <f t="shared" ca="1" si="1"/>
        <v>#REF!</v>
      </c>
      <c r="C9" s="2895" t="s">
        <v>2982</v>
      </c>
      <c r="D9" s="2897"/>
      <c r="E9" s="2560" t="e">
        <f t="shared" ca="1" si="0"/>
        <v>#REF!</v>
      </c>
    </row>
    <row r="10" spans="1:5" ht="15.75">
      <c r="A10" s="2900"/>
      <c r="B10" s="2896" t="e">
        <f t="shared" ca="1" si="1"/>
        <v>#REF!</v>
      </c>
      <c r="C10" s="2895" t="s">
        <v>2982</v>
      </c>
      <c r="D10" s="2897"/>
      <c r="E10" s="2560" t="e">
        <f t="shared" ca="1" si="0"/>
        <v>#REF!</v>
      </c>
    </row>
    <row r="11" spans="1:5" ht="15.75">
      <c r="A11" s="2900"/>
      <c r="B11" s="2896" t="e">
        <f t="shared" ca="1" si="1"/>
        <v>#REF!</v>
      </c>
      <c r="C11" s="2895" t="s">
        <v>2982</v>
      </c>
      <c r="D11" s="2897"/>
      <c r="E11" s="2560" t="e">
        <f t="shared" ca="1" si="0"/>
        <v>#REF!</v>
      </c>
    </row>
    <row r="12" spans="1:5" ht="15.75">
      <c r="A12" s="2900"/>
      <c r="B12" s="2896" t="e">
        <f t="shared" ca="1" si="1"/>
        <v>#REF!</v>
      </c>
      <c r="C12" s="2895" t="s">
        <v>2982</v>
      </c>
      <c r="D12" s="2897"/>
      <c r="E12" s="2560" t="e">
        <f t="shared" ca="1" si="0"/>
        <v>#REF!</v>
      </c>
    </row>
    <row r="13" spans="1:5" ht="15.75">
      <c r="A13" s="2900"/>
      <c r="B13" s="2896" t="e">
        <f t="shared" ca="1" si="1"/>
        <v>#REF!</v>
      </c>
      <c r="C13" s="2895" t="s">
        <v>2982</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89" t="s">
        <v>1150</v>
      </c>
      <c r="C1" s="3389"/>
      <c r="D1" s="3389"/>
      <c r="E1" s="3389"/>
      <c r="F1" s="3389"/>
      <c r="G1" s="3388" t="s">
        <v>1151</v>
      </c>
      <c r="H1" s="3388"/>
      <c r="I1" s="3388"/>
      <c r="J1" s="3388"/>
      <c r="K1" s="3388"/>
      <c r="L1" s="3388"/>
      <c r="N1" s="3388" t="s">
        <v>1152</v>
      </c>
      <c r="O1" s="3388"/>
      <c r="P1" s="3388"/>
      <c r="Q1" s="3388"/>
      <c r="R1" s="1441"/>
      <c r="S1" s="3388" t="s">
        <v>1153</v>
      </c>
      <c r="T1" s="3388"/>
      <c r="U1" s="3388"/>
      <c r="V1" s="3388"/>
      <c r="X1" s="3387" t="s">
        <v>1154</v>
      </c>
      <c r="Y1" s="3388"/>
      <c r="Z1" s="3388"/>
      <c r="AA1" s="3388"/>
      <c r="AB1" s="3388"/>
      <c r="AD1" s="3387" t="s">
        <v>1155</v>
      </c>
      <c r="AE1" s="3388"/>
      <c r="AF1" s="3388"/>
      <c r="AG1" s="3388"/>
      <c r="AH1" s="3388"/>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4" customFormat="1" ht="14.25">
      <c r="A3" s="2923" t="s">
        <v>3020</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3019</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2">
        <f t="shared" ref="N5:N10" si="7">I5/100</f>
        <v>0</v>
      </c>
      <c r="O5" s="1462">
        <f t="shared" ref="O5" si="8">J5/100</f>
        <v>0</v>
      </c>
      <c r="P5" s="1462">
        <f t="shared" ref="P5" si="9">K5/100</f>
        <v>0</v>
      </c>
      <c r="Q5" s="1462">
        <f t="shared" ref="Q5" si="10">L5/100</f>
        <v>0</v>
      </c>
      <c r="R5" s="1726"/>
      <c r="S5" s="1727"/>
      <c r="T5" s="1726"/>
      <c r="U5" s="1726"/>
      <c r="V5" s="1726"/>
      <c r="W5" s="2913" t="s">
        <v>3021</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3016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1">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3017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07"/>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06"/>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07"/>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90">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85"/>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85"/>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86"/>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84">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85"/>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85"/>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86"/>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84">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85"/>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85"/>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86"/>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6" t="s">
        <v>1163</v>
      </c>
      <c r="B22" s="1464">
        <v>299</v>
      </c>
      <c r="C22" s="1464">
        <v>252</v>
      </c>
      <c r="D22" s="1464">
        <f t="shared" si="35"/>
        <v>252</v>
      </c>
      <c r="E22" s="1464">
        <v>409</v>
      </c>
      <c r="F22" s="1465">
        <v>227</v>
      </c>
      <c r="G22" s="3391">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92"/>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92"/>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93"/>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84">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85"/>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85"/>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86"/>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84">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85">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85">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86">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84">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85">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85">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86">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84">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85">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85">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86">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84">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85">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85">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86">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84">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85">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85">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86">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84">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85">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85">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86">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84">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85">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85">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86">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84">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85">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85">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86">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84">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85">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85">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86">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84">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85">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85">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86">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24098</v>
      </c>
      <c r="C2" s="2" t="s">
        <v>133</v>
      </c>
      <c r="D2" s="241"/>
      <c r="E2" s="241"/>
      <c r="F2" s="241"/>
      <c r="G2" s="241"/>
    </row>
    <row r="3" spans="1:7" s="242" customFormat="1" ht="18" customHeight="1" thickBot="1">
      <c r="A3" s="245" t="s">
        <v>85</v>
      </c>
      <c r="B3" s="246">
        <f ca="1">ROUND(B2*10000/'数据-汇总表'!E3,0)</f>
        <v>3756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639</v>
      </c>
      <c r="D9" s="1029">
        <f>'数据-汇总表'!E5</f>
        <v>49166.119999999995</v>
      </c>
      <c r="E9" s="267">
        <f>'数据-取费表'!B27</f>
        <v>130</v>
      </c>
      <c r="F9" s="263"/>
      <c r="G9" s="268"/>
    </row>
    <row r="10" spans="1:7" s="256" customFormat="1" ht="13.5" customHeight="1">
      <c r="A10" s="947" t="s">
        <v>801</v>
      </c>
      <c r="B10" s="266" t="s">
        <v>94</v>
      </c>
      <c r="C10" s="267">
        <f>ROUND(D10*E10/10000,0)</f>
        <v>195</v>
      </c>
      <c r="D10" s="1029">
        <f>'数据-汇总表'!E6</f>
        <v>14999.510000000002</v>
      </c>
      <c r="E10" s="267">
        <f>'数据-取费表'!B28</f>
        <v>130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1283</v>
      </c>
      <c r="D19" s="1033">
        <f>'数据-汇总表'!E3</f>
        <v>64165.63</v>
      </c>
      <c r="E19" s="253">
        <f>'数据-取费表'!B31</f>
        <v>200</v>
      </c>
      <c r="F19" s="273"/>
      <c r="G19" s="1" t="s">
        <v>1074</v>
      </c>
    </row>
    <row r="20" spans="1:7" s="256" customFormat="1" ht="13.5" customHeight="1">
      <c r="A20" s="945" t="s">
        <v>1057</v>
      </c>
      <c r="B20" s="252" t="s">
        <v>104</v>
      </c>
      <c r="C20" s="274">
        <f>ROUND((C5+C19)*F20,0)</f>
        <v>438</v>
      </c>
      <c r="D20" s="274"/>
      <c r="E20" s="274"/>
      <c r="F20" s="275">
        <f>'数据-取费表'!B37</f>
        <v>0.02</v>
      </c>
      <c r="G20" s="1284"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49">
        <f ca="1">ROUND(SUM(C23:C25),0)</f>
        <v>0</v>
      </c>
      <c r="D22" s="277">
        <f ca="1">C26</f>
        <v>0</v>
      </c>
      <c r="E22" s="278" t="s">
        <v>126</v>
      </c>
      <c r="F22" s="279">
        <f ca="1">'数据-取费表'!B40</f>
        <v>4.7500000000000001E-2</v>
      </c>
      <c r="G22" s="1284" t="str">
        <f>IF('数据-取费表'!B22&lt;=1,"单利计息","复利计息")</f>
        <v>复利计息</v>
      </c>
    </row>
    <row r="23" spans="1:7" s="256" customFormat="1" ht="13.5" customHeight="1">
      <c r="A23" s="948" t="s">
        <v>794</v>
      </c>
      <c r="B23" s="257" t="s">
        <v>1061</v>
      </c>
      <c r="C23" s="1350">
        <f ca="1">ROUND(IF('数据-取费表'!B22&lt;=1,C5*F22*'数据-取费表'!B23,C5*(POWER((1+F22),'数据-取费表'!B23)-1)),0)</f>
        <v>0</v>
      </c>
      <c r="D23" s="280"/>
      <c r="E23" s="280"/>
      <c r="F23" s="281"/>
      <c r="G23" s="282" t="s">
        <v>108</v>
      </c>
    </row>
    <row r="24" spans="1:7" s="256" customFormat="1" ht="13.5" customHeight="1">
      <c r="A24" s="948" t="s">
        <v>792</v>
      </c>
      <c r="B24" s="257" t="s">
        <v>1056</v>
      </c>
      <c r="C24" s="1350">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0">
        <f ca="1">ROUND(IF('数据-取费表'!B22&lt;=1,C20*F22*'数据-取费表'!B23/2,C20*(POWER((1+F22),'数据-取费表'!B23/2)-1)),0)</f>
        <v>0</v>
      </c>
      <c r="D25" s="280"/>
      <c r="E25" s="283"/>
      <c r="F25" s="281"/>
      <c r="G25" s="284" t="s">
        <v>110</v>
      </c>
    </row>
    <row r="26" spans="1:7" s="256" customFormat="1">
      <c r="A26" s="948" t="s">
        <v>795</v>
      </c>
      <c r="B26" s="257" t="s">
        <v>1060</v>
      </c>
      <c r="C26" s="280">
        <f ca="1">ROUND(IF('数据-取费表'!B22&lt;=1,F21*F22*'数据-取费表'!B23/2,F21*(POWER((1+F22),'数据-取费表'!B23/2)-1)),4)</f>
        <v>0</v>
      </c>
      <c r="D26" s="280"/>
      <c r="E26" s="283"/>
      <c r="F26" s="281"/>
      <c r="G26" s="285"/>
    </row>
    <row r="27" spans="1:7" s="256" customFormat="1" ht="24.75">
      <c r="A27" s="945" t="s">
        <v>787</v>
      </c>
      <c r="B27" s="286" t="s">
        <v>112</v>
      </c>
      <c r="C27" s="287">
        <f>C28</f>
        <v>0</v>
      </c>
      <c r="D27" s="277">
        <f>C29</f>
        <v>0</v>
      </c>
      <c r="E27" s="278" t="s">
        <v>126</v>
      </c>
      <c r="F27" s="288">
        <f>'数据-取费表'!Q16</f>
        <v>0.21</v>
      </c>
      <c r="G27" s="289" t="s">
        <v>1069</v>
      </c>
    </row>
    <row r="28" spans="1:7" s="256" customFormat="1" ht="13.5" customHeight="1">
      <c r="A28" s="948" t="s">
        <v>794</v>
      </c>
      <c r="B28" s="290" t="s">
        <v>1062</v>
      </c>
      <c r="C28" s="291">
        <f>ROUND((C5+C19+C20)*F27*'数据-取费表'!B21/'数据-取费表'!B20,0)</f>
        <v>0</v>
      </c>
      <c r="D28" s="277"/>
      <c r="E28" s="278"/>
      <c r="F28" s="288"/>
      <c r="G28" s="289"/>
    </row>
    <row r="29" spans="1:7" s="256" customFormat="1" ht="13.5" customHeight="1">
      <c r="A29" s="948" t="s">
        <v>792</v>
      </c>
      <c r="B29" s="290" t="s">
        <v>1063</v>
      </c>
      <c r="C29" s="280">
        <f>ROUND(C21*F27*'数据-取费表'!B21/'数据-取费表'!B20,4)</f>
        <v>0</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24098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8" t="s">
        <v>796</v>
      </c>
      <c r="B35" s="257" t="s">
        <v>60</v>
      </c>
      <c r="C35" s="262">
        <f>ROUND(C34*F35,0)</f>
        <v>0</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0</v>
      </c>
      <c r="D37" s="259">
        <f>'数据-汇总表'!E3</f>
        <v>64165.63</v>
      </c>
      <c r="E37" s="291">
        <f>'数据-取费表'!B35</f>
        <v>200</v>
      </c>
      <c r="F37" s="301"/>
      <c r="G37" s="303" t="s">
        <v>119</v>
      </c>
    </row>
    <row r="38" spans="1:7" ht="13.5" customHeight="1">
      <c r="A38" s="948" t="s">
        <v>799</v>
      </c>
      <c r="B38" s="257" t="s">
        <v>63</v>
      </c>
      <c r="C38" s="262">
        <f>ROUND(C34*F38,0)</f>
        <v>0</v>
      </c>
      <c r="D38" s="262"/>
      <c r="E38" s="262"/>
      <c r="F38" s="301">
        <f>'数据-取费表'!B36</f>
        <v>1.4999999999999999E-2</v>
      </c>
      <c r="G38" s="261" t="s">
        <v>117</v>
      </c>
    </row>
    <row r="39" spans="1:7" s="256" customFormat="1" ht="13.5" customHeight="1">
      <c r="A39" s="945" t="s">
        <v>783</v>
      </c>
      <c r="B39" s="252" t="s">
        <v>104</v>
      </c>
      <c r="C39" s="274">
        <f>ROUND(C33*F20,0)</f>
        <v>0</v>
      </c>
      <c r="D39" s="274"/>
      <c r="E39" s="274"/>
      <c r="F39" s="275"/>
      <c r="G39" s="1284"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0</v>
      </c>
      <c r="D41" s="277">
        <f ca="1">C44</f>
        <v>0</v>
      </c>
      <c r="E41" s="278" t="s">
        <v>129</v>
      </c>
      <c r="F41" s="279"/>
      <c r="G41" s="1284" t="str">
        <f>IF('数据-取费表'!B22&lt;=1,"单利计息","复利计息")</f>
        <v>复利计息</v>
      </c>
    </row>
    <row r="42" spans="1:7" ht="13.5" customHeight="1">
      <c r="A42" s="948" t="s">
        <v>794</v>
      </c>
      <c r="B42" s="257" t="s">
        <v>1061</v>
      </c>
      <c r="C42" s="280">
        <f ca="1">ROUND(IF('数据-取费表'!B22&lt;=1,C33*F22*'数据-取费表'!B21/2,C33*(POWER((1+F22),'数据-取费表'!B21/2)-1)),0)</f>
        <v>0</v>
      </c>
      <c r="D42" s="280"/>
      <c r="E42" s="280"/>
      <c r="F42" s="281"/>
      <c r="G42" s="3259" t="s">
        <v>121</v>
      </c>
    </row>
    <row r="43" spans="1:7" ht="13.5" customHeight="1">
      <c r="A43" s="948" t="s">
        <v>792</v>
      </c>
      <c r="B43" s="257" t="s">
        <v>1064</v>
      </c>
      <c r="C43" s="280">
        <f ca="1">ROUND(IF('数据-取费表'!B22&lt;=1,C39*F22*'数据-取费表'!B21/2,C39*(POWER((1+F22),'数据-取费表'!B21/2)-1)),0)</f>
        <v>0</v>
      </c>
      <c r="D43" s="280"/>
      <c r="E43" s="280"/>
      <c r="F43" s="281"/>
      <c r="G43" s="3260"/>
    </row>
    <row r="44" spans="1:7" ht="13.5" customHeight="1">
      <c r="A44" s="948" t="s">
        <v>793</v>
      </c>
      <c r="B44" s="257" t="s">
        <v>1066</v>
      </c>
      <c r="C44" s="280">
        <f ca="1">ROUND(IF('数据-取费表'!B22&lt;=1,C40*F22*'数据-取费表'!B21/2,C40*(POWER((1+F22),'数据-取费表'!B21/2)-1)),4)</f>
        <v>0</v>
      </c>
      <c r="D44" s="280"/>
      <c r="E44" s="280"/>
      <c r="F44" s="281"/>
      <c r="G44" s="3261"/>
    </row>
    <row r="45" spans="1:7" s="256" customFormat="1" ht="13.5" customHeight="1">
      <c r="A45" s="945" t="s">
        <v>786</v>
      </c>
      <c r="B45" s="286" t="s">
        <v>112</v>
      </c>
      <c r="C45" s="287">
        <f>C46</f>
        <v>0</v>
      </c>
      <c r="D45" s="277">
        <f>C47</f>
        <v>4.1999999999999997E-3</v>
      </c>
      <c r="E45" s="278" t="s">
        <v>129</v>
      </c>
      <c r="F45" s="288"/>
      <c r="G45" s="289" t="s">
        <v>1072</v>
      </c>
    </row>
    <row r="46" spans="1:7" s="256" customFormat="1" ht="13.5" customHeight="1">
      <c r="A46" s="948" t="s">
        <v>794</v>
      </c>
      <c r="B46" s="290" t="s">
        <v>1065</v>
      </c>
      <c r="C46" s="291">
        <f>ROUND((C33+C39)*F27,0)</f>
        <v>0</v>
      </c>
      <c r="D46" s="305"/>
      <c r="E46" s="278"/>
      <c r="F46" s="288"/>
      <c r="G46" s="289"/>
    </row>
    <row r="47" spans="1:7" s="256" customFormat="1" ht="13.5" customHeight="1">
      <c r="A47" s="948" t="s">
        <v>792</v>
      </c>
      <c r="B47" s="290" t="s">
        <v>1067</v>
      </c>
      <c r="C47" s="280">
        <f>ROUND(C40*F27,4)</f>
        <v>4.1999999999999997E-3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0</v>
      </c>
      <c r="D49" s="274"/>
      <c r="E49" s="274"/>
      <c r="F49" s="306"/>
      <c r="G49" s="276" t="s">
        <v>1073</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0</v>
      </c>
      <c r="D51" s="274"/>
      <c r="E51" s="274"/>
      <c r="F51" s="306"/>
      <c r="G51" s="276" t="s">
        <v>64</v>
      </c>
    </row>
    <row r="52" spans="1:7" s="250" customFormat="1" ht="16.5" thickBot="1">
      <c r="A52" s="307" t="s">
        <v>65</v>
      </c>
      <c r="B52" s="308"/>
      <c r="C52" s="309">
        <f ca="1">C31+C51</f>
        <v>24098</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94" t="s">
        <v>156</v>
      </c>
      <c r="B1" s="3394"/>
      <c r="C1" s="3394"/>
      <c r="D1" s="3394"/>
      <c r="E1" s="3394"/>
      <c r="F1" s="339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95" t="s">
        <v>169</v>
      </c>
      <c r="B2" s="3395"/>
      <c r="C2" s="3395"/>
      <c r="D2" s="3395"/>
      <c r="E2" s="3395"/>
      <c r="F2" s="339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9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9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94" t="s">
        <v>871</v>
      </c>
      <c r="B1" s="339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43207</v>
      </c>
      <c r="D1" s="1694" t="s">
        <v>1301</v>
      </c>
      <c r="E1" s="1689">
        <f>'数据-取费表'!B22</f>
        <v>2</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0"/>
    <col min="46" max="16384" width="9" style="137"/>
  </cols>
  <sheetData>
    <row r="1" spans="1:45" ht="14.25" customHeight="1" thickBot="1">
      <c r="A1" s="153"/>
      <c r="B1" s="1201" t="s">
        <v>2991</v>
      </c>
      <c r="C1" s="3399" t="s">
        <v>2992</v>
      </c>
      <c r="D1" s="3400"/>
      <c r="E1" s="3400"/>
      <c r="F1" s="3400"/>
      <c r="G1" s="3400"/>
      <c r="H1" s="3400"/>
      <c r="I1" s="3400"/>
      <c r="J1" s="3400"/>
      <c r="K1" s="3400"/>
      <c r="L1" s="3400"/>
      <c r="M1" s="3400"/>
      <c r="N1" s="3400"/>
      <c r="O1" s="3400"/>
      <c r="P1" s="3400"/>
      <c r="Q1" s="3400"/>
      <c r="R1" s="3400"/>
      <c r="S1" s="3401"/>
      <c r="T1" s="1201" t="s">
        <v>2993</v>
      </c>
    </row>
    <row r="2" spans="1:45" s="704" customFormat="1" ht="38.25">
      <c r="A2" s="1202"/>
      <c r="B2" s="700" t="s">
        <v>2994</v>
      </c>
      <c r="C2" s="701" t="str">
        <f t="shared" ref="C2:L2" si="0">C3&amp;"(含)"&amp;"-"&amp;D3</f>
        <v>0(含)-100</v>
      </c>
      <c r="D2" s="702" t="str">
        <f t="shared" si="0"/>
        <v>100(含)-200</v>
      </c>
      <c r="E2" s="702" t="str">
        <f t="shared" si="0"/>
        <v>200(含)-300</v>
      </c>
      <c r="F2" s="702" t="str">
        <f t="shared" si="0"/>
        <v>300(含)-400</v>
      </c>
      <c r="G2" s="702" t="str">
        <f t="shared" si="0"/>
        <v>400(含)-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ht="14.25">
      <c r="A3" s="1204"/>
      <c r="B3" s="705"/>
      <c r="C3" s="592">
        <v>0</v>
      </c>
      <c r="D3" s="592">
        <v>100</v>
      </c>
      <c r="E3" s="592">
        <v>200</v>
      </c>
      <c r="F3" s="592">
        <v>300</v>
      </c>
      <c r="G3" s="592">
        <v>400</v>
      </c>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5" thickBot="1">
      <c r="A4" s="1205"/>
      <c r="B4" s="1206"/>
      <c r="C4" s="557">
        <v>100</v>
      </c>
      <c r="D4" s="533">
        <v>99</v>
      </c>
      <c r="E4" s="533">
        <v>98</v>
      </c>
      <c r="F4" s="557">
        <v>97</v>
      </c>
      <c r="G4" s="533">
        <v>96</v>
      </c>
      <c r="H4" s="1702"/>
      <c r="I4" s="1702"/>
      <c r="J4" s="1702"/>
      <c r="K4" s="1702"/>
      <c r="L4" s="1702"/>
      <c r="M4" s="1703"/>
      <c r="N4" s="1703"/>
      <c r="O4" s="1702"/>
      <c r="P4" s="1702"/>
      <c r="Q4" s="1702"/>
      <c r="R4" s="1702"/>
      <c r="S4" s="1704"/>
      <c r="T4" s="1211"/>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4.25" thickTop="1">
      <c r="A5" s="1212"/>
      <c r="B5" s="3048" t="s">
        <v>3523</v>
      </c>
      <c r="C5" s="2940" t="s">
        <v>3476</v>
      </c>
      <c r="D5" s="2940" t="s">
        <v>3477</v>
      </c>
      <c r="E5" s="2940" t="s">
        <v>3478</v>
      </c>
      <c r="F5" s="3047" t="s">
        <v>3479</v>
      </c>
      <c r="G5" s="2940" t="s">
        <v>3480</v>
      </c>
      <c r="H5" s="1705"/>
      <c r="I5" s="1705"/>
      <c r="J5" s="1705"/>
      <c r="K5" s="1705"/>
      <c r="L5" s="1706"/>
      <c r="M5" s="1707"/>
      <c r="N5" s="1707"/>
      <c r="O5" s="1705"/>
      <c r="P5" s="1705"/>
      <c r="Q5" s="1705"/>
      <c r="R5" s="1705"/>
      <c r="S5" s="1708"/>
      <c r="T5" s="1216">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2"/>
      <c r="B6" s="1113"/>
      <c r="C6" s="1119">
        <v>100</v>
      </c>
      <c r="D6" s="1116">
        <f>C6-$T5</f>
        <v>98</v>
      </c>
      <c r="E6" s="1116">
        <f t="shared" ref="E6:S6" si="7">D6-$T5</f>
        <v>96</v>
      </c>
      <c r="F6" s="1709">
        <f t="shared" si="7"/>
        <v>94</v>
      </c>
      <c r="G6" s="1709">
        <f t="shared" si="7"/>
        <v>92</v>
      </c>
      <c r="H6" s="1709">
        <f t="shared" si="7"/>
        <v>90</v>
      </c>
      <c r="I6" s="1709">
        <f t="shared" si="7"/>
        <v>88</v>
      </c>
      <c r="J6" s="1709">
        <f t="shared" si="7"/>
        <v>86</v>
      </c>
      <c r="K6" s="1709">
        <f t="shared" si="7"/>
        <v>84</v>
      </c>
      <c r="L6" s="1709">
        <f t="shared" si="7"/>
        <v>82</v>
      </c>
      <c r="M6" s="1709">
        <f t="shared" si="7"/>
        <v>80</v>
      </c>
      <c r="N6" s="1709">
        <f t="shared" si="7"/>
        <v>78</v>
      </c>
      <c r="O6" s="1709">
        <f t="shared" si="7"/>
        <v>76</v>
      </c>
      <c r="P6" s="1709">
        <f t="shared" si="7"/>
        <v>74</v>
      </c>
      <c r="Q6" s="1709">
        <f t="shared" si="7"/>
        <v>72</v>
      </c>
      <c r="R6" s="1709">
        <f t="shared" si="7"/>
        <v>70</v>
      </c>
      <c r="S6" s="1709">
        <f t="shared" si="7"/>
        <v>68</v>
      </c>
      <c r="T6" s="1115"/>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ht="14.25" thickTop="1">
      <c r="A7" s="1212"/>
      <c r="B7" s="3049" t="s">
        <v>3524</v>
      </c>
      <c r="C7" s="2940" t="s">
        <v>3476</v>
      </c>
      <c r="D7" s="2940" t="s">
        <v>3477</v>
      </c>
      <c r="E7" s="2940" t="s">
        <v>3478</v>
      </c>
      <c r="F7" s="3047" t="s">
        <v>3479</v>
      </c>
      <c r="G7" s="2940" t="s">
        <v>3480</v>
      </c>
      <c r="H7" s="1710"/>
      <c r="I7" s="1710"/>
      <c r="J7" s="1710"/>
      <c r="K7" s="1710"/>
      <c r="L7" s="1710"/>
      <c r="M7" s="1711"/>
      <c r="N7" s="1712"/>
      <c r="O7" s="1713"/>
      <c r="P7" s="1714"/>
      <c r="Q7" s="1715"/>
      <c r="R7" s="1716"/>
      <c r="S7" s="1717"/>
      <c r="T7" s="708">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2"/>
      <c r="B8" s="1113"/>
      <c r="C8" s="1119">
        <v>100</v>
      </c>
      <c r="D8" s="1116">
        <f>C8-$T7</f>
        <v>98</v>
      </c>
      <c r="E8" s="1116">
        <f t="shared" ref="E8:S8" si="8">D8-$T7</f>
        <v>96</v>
      </c>
      <c r="F8" s="1709">
        <f t="shared" si="8"/>
        <v>94</v>
      </c>
      <c r="G8" s="1709">
        <f t="shared" si="8"/>
        <v>92</v>
      </c>
      <c r="H8" s="1709">
        <f t="shared" si="8"/>
        <v>90</v>
      </c>
      <c r="I8" s="1709">
        <f t="shared" si="8"/>
        <v>88</v>
      </c>
      <c r="J8" s="1709">
        <f t="shared" si="8"/>
        <v>86</v>
      </c>
      <c r="K8" s="1709">
        <f t="shared" si="8"/>
        <v>84</v>
      </c>
      <c r="L8" s="1709">
        <f t="shared" si="8"/>
        <v>82</v>
      </c>
      <c r="M8" s="1709">
        <f t="shared" si="8"/>
        <v>80</v>
      </c>
      <c r="N8" s="1709">
        <f t="shared" si="8"/>
        <v>78</v>
      </c>
      <c r="O8" s="1709">
        <f t="shared" si="8"/>
        <v>76</v>
      </c>
      <c r="P8" s="1709">
        <f t="shared" si="8"/>
        <v>74</v>
      </c>
      <c r="Q8" s="1709">
        <f t="shared" si="8"/>
        <v>72</v>
      </c>
      <c r="R8" s="1709">
        <f t="shared" si="8"/>
        <v>70</v>
      </c>
      <c r="S8" s="1709">
        <f t="shared" si="8"/>
        <v>68</v>
      </c>
      <c r="T8" s="1115"/>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2"/>
      <c r="B9" s="1764" t="s">
        <v>2995</v>
      </c>
      <c r="C9" s="1118"/>
      <c r="D9" s="1112"/>
      <c r="E9" s="1112"/>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2"/>
      <c r="B10" s="1206"/>
      <c r="C10" s="1217">
        <v>100</v>
      </c>
      <c r="D10" s="1218">
        <f>C10-$T9</f>
        <v>100</v>
      </c>
      <c r="E10" s="1218">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1"/>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2"/>
      <c r="B11" s="1763" t="s">
        <v>2996</v>
      </c>
      <c r="C11" s="1213"/>
      <c r="D11" s="1214"/>
      <c r="E11" s="1214"/>
      <c r="F11" s="1214"/>
      <c r="G11" s="1214"/>
      <c r="H11" s="1214"/>
      <c r="I11" s="1214"/>
      <c r="J11" s="1214"/>
      <c r="K11" s="1214"/>
      <c r="L11" s="1214"/>
      <c r="M11" s="1215"/>
      <c r="N11" s="1219"/>
      <c r="O11" s="1220"/>
      <c r="P11" s="1221"/>
      <c r="Q11" s="1222"/>
      <c r="R11" s="1223"/>
      <c r="S11" s="1224"/>
      <c r="T11" s="1216"/>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2"/>
      <c r="B13" s="1763" t="s">
        <v>2997</v>
      </c>
      <c r="C13" s="1213"/>
      <c r="D13" s="1214"/>
      <c r="E13" s="1214"/>
      <c r="F13" s="1214"/>
      <c r="G13" s="1214"/>
      <c r="H13" s="1214"/>
      <c r="I13" s="1214"/>
      <c r="J13" s="1214"/>
      <c r="K13" s="1214"/>
      <c r="L13" s="1214"/>
      <c r="M13" s="1215"/>
      <c r="N13" s="1219"/>
      <c r="O13" s="1220"/>
      <c r="P13" s="1221"/>
      <c r="Q13" s="1222"/>
      <c r="R13" s="1223"/>
      <c r="S13" s="1224"/>
      <c r="T13" s="1225"/>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2"/>
      <c r="B15" s="1763" t="s">
        <v>2998</v>
      </c>
      <c r="C15" s="1213"/>
      <c r="D15" s="1214"/>
      <c r="E15" s="1214"/>
      <c r="F15" s="1214"/>
      <c r="G15" s="1214"/>
      <c r="H15" s="1214"/>
      <c r="I15" s="1214"/>
      <c r="J15" s="1214"/>
      <c r="K15" s="1214"/>
      <c r="L15" s="1214"/>
      <c r="M15" s="1215"/>
      <c r="N15" s="1219"/>
      <c r="O15" s="1220"/>
      <c r="P15" s="1221"/>
      <c r="Q15" s="1222"/>
      <c r="R15" s="1223"/>
      <c r="S15" s="1224"/>
      <c r="T15" s="1225"/>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4" customFormat="1" ht="42" thickTop="1">
      <c r="A17" s="2901" t="s">
        <v>2999</v>
      </c>
      <c r="B17" s="2902" t="s">
        <v>3000</v>
      </c>
      <c r="C17" s="551" t="s">
        <v>3481</v>
      </c>
      <c r="D17" s="551" t="s">
        <v>3516</v>
      </c>
      <c r="E17" s="551" t="s">
        <v>3482</v>
      </c>
      <c r="F17" s="551" t="s">
        <v>3483</v>
      </c>
      <c r="G17" s="551" t="s">
        <v>3484</v>
      </c>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1"/>
      <c r="AS17" s="791"/>
    </row>
    <row r="18" spans="1:45" s="704" customFormat="1" ht="15" thickBot="1">
      <c r="A18" s="1237"/>
      <c r="B18" s="1238"/>
      <c r="C18" s="533">
        <v>100</v>
      </c>
      <c r="D18" s="533">
        <v>90</v>
      </c>
      <c r="E18" s="533">
        <v>75</v>
      </c>
      <c r="F18" s="533">
        <v>65</v>
      </c>
      <c r="G18" s="533">
        <v>55</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6"/>
      <c r="B19" s="166"/>
      <c r="C19" s="166"/>
      <c r="D19" s="2903" t="s">
        <v>3001</v>
      </c>
      <c r="E19" s="1786"/>
      <c r="F19" s="1786"/>
      <c r="G19" s="1786"/>
      <c r="H19" s="1275"/>
      <c r="I19" s="166"/>
      <c r="J19" s="166"/>
      <c r="K19" s="166"/>
      <c r="L19" s="166"/>
      <c r="M19" s="166"/>
      <c r="N19" s="166"/>
      <c r="O19" s="166"/>
      <c r="P19" s="166"/>
      <c r="Q19" s="166"/>
      <c r="R19" s="783"/>
      <c r="S19" s="136"/>
    </row>
    <row r="20" spans="1:45" ht="16.5" thickBot="1">
      <c r="A20" s="710" t="s">
        <v>3002</v>
      </c>
      <c r="B20" s="336">
        <f ca="1">IF(D20="——",S22,S22-F20)</f>
        <v>10824</v>
      </c>
      <c r="C20" s="166"/>
      <c r="D20" s="2904" t="s">
        <v>70</v>
      </c>
      <c r="E20" s="1787"/>
      <c r="F20" s="1201" t="e">
        <f ca="1">SUMIF(INDIRECT("'"&amp;H20&amp;"'"&amp;"!A:A"),"承租人权益价值",INDIRECT("'"&amp;H20&amp;"'"&amp;"!c:c"))</f>
        <v>#N/A</v>
      </c>
      <c r="G20" s="1201" t="s">
        <v>3003</v>
      </c>
      <c r="H20" s="2905" t="s">
        <v>3119</v>
      </c>
      <c r="I20" s="166"/>
      <c r="J20" s="166"/>
      <c r="K20" s="166"/>
      <c r="L20" s="166"/>
      <c r="M20" s="166"/>
      <c r="N20" s="166"/>
      <c r="O20" s="166"/>
      <c r="P20" s="166"/>
      <c r="Q20" s="166"/>
      <c r="R20" s="783"/>
      <c r="S20" s="136"/>
    </row>
    <row r="21" spans="1:45" ht="15.75">
      <c r="A21" s="710" t="s">
        <v>3004</v>
      </c>
      <c r="B21" s="336">
        <f ca="1">R22</f>
        <v>2063</v>
      </c>
      <c r="C21" s="166"/>
      <c r="D21" s="166"/>
      <c r="E21" s="166"/>
      <c r="F21" s="166"/>
      <c r="G21" s="166"/>
      <c r="H21" s="166"/>
      <c r="I21" s="166"/>
      <c r="J21" s="166"/>
      <c r="K21" s="166"/>
      <c r="L21" s="166"/>
      <c r="M21" s="166"/>
      <c r="N21" s="166"/>
      <c r="O21" s="166"/>
      <c r="P21" s="166"/>
      <c r="Q21" s="166"/>
      <c r="R21" s="783"/>
      <c r="S21" s="136"/>
    </row>
    <row r="22" spans="1:45">
      <c r="A22" s="359" t="s">
        <v>3005</v>
      </c>
      <c r="B22" s="24">
        <f>SUM(B24:B10000)</f>
        <v>52467.05999999999</v>
      </c>
      <c r="C22" s="3254" t="s">
        <v>33</v>
      </c>
      <c r="D22" s="3255"/>
      <c r="E22" s="3255"/>
      <c r="F22" s="3255"/>
      <c r="G22" s="3255"/>
      <c r="H22" s="3255"/>
      <c r="I22" s="3255"/>
      <c r="J22" s="3255"/>
      <c r="K22" s="3255"/>
      <c r="L22" s="3255"/>
      <c r="M22" s="3255"/>
      <c r="N22" s="3255"/>
      <c r="O22" s="3255"/>
      <c r="P22" s="3255"/>
      <c r="Q22" s="3398"/>
      <c r="R22" s="711">
        <f ca="1">ROUND(S22*10000/B22,0)</f>
        <v>2063</v>
      </c>
      <c r="S22" s="24">
        <f ca="1">SUM(S24:S10000)</f>
        <v>10824</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2" t="s">
        <v>3009</v>
      </c>
      <c r="S23" s="11" t="s">
        <v>3010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59" t="s">
        <v>3122</v>
      </c>
      <c r="B24" s="713">
        <f>'数据-汇总表'!F19</f>
        <v>49166.119999999995</v>
      </c>
      <c r="C24" s="714">
        <v>1</v>
      </c>
      <c r="D24" s="715"/>
      <c r="E24" s="714">
        <v>1</v>
      </c>
      <c r="F24" s="715"/>
      <c r="G24" s="714">
        <v>1</v>
      </c>
      <c r="H24" s="715"/>
      <c r="I24" s="714">
        <v>1</v>
      </c>
      <c r="J24" s="715"/>
      <c r="K24" s="714">
        <v>1</v>
      </c>
      <c r="L24" s="715"/>
      <c r="M24" s="714">
        <v>1</v>
      </c>
      <c r="N24" s="715"/>
      <c r="O24" s="714">
        <v>1</v>
      </c>
      <c r="P24" s="715"/>
      <c r="Q24" s="714">
        <v>1</v>
      </c>
      <c r="R24" s="716">
        <f ca="1">结果表!G20</f>
        <v>2062</v>
      </c>
      <c r="S24" s="714">
        <f t="shared" ref="S24:S54" ca="1" si="11">ROUND(R24*B24/10000,0)</f>
        <v>10138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7">
        <v>9</v>
      </c>
      <c r="B25" s="59">
        <f>Sheet3!I20</f>
        <v>424.85</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 ca="1">IF(B25="",0,ROUND($R$24*C25*E25*G25*I25*K25*M25*O25*Q25,0))</f>
        <v>2062</v>
      </c>
      <c r="S25" s="359">
        <f t="shared" ca="1" si="11"/>
        <v>88</v>
      </c>
    </row>
    <row r="26" spans="1:45">
      <c r="A26" s="157">
        <v>24</v>
      </c>
      <c r="B26" s="59">
        <f>Sheet3!I21</f>
        <v>424.85</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ca="1" si="20">IF(B26="",0,ROUND($R$24*C26*E26*G26*I26*K26*M26*O26*Q26,0))</f>
        <v>2062</v>
      </c>
      <c r="S26" s="359">
        <f t="shared" ca="1" si="11"/>
        <v>88</v>
      </c>
    </row>
    <row r="27" spans="1:45">
      <c r="A27" s="157">
        <v>28</v>
      </c>
      <c r="B27" s="59">
        <f>Sheet3!I22</f>
        <v>343.86</v>
      </c>
      <c r="C27" s="24">
        <f t="shared" si="12"/>
        <v>1.01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ca="1" si="20"/>
        <v>2083</v>
      </c>
      <c r="S27" s="359">
        <f t="shared" ca="1" si="11"/>
        <v>72</v>
      </c>
    </row>
    <row r="28" spans="1:45">
      <c r="A28" s="157">
        <v>36</v>
      </c>
      <c r="B28" s="59">
        <f>Sheet3!I23</f>
        <v>315.01</v>
      </c>
      <c r="C28" s="24">
        <f t="shared" si="12"/>
        <v>1.01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ca="1" si="20"/>
        <v>2083</v>
      </c>
      <c r="S28" s="359">
        <f t="shared" ca="1" si="11"/>
        <v>66</v>
      </c>
    </row>
    <row r="29" spans="1:45">
      <c r="A29" s="157">
        <v>40</v>
      </c>
      <c r="B29" s="59">
        <f>Sheet3!I24</f>
        <v>313.74</v>
      </c>
      <c r="C29" s="24">
        <f t="shared" si="12"/>
        <v>1.01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ca="1" si="20"/>
        <v>2083</v>
      </c>
      <c r="S29" s="359">
        <f t="shared" ca="1" si="11"/>
        <v>65</v>
      </c>
    </row>
    <row r="30" spans="1:45">
      <c r="A30" s="157">
        <v>46</v>
      </c>
      <c r="B30" s="59">
        <f>Sheet3!I25</f>
        <v>424.85</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ca="1" si="20"/>
        <v>2062</v>
      </c>
      <c r="S30" s="359">
        <f t="shared" ca="1" si="11"/>
        <v>88</v>
      </c>
    </row>
    <row r="31" spans="1:45">
      <c r="A31" s="157">
        <v>47</v>
      </c>
      <c r="B31" s="59">
        <f>Sheet3!I26</f>
        <v>424.85</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ca="1" si="20"/>
        <v>2062</v>
      </c>
      <c r="S31" s="359">
        <f t="shared" ca="1" si="11"/>
        <v>88</v>
      </c>
    </row>
    <row r="32" spans="1:45">
      <c r="A32" s="157">
        <v>49</v>
      </c>
      <c r="B32" s="59">
        <f>Sheet3!I27</f>
        <v>312.85000000000002</v>
      </c>
      <c r="C32" s="24">
        <f t="shared" si="12"/>
        <v>1.01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ca="1" si="20"/>
        <v>2083</v>
      </c>
      <c r="S32" s="359">
        <f t="shared" ca="1" si="11"/>
        <v>65</v>
      </c>
    </row>
    <row r="33" spans="1:19">
      <c r="A33" s="157">
        <v>50</v>
      </c>
      <c r="B33" s="59">
        <f>Sheet3!I28</f>
        <v>316.08</v>
      </c>
      <c r="C33" s="24">
        <f t="shared" si="12"/>
        <v>1.01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ca="1" si="20"/>
        <v>2083</v>
      </c>
      <c r="S33" s="359">
        <f t="shared" ca="1" si="11"/>
        <v>66</v>
      </c>
    </row>
    <row r="34" spans="1:19">
      <c r="A34" s="157"/>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9">
        <f t="shared" si="11"/>
        <v>0</v>
      </c>
    </row>
    <row r="35" spans="1:19">
      <c r="A35" s="157"/>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9">
        <f t="shared" si="11"/>
        <v>0</v>
      </c>
    </row>
    <row r="36" spans="1:19">
      <c r="A36" s="157"/>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9">
        <f t="shared" si="11"/>
        <v>0</v>
      </c>
    </row>
    <row r="37" spans="1:19">
      <c r="A37" s="157"/>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9">
        <f t="shared" si="11"/>
        <v>0</v>
      </c>
    </row>
    <row r="38" spans="1:19">
      <c r="A38" s="157"/>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9">
        <f t="shared" si="11"/>
        <v>0</v>
      </c>
    </row>
    <row r="39" spans="1:19">
      <c r="A39" s="157"/>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9">
        <f t="shared" si="11"/>
        <v>0</v>
      </c>
    </row>
    <row r="40" spans="1:19">
      <c r="A40" s="157"/>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9">
        <f t="shared" si="11"/>
        <v>0</v>
      </c>
    </row>
    <row r="41" spans="1:19">
      <c r="A41" s="157"/>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9">
        <f t="shared" si="11"/>
        <v>0</v>
      </c>
    </row>
    <row r="42" spans="1:19">
      <c r="A42" s="157"/>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9">
        <f t="shared" si="11"/>
        <v>0</v>
      </c>
    </row>
    <row r="43" spans="1:19">
      <c r="A43" s="157"/>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9">
        <f t="shared" si="11"/>
        <v>0</v>
      </c>
    </row>
    <row r="44" spans="1:19">
      <c r="A44" s="157"/>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9">
        <f t="shared" si="11"/>
        <v>0</v>
      </c>
    </row>
    <row r="45" spans="1:19">
      <c r="A45" s="157"/>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9">
        <f t="shared" si="11"/>
        <v>0</v>
      </c>
    </row>
    <row r="46" spans="1:19">
      <c r="A46" s="157"/>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9">
        <f t="shared" si="11"/>
        <v>0</v>
      </c>
    </row>
    <row r="47" spans="1:19">
      <c r="A47" s="157"/>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9">
        <f t="shared" si="11"/>
        <v>0</v>
      </c>
    </row>
    <row r="48" spans="1:19">
      <c r="A48" s="157"/>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9">
        <f t="shared" si="11"/>
        <v>0</v>
      </c>
    </row>
    <row r="49" spans="1:19">
      <c r="A49" s="157"/>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9">
        <f t="shared" si="11"/>
        <v>0</v>
      </c>
    </row>
    <row r="50" spans="1:19">
      <c r="A50" s="157"/>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9">
        <f t="shared" si="11"/>
        <v>0</v>
      </c>
    </row>
    <row r="51" spans="1:19">
      <c r="A51" s="157"/>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9">
        <f t="shared" si="11"/>
        <v>0</v>
      </c>
    </row>
    <row r="52" spans="1:19">
      <c r="A52" s="157"/>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9">
        <f t="shared" si="11"/>
        <v>0</v>
      </c>
    </row>
    <row r="53" spans="1:19">
      <c r="A53" s="157"/>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9">
        <f t="shared" si="11"/>
        <v>0</v>
      </c>
    </row>
    <row r="54" spans="1:19">
      <c r="A54" s="157"/>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9">
        <f t="shared" si="11"/>
        <v>0</v>
      </c>
    </row>
    <row r="55" spans="1:19">
      <c r="A55" s="157"/>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9">
        <f t="shared" ref="S55:S77" si="21">ROUND(R55*B55/10000,0)</f>
        <v>0</v>
      </c>
    </row>
    <row r="56" spans="1:19">
      <c r="A56" s="157"/>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9">
        <f t="shared" si="21"/>
        <v>0</v>
      </c>
    </row>
    <row r="57" spans="1:19">
      <c r="A57" s="157"/>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9">
        <f t="shared" si="21"/>
        <v>0</v>
      </c>
    </row>
    <row r="58" spans="1:19">
      <c r="A58" s="157"/>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9">
        <f t="shared" si="21"/>
        <v>0</v>
      </c>
    </row>
    <row r="59" spans="1:19">
      <c r="A59" s="157"/>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9">
        <f t="shared" si="21"/>
        <v>0</v>
      </c>
    </row>
    <row r="60" spans="1:19">
      <c r="A60" s="157"/>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9">
        <f t="shared" si="21"/>
        <v>0</v>
      </c>
    </row>
    <row r="61" spans="1:19">
      <c r="A61" s="157"/>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9">
        <f t="shared" si="21"/>
        <v>0</v>
      </c>
    </row>
    <row r="62" spans="1:19">
      <c r="A62" s="157"/>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9">
        <f t="shared" si="21"/>
        <v>0</v>
      </c>
    </row>
    <row r="63" spans="1:19">
      <c r="A63" s="157"/>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9">
        <f t="shared" si="21"/>
        <v>0</v>
      </c>
    </row>
    <row r="64" spans="1:19">
      <c r="A64" s="157"/>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9">
        <f t="shared" si="21"/>
        <v>0</v>
      </c>
    </row>
    <row r="65" spans="1:19">
      <c r="A65" s="157"/>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9">
        <f t="shared" si="21"/>
        <v>0</v>
      </c>
    </row>
    <row r="66" spans="1:19">
      <c r="A66" s="157"/>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9">
        <f t="shared" si="21"/>
        <v>0</v>
      </c>
    </row>
    <row r="67" spans="1:19">
      <c r="A67" s="157"/>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9">
        <f t="shared" si="21"/>
        <v>0</v>
      </c>
    </row>
    <row r="68" spans="1:19">
      <c r="A68" s="157"/>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9">
        <f t="shared" si="21"/>
        <v>0</v>
      </c>
    </row>
    <row r="69" spans="1:19">
      <c r="A69" s="157"/>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9">
        <f t="shared" si="21"/>
        <v>0</v>
      </c>
    </row>
    <row r="70" spans="1:19">
      <c r="A70" s="157"/>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9">
        <f t="shared" si="21"/>
        <v>0</v>
      </c>
    </row>
    <row r="71" spans="1:19">
      <c r="A71" s="157"/>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9">
        <f t="shared" si="21"/>
        <v>0</v>
      </c>
    </row>
    <row r="72" spans="1:19">
      <c r="A72" s="157"/>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9">
        <f t="shared" si="21"/>
        <v>0</v>
      </c>
    </row>
    <row r="73" spans="1:19">
      <c r="A73" s="157"/>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9">
        <f t="shared" si="21"/>
        <v>0</v>
      </c>
    </row>
    <row r="74" spans="1:19">
      <c r="A74" s="157"/>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9">
        <f t="shared" si="21"/>
        <v>0</v>
      </c>
    </row>
    <row r="75" spans="1:19">
      <c r="A75" s="157"/>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9">
        <f t="shared" si="21"/>
        <v>0</v>
      </c>
    </row>
    <row r="76" spans="1:19">
      <c r="A76" s="157"/>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9">
        <f t="shared" si="21"/>
        <v>0</v>
      </c>
    </row>
    <row r="77" spans="1:19">
      <c r="A77" s="157"/>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9">
        <f t="shared" si="21"/>
        <v>0</v>
      </c>
    </row>
    <row r="78" spans="1:19">
      <c r="A78" s="157"/>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9">
        <f t="shared" ref="S78:S122" si="22">ROUND(R78*B78/10000,0)</f>
        <v>0</v>
      </c>
    </row>
    <row r="79" spans="1:19">
      <c r="A79" s="157"/>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9">
        <f t="shared" si="22"/>
        <v>0</v>
      </c>
    </row>
    <row r="80" spans="1:19">
      <c r="A80" s="157"/>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9">
        <f t="shared" si="22"/>
        <v>0</v>
      </c>
    </row>
    <row r="81" spans="1:19">
      <c r="A81" s="157"/>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9">
        <f t="shared" si="22"/>
        <v>0</v>
      </c>
    </row>
    <row r="82" spans="1:19">
      <c r="A82" s="157"/>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9">
        <f t="shared" si="22"/>
        <v>0</v>
      </c>
    </row>
    <row r="83" spans="1:19">
      <c r="A83" s="157"/>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9">
        <f t="shared" si="22"/>
        <v>0</v>
      </c>
    </row>
    <row r="84" spans="1:19">
      <c r="A84" s="157"/>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9">
        <f t="shared" si="22"/>
        <v>0</v>
      </c>
    </row>
    <row r="85" spans="1:19">
      <c r="A85" s="157"/>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9">
        <f t="shared" si="22"/>
        <v>0</v>
      </c>
    </row>
    <row r="86" spans="1:19">
      <c r="A86" s="157"/>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9">
        <f t="shared" si="22"/>
        <v>0</v>
      </c>
    </row>
    <row r="87" spans="1:19">
      <c r="A87" s="157"/>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9">
        <f t="shared" si="22"/>
        <v>0</v>
      </c>
    </row>
    <row r="88" spans="1:19">
      <c r="A88" s="157"/>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9">
        <f t="shared" si="22"/>
        <v>0</v>
      </c>
    </row>
    <row r="89" spans="1:19">
      <c r="A89" s="157"/>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9">
        <f t="shared" si="22"/>
        <v>0</v>
      </c>
    </row>
    <row r="90" spans="1:19">
      <c r="A90" s="157"/>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9">
        <f t="shared" si="22"/>
        <v>0</v>
      </c>
    </row>
    <row r="91" spans="1:19">
      <c r="A91" s="157"/>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9">
        <f t="shared" si="22"/>
        <v>0</v>
      </c>
    </row>
    <row r="92" spans="1:19">
      <c r="A92" s="157"/>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9">
        <f t="shared" si="22"/>
        <v>0</v>
      </c>
    </row>
    <row r="93" spans="1:19">
      <c r="A93" s="157"/>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9">
        <f t="shared" si="22"/>
        <v>0</v>
      </c>
    </row>
    <row r="94" spans="1:19">
      <c r="A94" s="157"/>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9">
        <f t="shared" si="22"/>
        <v>0</v>
      </c>
    </row>
    <row r="95" spans="1:19">
      <c r="A95" s="157"/>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9">
        <f t="shared" si="22"/>
        <v>0</v>
      </c>
    </row>
    <row r="96" spans="1:19">
      <c r="A96" s="157"/>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9">
        <f t="shared" si="22"/>
        <v>0</v>
      </c>
    </row>
    <row r="97" spans="1:19">
      <c r="A97" s="157"/>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9">
        <f t="shared" si="22"/>
        <v>0</v>
      </c>
    </row>
    <row r="98" spans="1:19">
      <c r="A98" s="157"/>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9">
        <f t="shared" si="22"/>
        <v>0</v>
      </c>
    </row>
    <row r="99" spans="1:19">
      <c r="A99" s="157"/>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9">
        <f t="shared" si="22"/>
        <v>0</v>
      </c>
    </row>
    <row r="100" spans="1:19">
      <c r="A100" s="157"/>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9">
        <f t="shared" si="22"/>
        <v>0</v>
      </c>
    </row>
    <row r="101" spans="1:19">
      <c r="A101" s="157"/>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9">
        <f t="shared" si="22"/>
        <v>0</v>
      </c>
    </row>
    <row r="102" spans="1:19">
      <c r="A102" s="157"/>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9">
        <f t="shared" si="22"/>
        <v>0</v>
      </c>
    </row>
    <row r="103" spans="1:19">
      <c r="A103" s="157"/>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9">
        <f t="shared" si="22"/>
        <v>0</v>
      </c>
    </row>
    <row r="104" spans="1:19">
      <c r="A104" s="157"/>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9">
        <f t="shared" si="22"/>
        <v>0</v>
      </c>
    </row>
    <row r="105" spans="1:19">
      <c r="A105" s="157"/>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9">
        <f t="shared" si="22"/>
        <v>0</v>
      </c>
    </row>
    <row r="106" spans="1:19">
      <c r="A106" s="157"/>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9">
        <f t="shared" si="22"/>
        <v>0</v>
      </c>
    </row>
    <row r="107" spans="1:19">
      <c r="A107" s="157"/>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9">
        <f t="shared" si="22"/>
        <v>0</v>
      </c>
    </row>
    <row r="108" spans="1:19">
      <c r="A108" s="157"/>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9">
        <f t="shared" si="22"/>
        <v>0</v>
      </c>
    </row>
    <row r="109" spans="1:19">
      <c r="A109" s="157"/>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9">
        <f t="shared" si="22"/>
        <v>0</v>
      </c>
    </row>
    <row r="110" spans="1:19">
      <c r="A110" s="157"/>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9">
        <f t="shared" si="22"/>
        <v>0</v>
      </c>
    </row>
    <row r="111" spans="1:19">
      <c r="A111" s="157"/>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9">
        <f t="shared" si="22"/>
        <v>0</v>
      </c>
    </row>
    <row r="112" spans="1:19">
      <c r="A112" s="157"/>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9">
        <f t="shared" si="22"/>
        <v>0</v>
      </c>
    </row>
    <row r="113" spans="1:19">
      <c r="A113" s="157"/>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9">
        <f t="shared" si="22"/>
        <v>0</v>
      </c>
    </row>
    <row r="114" spans="1:19">
      <c r="A114" s="157"/>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9">
        <f t="shared" si="22"/>
        <v>0</v>
      </c>
    </row>
    <row r="115" spans="1:19">
      <c r="A115" s="157"/>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9">
        <f t="shared" si="22"/>
        <v>0</v>
      </c>
    </row>
    <row r="116" spans="1:19">
      <c r="A116" s="157"/>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9">
        <f t="shared" si="22"/>
        <v>0</v>
      </c>
    </row>
    <row r="117" spans="1:19">
      <c r="A117" s="157"/>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9">
        <f t="shared" si="22"/>
        <v>0</v>
      </c>
    </row>
    <row r="118" spans="1:19">
      <c r="A118" s="157"/>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9">
        <f t="shared" si="22"/>
        <v>0</v>
      </c>
    </row>
    <row r="119" spans="1:19">
      <c r="A119" s="157"/>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9">
        <f t="shared" si="22"/>
        <v>0</v>
      </c>
    </row>
    <row r="120" spans="1:19">
      <c r="A120" s="157"/>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9">
        <f t="shared" si="22"/>
        <v>0</v>
      </c>
    </row>
    <row r="121" spans="1:19">
      <c r="A121" s="157"/>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9">
        <f t="shared" si="22"/>
        <v>0</v>
      </c>
    </row>
    <row r="122" spans="1:19">
      <c r="A122" s="157"/>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9">
        <f t="shared" si="22"/>
        <v>0</v>
      </c>
    </row>
    <row r="123" spans="1:19">
      <c r="A123" s="157"/>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9">
        <f t="shared" ref="S123:S186" si="32">ROUND(R123*B123/10000,0)</f>
        <v>0</v>
      </c>
    </row>
    <row r="124" spans="1:19">
      <c r="A124" s="157"/>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9">
        <f t="shared" si="32"/>
        <v>0</v>
      </c>
    </row>
    <row r="125" spans="1:19">
      <c r="A125" s="157"/>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9">
        <f t="shared" si="32"/>
        <v>0</v>
      </c>
    </row>
    <row r="126" spans="1:19">
      <c r="A126" s="157"/>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9">
        <f t="shared" si="32"/>
        <v>0</v>
      </c>
    </row>
    <row r="127" spans="1:19">
      <c r="A127" s="157"/>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9">
        <f t="shared" si="32"/>
        <v>0</v>
      </c>
    </row>
    <row r="128" spans="1:19">
      <c r="A128" s="157"/>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9">
        <f t="shared" si="32"/>
        <v>0</v>
      </c>
    </row>
    <row r="129" spans="1:19">
      <c r="A129" s="157"/>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9">
        <f t="shared" si="32"/>
        <v>0</v>
      </c>
    </row>
    <row r="130" spans="1:19">
      <c r="A130" s="157"/>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9">
        <f t="shared" si="32"/>
        <v>0</v>
      </c>
    </row>
    <row r="131" spans="1:19">
      <c r="A131" s="157"/>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9">
        <f t="shared" si="32"/>
        <v>0</v>
      </c>
    </row>
    <row r="132" spans="1:19">
      <c r="A132" s="157"/>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9">
        <f t="shared" si="32"/>
        <v>0</v>
      </c>
    </row>
    <row r="133" spans="1:19">
      <c r="A133" s="157"/>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9">
        <f t="shared" si="32"/>
        <v>0</v>
      </c>
    </row>
    <row r="134" spans="1:19">
      <c r="A134" s="157"/>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9">
        <f t="shared" si="32"/>
        <v>0</v>
      </c>
    </row>
    <row r="135" spans="1:19">
      <c r="A135" s="157"/>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9">
        <f t="shared" si="32"/>
        <v>0</v>
      </c>
    </row>
    <row r="136" spans="1:19">
      <c r="A136" s="157"/>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9">
        <f t="shared" si="32"/>
        <v>0</v>
      </c>
    </row>
    <row r="137" spans="1:19">
      <c r="A137" s="157"/>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9">
        <f t="shared" si="32"/>
        <v>0</v>
      </c>
    </row>
    <row r="138" spans="1:19">
      <c r="A138" s="157"/>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9">
        <f t="shared" si="32"/>
        <v>0</v>
      </c>
    </row>
    <row r="139" spans="1:19">
      <c r="A139" s="157"/>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9">
        <f t="shared" si="32"/>
        <v>0</v>
      </c>
    </row>
    <row r="140" spans="1:19">
      <c r="A140" s="157"/>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9">
        <f t="shared" si="32"/>
        <v>0</v>
      </c>
    </row>
    <row r="141" spans="1:19">
      <c r="A141" s="157"/>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9">
        <f t="shared" si="32"/>
        <v>0</v>
      </c>
    </row>
    <row r="142" spans="1:19">
      <c r="A142" s="157"/>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9">
        <f t="shared" si="32"/>
        <v>0</v>
      </c>
    </row>
    <row r="143" spans="1:19">
      <c r="A143" s="157"/>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9">
        <f t="shared" si="32"/>
        <v>0</v>
      </c>
    </row>
    <row r="144" spans="1:19">
      <c r="A144" s="157"/>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9">
        <f t="shared" si="32"/>
        <v>0</v>
      </c>
    </row>
    <row r="145" spans="1:19">
      <c r="A145" s="157"/>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9">
        <f t="shared" si="32"/>
        <v>0</v>
      </c>
    </row>
    <row r="146" spans="1:19">
      <c r="A146" s="157"/>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9">
        <f t="shared" si="32"/>
        <v>0</v>
      </c>
    </row>
    <row r="147" spans="1:19">
      <c r="A147" s="157"/>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9">
        <f t="shared" si="32"/>
        <v>0</v>
      </c>
    </row>
    <row r="148" spans="1:19">
      <c r="A148" s="157"/>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9">
        <f t="shared" si="32"/>
        <v>0</v>
      </c>
    </row>
    <row r="149" spans="1:19">
      <c r="A149" s="157"/>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9">
        <f t="shared" si="32"/>
        <v>0</v>
      </c>
    </row>
    <row r="150" spans="1:19">
      <c r="A150" s="157"/>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9">
        <f t="shared" si="32"/>
        <v>0</v>
      </c>
    </row>
    <row r="151" spans="1:19">
      <c r="A151" s="157"/>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9">
        <f t="shared" si="32"/>
        <v>0</v>
      </c>
    </row>
    <row r="152" spans="1:19">
      <c r="A152" s="157"/>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9">
        <f t="shared" si="32"/>
        <v>0</v>
      </c>
    </row>
    <row r="153" spans="1:19">
      <c r="A153" s="157"/>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9">
        <f t="shared" si="32"/>
        <v>0</v>
      </c>
    </row>
    <row r="154" spans="1:19">
      <c r="A154" s="157"/>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9">
        <f t="shared" si="32"/>
        <v>0</v>
      </c>
    </row>
    <row r="155" spans="1:19">
      <c r="A155" s="157"/>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9">
        <f t="shared" si="32"/>
        <v>0</v>
      </c>
    </row>
    <row r="156" spans="1:19">
      <c r="A156" s="157"/>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9">
        <f t="shared" si="32"/>
        <v>0</v>
      </c>
    </row>
    <row r="157" spans="1:19">
      <c r="A157" s="157"/>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9">
        <f t="shared" si="32"/>
        <v>0</v>
      </c>
    </row>
    <row r="158" spans="1:19">
      <c r="A158" s="157"/>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9">
        <f t="shared" si="32"/>
        <v>0</v>
      </c>
    </row>
    <row r="159" spans="1:19">
      <c r="A159" s="157"/>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9">
        <f t="shared" si="32"/>
        <v>0</v>
      </c>
    </row>
    <row r="160" spans="1:19">
      <c r="A160" s="157"/>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9">
        <f t="shared" si="32"/>
        <v>0</v>
      </c>
    </row>
    <row r="161" spans="1:19">
      <c r="A161" s="157"/>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9">
        <f t="shared" si="32"/>
        <v>0</v>
      </c>
    </row>
    <row r="162" spans="1:19">
      <c r="A162" s="157"/>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9">
        <f t="shared" si="32"/>
        <v>0</v>
      </c>
    </row>
    <row r="163" spans="1:19">
      <c r="A163" s="157"/>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9">
        <f t="shared" si="32"/>
        <v>0</v>
      </c>
    </row>
    <row r="164" spans="1:19">
      <c r="A164" s="157"/>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9">
        <f t="shared" si="32"/>
        <v>0</v>
      </c>
    </row>
    <row r="165" spans="1:19">
      <c r="A165" s="157"/>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9">
        <f t="shared" si="32"/>
        <v>0</v>
      </c>
    </row>
    <row r="166" spans="1:19">
      <c r="A166" s="157"/>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9">
        <f t="shared" si="32"/>
        <v>0</v>
      </c>
    </row>
    <row r="167" spans="1:19">
      <c r="A167" s="157"/>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9">
        <f t="shared" si="32"/>
        <v>0</v>
      </c>
    </row>
    <row r="168" spans="1:19">
      <c r="A168" s="157"/>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9">
        <f t="shared" si="32"/>
        <v>0</v>
      </c>
    </row>
    <row r="169" spans="1:19">
      <c r="A169" s="157"/>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9">
        <f t="shared" si="32"/>
        <v>0</v>
      </c>
    </row>
    <row r="170" spans="1:19">
      <c r="A170" s="157"/>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9">
        <f t="shared" si="32"/>
        <v>0</v>
      </c>
    </row>
    <row r="171" spans="1:19">
      <c r="A171" s="157"/>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9">
        <f t="shared" si="32"/>
        <v>0</v>
      </c>
    </row>
    <row r="172" spans="1:19">
      <c r="A172" s="157"/>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9">
        <f t="shared" si="32"/>
        <v>0</v>
      </c>
    </row>
    <row r="173" spans="1:19">
      <c r="A173" s="157"/>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9">
        <f t="shared" si="32"/>
        <v>0</v>
      </c>
    </row>
    <row r="174" spans="1:19">
      <c r="A174" s="157"/>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9">
        <f t="shared" si="32"/>
        <v>0</v>
      </c>
    </row>
    <row r="175" spans="1:19">
      <c r="A175" s="157"/>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9">
        <f t="shared" si="32"/>
        <v>0</v>
      </c>
    </row>
    <row r="176" spans="1:19">
      <c r="A176" s="157"/>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9">
        <f t="shared" si="32"/>
        <v>0</v>
      </c>
    </row>
    <row r="177" spans="1:19">
      <c r="A177" s="157"/>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9">
        <f t="shared" si="32"/>
        <v>0</v>
      </c>
    </row>
    <row r="178" spans="1:19">
      <c r="A178" s="157"/>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9">
        <f t="shared" si="32"/>
        <v>0</v>
      </c>
    </row>
    <row r="179" spans="1:19">
      <c r="A179" s="157"/>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9">
        <f t="shared" si="32"/>
        <v>0</v>
      </c>
    </row>
    <row r="180" spans="1:19">
      <c r="A180" s="157"/>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9">
        <f t="shared" si="32"/>
        <v>0</v>
      </c>
    </row>
    <row r="181" spans="1:19">
      <c r="A181" s="157"/>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9">
        <f t="shared" si="32"/>
        <v>0</v>
      </c>
    </row>
    <row r="182" spans="1:19">
      <c r="A182" s="157"/>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9">
        <f t="shared" si="32"/>
        <v>0</v>
      </c>
    </row>
    <row r="183" spans="1:19">
      <c r="A183" s="157"/>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9">
        <f t="shared" si="32"/>
        <v>0</v>
      </c>
    </row>
    <row r="184" spans="1:19">
      <c r="A184" s="157"/>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9">
        <f t="shared" si="32"/>
        <v>0</v>
      </c>
    </row>
    <row r="185" spans="1:19">
      <c r="A185" s="157"/>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9">
        <f t="shared" si="32"/>
        <v>0</v>
      </c>
    </row>
    <row r="186" spans="1:19">
      <c r="A186" s="157"/>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9">
        <f t="shared" si="32"/>
        <v>0</v>
      </c>
    </row>
    <row r="187" spans="1:19">
      <c r="A187" s="157"/>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9">
        <f t="shared" ref="S187:S222" si="42">ROUND(R187*B187/10000,0)</f>
        <v>0</v>
      </c>
    </row>
    <row r="188" spans="1:19">
      <c r="A188" s="157"/>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9">
        <f t="shared" si="42"/>
        <v>0</v>
      </c>
    </row>
    <row r="189" spans="1:19">
      <c r="A189" s="157"/>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9">
        <f t="shared" si="42"/>
        <v>0</v>
      </c>
    </row>
    <row r="190" spans="1:19">
      <c r="A190" s="157"/>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9">
        <f t="shared" si="42"/>
        <v>0</v>
      </c>
    </row>
    <row r="191" spans="1:19">
      <c r="A191" s="157"/>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9">
        <f t="shared" si="42"/>
        <v>0</v>
      </c>
    </row>
    <row r="192" spans="1:19">
      <c r="A192" s="157"/>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9">
        <f t="shared" si="42"/>
        <v>0</v>
      </c>
    </row>
    <row r="193" spans="1:19">
      <c r="A193" s="157"/>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9">
        <f t="shared" si="42"/>
        <v>0</v>
      </c>
    </row>
    <row r="194" spans="1:19">
      <c r="A194" s="157"/>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9">
        <f t="shared" si="42"/>
        <v>0</v>
      </c>
    </row>
    <row r="195" spans="1:19">
      <c r="A195" s="157"/>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9">
        <f t="shared" si="42"/>
        <v>0</v>
      </c>
    </row>
    <row r="196" spans="1:19">
      <c r="A196" s="157"/>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9">
        <f t="shared" si="42"/>
        <v>0</v>
      </c>
    </row>
    <row r="197" spans="1:19">
      <c r="A197" s="157"/>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9">
        <f t="shared" si="42"/>
        <v>0</v>
      </c>
    </row>
    <row r="198" spans="1:19">
      <c r="A198" s="157"/>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9">
        <f t="shared" si="42"/>
        <v>0</v>
      </c>
    </row>
    <row r="199" spans="1:19">
      <c r="A199" s="157"/>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9">
        <f t="shared" si="42"/>
        <v>0</v>
      </c>
    </row>
    <row r="200" spans="1:19">
      <c r="A200" s="157"/>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9">
        <f t="shared" si="42"/>
        <v>0</v>
      </c>
    </row>
    <row r="201" spans="1:19">
      <c r="A201" s="157"/>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9">
        <f t="shared" si="42"/>
        <v>0</v>
      </c>
    </row>
    <row r="202" spans="1:19">
      <c r="A202" s="157"/>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9">
        <f t="shared" si="42"/>
        <v>0</v>
      </c>
    </row>
    <row r="203" spans="1:19">
      <c r="A203" s="157"/>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9">
        <f t="shared" si="42"/>
        <v>0</v>
      </c>
    </row>
    <row r="204" spans="1:19">
      <c r="A204" s="157"/>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9">
        <f t="shared" si="42"/>
        <v>0</v>
      </c>
    </row>
    <row r="205" spans="1:19">
      <c r="A205" s="157"/>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9">
        <f t="shared" si="42"/>
        <v>0</v>
      </c>
    </row>
    <row r="206" spans="1:19">
      <c r="A206" s="157"/>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9">
        <f t="shared" si="42"/>
        <v>0</v>
      </c>
    </row>
    <row r="207" spans="1:19">
      <c r="A207" s="157"/>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9">
        <f t="shared" si="42"/>
        <v>0</v>
      </c>
    </row>
    <row r="208" spans="1:19">
      <c r="A208" s="157"/>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9">
        <f t="shared" si="42"/>
        <v>0</v>
      </c>
    </row>
    <row r="209" spans="1:19">
      <c r="A209" s="157"/>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9">
        <f t="shared" si="42"/>
        <v>0</v>
      </c>
    </row>
    <row r="210" spans="1:19">
      <c r="A210" s="157"/>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9">
        <f t="shared" si="42"/>
        <v>0</v>
      </c>
    </row>
    <row r="211" spans="1:19">
      <c r="A211" s="157"/>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9">
        <f t="shared" si="42"/>
        <v>0</v>
      </c>
    </row>
    <row r="212" spans="1:19">
      <c r="A212" s="157"/>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9">
        <f t="shared" si="42"/>
        <v>0</v>
      </c>
    </row>
    <row r="213" spans="1:19">
      <c r="A213" s="157"/>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9">
        <f t="shared" si="42"/>
        <v>0</v>
      </c>
    </row>
    <row r="214" spans="1:19">
      <c r="A214" s="157"/>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9">
        <f t="shared" si="42"/>
        <v>0</v>
      </c>
    </row>
    <row r="215" spans="1:19">
      <c r="A215" s="157"/>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9">
        <f t="shared" si="42"/>
        <v>0</v>
      </c>
    </row>
    <row r="216" spans="1:19">
      <c r="A216" s="157"/>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9">
        <f t="shared" si="42"/>
        <v>0</v>
      </c>
    </row>
    <row r="217" spans="1:19">
      <c r="A217" s="157"/>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9">
        <f t="shared" si="42"/>
        <v>0</v>
      </c>
    </row>
    <row r="218" spans="1:19">
      <c r="A218" s="157"/>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9">
        <f t="shared" si="42"/>
        <v>0</v>
      </c>
    </row>
    <row r="219" spans="1:19">
      <c r="A219" s="157"/>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9">
        <f t="shared" si="42"/>
        <v>0</v>
      </c>
    </row>
    <row r="220" spans="1:19">
      <c r="A220" s="157"/>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9">
        <f t="shared" si="42"/>
        <v>0</v>
      </c>
    </row>
    <row r="221" spans="1:19">
      <c r="A221" s="157"/>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9">
        <f t="shared" si="42"/>
        <v>0</v>
      </c>
    </row>
    <row r="222" spans="1:19">
      <c r="A222" s="157"/>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9">
        <f t="shared" si="42"/>
        <v>0</v>
      </c>
    </row>
    <row r="223" spans="1:19">
      <c r="A223" s="157"/>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9">
        <f t="shared" ref="S223:S286" si="52">ROUND(R223*B223/10000,0)</f>
        <v>0</v>
      </c>
    </row>
    <row r="224" spans="1:19">
      <c r="A224" s="157"/>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9">
        <f t="shared" si="52"/>
        <v>0</v>
      </c>
    </row>
    <row r="225" spans="1:19">
      <c r="A225" s="157"/>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9">
        <f t="shared" si="52"/>
        <v>0</v>
      </c>
    </row>
    <row r="226" spans="1:19">
      <c r="A226" s="157"/>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9">
        <f t="shared" si="52"/>
        <v>0</v>
      </c>
    </row>
    <row r="227" spans="1:19">
      <c r="A227" s="157"/>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9">
        <f t="shared" si="52"/>
        <v>0</v>
      </c>
    </row>
    <row r="228" spans="1:19">
      <c r="A228" s="157"/>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9">
        <f t="shared" si="52"/>
        <v>0</v>
      </c>
    </row>
    <row r="229" spans="1:19">
      <c r="A229" s="157"/>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9">
        <f t="shared" si="52"/>
        <v>0</v>
      </c>
    </row>
    <row r="230" spans="1:19">
      <c r="A230" s="157"/>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9">
        <f t="shared" si="52"/>
        <v>0</v>
      </c>
    </row>
    <row r="231" spans="1:19">
      <c r="A231" s="157"/>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9">
        <f t="shared" si="52"/>
        <v>0</v>
      </c>
    </row>
    <row r="232" spans="1:19">
      <c r="A232" s="157"/>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9">
        <f t="shared" si="52"/>
        <v>0</v>
      </c>
    </row>
    <row r="233" spans="1:19">
      <c r="A233" s="157"/>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9">
        <f t="shared" si="52"/>
        <v>0</v>
      </c>
    </row>
    <row r="234" spans="1:19">
      <c r="A234" s="157"/>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9">
        <f t="shared" si="52"/>
        <v>0</v>
      </c>
    </row>
    <row r="235" spans="1:19">
      <c r="A235" s="157"/>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9">
        <f t="shared" si="52"/>
        <v>0</v>
      </c>
    </row>
    <row r="236" spans="1:19">
      <c r="A236" s="157"/>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9">
        <f t="shared" si="52"/>
        <v>0</v>
      </c>
    </row>
    <row r="237" spans="1:19">
      <c r="A237" s="157"/>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9">
        <f t="shared" si="52"/>
        <v>0</v>
      </c>
    </row>
    <row r="238" spans="1:19">
      <c r="A238" s="157"/>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9">
        <f t="shared" si="52"/>
        <v>0</v>
      </c>
    </row>
    <row r="239" spans="1:19">
      <c r="A239" s="157"/>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9">
        <f t="shared" si="52"/>
        <v>0</v>
      </c>
    </row>
    <row r="240" spans="1:19">
      <c r="A240" s="157"/>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9">
        <f t="shared" si="52"/>
        <v>0</v>
      </c>
    </row>
    <row r="241" spans="1:19">
      <c r="A241" s="157"/>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9">
        <f t="shared" si="52"/>
        <v>0</v>
      </c>
    </row>
    <row r="242" spans="1:19">
      <c r="A242" s="157"/>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9">
        <f t="shared" si="52"/>
        <v>0</v>
      </c>
    </row>
    <row r="243" spans="1:19">
      <c r="A243" s="157"/>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9">
        <f t="shared" si="52"/>
        <v>0</v>
      </c>
    </row>
    <row r="244" spans="1:19">
      <c r="A244" s="157"/>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9">
        <f t="shared" si="52"/>
        <v>0</v>
      </c>
    </row>
    <row r="245" spans="1:19">
      <c r="A245" s="157"/>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9">
        <f t="shared" si="52"/>
        <v>0</v>
      </c>
    </row>
    <row r="246" spans="1:19">
      <c r="A246" s="157"/>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9">
        <f t="shared" si="52"/>
        <v>0</v>
      </c>
    </row>
    <row r="247" spans="1:19">
      <c r="A247" s="157"/>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9">
        <f t="shared" si="52"/>
        <v>0</v>
      </c>
    </row>
    <row r="248" spans="1:19">
      <c r="A248" s="157"/>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9">
        <f t="shared" si="52"/>
        <v>0</v>
      </c>
    </row>
    <row r="249" spans="1:19">
      <c r="A249" s="157"/>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9">
        <f t="shared" si="52"/>
        <v>0</v>
      </c>
    </row>
    <row r="250" spans="1:19">
      <c r="A250" s="157"/>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9">
        <f t="shared" si="52"/>
        <v>0</v>
      </c>
    </row>
    <row r="251" spans="1:19">
      <c r="A251" s="157"/>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9">
        <f t="shared" si="52"/>
        <v>0</v>
      </c>
    </row>
    <row r="252" spans="1:19">
      <c r="A252" s="157"/>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9">
        <f t="shared" si="52"/>
        <v>0</v>
      </c>
    </row>
    <row r="253" spans="1:19">
      <c r="A253" s="157"/>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9">
        <f t="shared" si="52"/>
        <v>0</v>
      </c>
    </row>
    <row r="254" spans="1:19">
      <c r="A254" s="157"/>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9">
        <f t="shared" si="52"/>
        <v>0</v>
      </c>
    </row>
    <row r="255" spans="1:19">
      <c r="A255" s="157"/>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9">
        <f t="shared" si="52"/>
        <v>0</v>
      </c>
    </row>
    <row r="256" spans="1:19">
      <c r="A256" s="157"/>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9">
        <f t="shared" si="52"/>
        <v>0</v>
      </c>
    </row>
    <row r="257" spans="1:19">
      <c r="A257" s="157"/>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9">
        <f t="shared" si="52"/>
        <v>0</v>
      </c>
    </row>
    <row r="258" spans="1:19">
      <c r="A258" s="157"/>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9">
        <f t="shared" si="52"/>
        <v>0</v>
      </c>
    </row>
    <row r="259" spans="1:19">
      <c r="A259" s="157"/>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9">
        <f t="shared" si="52"/>
        <v>0</v>
      </c>
    </row>
    <row r="260" spans="1:19">
      <c r="A260" s="157"/>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9">
        <f t="shared" si="52"/>
        <v>0</v>
      </c>
    </row>
    <row r="261" spans="1:19">
      <c r="A261" s="157"/>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9">
        <f t="shared" si="52"/>
        <v>0</v>
      </c>
    </row>
    <row r="262" spans="1:19">
      <c r="A262" s="157"/>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9">
        <f t="shared" si="52"/>
        <v>0</v>
      </c>
    </row>
    <row r="263" spans="1:19">
      <c r="A263" s="157"/>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9">
        <f t="shared" si="52"/>
        <v>0</v>
      </c>
    </row>
    <row r="264" spans="1:19">
      <c r="A264" s="157"/>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9">
        <f t="shared" si="52"/>
        <v>0</v>
      </c>
    </row>
    <row r="265" spans="1:19">
      <c r="A265" s="157"/>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9">
        <f t="shared" si="52"/>
        <v>0</v>
      </c>
    </row>
    <row r="266" spans="1:19">
      <c r="A266" s="157"/>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9">
        <f t="shared" si="52"/>
        <v>0</v>
      </c>
    </row>
    <row r="267" spans="1:19">
      <c r="A267" s="157"/>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9">
        <f t="shared" si="52"/>
        <v>0</v>
      </c>
    </row>
    <row r="268" spans="1:19">
      <c r="A268" s="157"/>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9">
        <f t="shared" si="52"/>
        <v>0</v>
      </c>
    </row>
    <row r="269" spans="1:19">
      <c r="A269" s="157"/>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9">
        <f t="shared" si="52"/>
        <v>0</v>
      </c>
    </row>
    <row r="270" spans="1:19">
      <c r="A270" s="157"/>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9">
        <f t="shared" si="52"/>
        <v>0</v>
      </c>
    </row>
    <row r="271" spans="1:19">
      <c r="A271" s="157"/>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9">
        <f t="shared" si="52"/>
        <v>0</v>
      </c>
    </row>
    <row r="272" spans="1:19">
      <c r="A272" s="157"/>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9">
        <f t="shared" si="52"/>
        <v>0</v>
      </c>
    </row>
    <row r="273" spans="1:19">
      <c r="A273" s="157"/>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9">
        <f t="shared" si="52"/>
        <v>0</v>
      </c>
    </row>
    <row r="274" spans="1:19">
      <c r="A274" s="157"/>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9">
        <f t="shared" si="52"/>
        <v>0</v>
      </c>
    </row>
    <row r="275" spans="1:19">
      <c r="A275" s="157"/>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9">
        <f t="shared" si="52"/>
        <v>0</v>
      </c>
    </row>
    <row r="276" spans="1:19">
      <c r="A276" s="157"/>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9">
        <f t="shared" si="52"/>
        <v>0</v>
      </c>
    </row>
    <row r="277" spans="1:19">
      <c r="A277" s="157"/>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9">
        <f t="shared" si="52"/>
        <v>0</v>
      </c>
    </row>
    <row r="278" spans="1:19">
      <c r="A278" s="157"/>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9">
        <f t="shared" si="52"/>
        <v>0</v>
      </c>
    </row>
    <row r="279" spans="1:19">
      <c r="A279" s="157"/>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9">
        <f t="shared" si="52"/>
        <v>0</v>
      </c>
    </row>
    <row r="280" spans="1:19">
      <c r="A280" s="157"/>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9">
        <f t="shared" si="52"/>
        <v>0</v>
      </c>
    </row>
    <row r="281" spans="1:19">
      <c r="A281" s="157"/>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9">
        <f t="shared" si="52"/>
        <v>0</v>
      </c>
    </row>
    <row r="282" spans="1:19">
      <c r="A282" s="157"/>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9">
        <f t="shared" si="52"/>
        <v>0</v>
      </c>
    </row>
    <row r="283" spans="1:19">
      <c r="A283" s="157"/>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9">
        <f t="shared" si="52"/>
        <v>0</v>
      </c>
    </row>
    <row r="284" spans="1:19">
      <c r="A284" s="157"/>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9">
        <f t="shared" si="52"/>
        <v>0</v>
      </c>
    </row>
    <row r="285" spans="1:19">
      <c r="A285" s="157"/>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9">
        <f t="shared" si="52"/>
        <v>0</v>
      </c>
    </row>
    <row r="286" spans="1:19">
      <c r="A286" s="157"/>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9">
        <f t="shared" si="52"/>
        <v>0</v>
      </c>
    </row>
    <row r="287" spans="1:19">
      <c r="A287" s="157"/>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9">
        <f t="shared" ref="S287:S320" si="62">ROUND(R287*B287/10000,0)</f>
        <v>0</v>
      </c>
    </row>
    <row r="288" spans="1:19">
      <c r="A288" s="157"/>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9">
        <f t="shared" si="62"/>
        <v>0</v>
      </c>
    </row>
    <row r="289" spans="1:19">
      <c r="A289" s="157"/>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9">
        <f t="shared" si="62"/>
        <v>0</v>
      </c>
    </row>
    <row r="290" spans="1:19">
      <c r="A290" s="157"/>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9">
        <f t="shared" si="62"/>
        <v>0</v>
      </c>
    </row>
    <row r="291" spans="1:19">
      <c r="A291" s="157"/>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9">
        <f t="shared" si="62"/>
        <v>0</v>
      </c>
    </row>
    <row r="292" spans="1:19">
      <c r="A292" s="157"/>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9">
        <f t="shared" si="62"/>
        <v>0</v>
      </c>
    </row>
    <row r="293" spans="1:19">
      <c r="A293" s="157"/>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9">
        <f t="shared" si="62"/>
        <v>0</v>
      </c>
    </row>
    <row r="294" spans="1:19">
      <c r="A294" s="157"/>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9">
        <f t="shared" si="62"/>
        <v>0</v>
      </c>
    </row>
    <row r="295" spans="1:19">
      <c r="A295" s="157"/>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9">
        <f t="shared" si="62"/>
        <v>0</v>
      </c>
    </row>
    <row r="296" spans="1:19">
      <c r="A296" s="157"/>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9">
        <f t="shared" si="62"/>
        <v>0</v>
      </c>
    </row>
    <row r="297" spans="1:19">
      <c r="A297" s="157"/>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9">
        <f t="shared" si="62"/>
        <v>0</v>
      </c>
    </row>
    <row r="298" spans="1:19">
      <c r="A298" s="157"/>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9">
        <f t="shared" si="62"/>
        <v>0</v>
      </c>
    </row>
    <row r="299" spans="1:19">
      <c r="A299" s="157"/>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9">
        <f t="shared" si="62"/>
        <v>0</v>
      </c>
    </row>
    <row r="300" spans="1:19">
      <c r="A300" s="157"/>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9">
        <f t="shared" si="62"/>
        <v>0</v>
      </c>
    </row>
    <row r="301" spans="1:19">
      <c r="A301" s="157"/>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9">
        <f t="shared" si="62"/>
        <v>0</v>
      </c>
    </row>
    <row r="302" spans="1:19">
      <c r="A302" s="157"/>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9">
        <f t="shared" si="62"/>
        <v>0</v>
      </c>
    </row>
    <row r="303" spans="1:19">
      <c r="A303" s="157"/>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9">
        <f t="shared" si="62"/>
        <v>0</v>
      </c>
    </row>
    <row r="304" spans="1:19">
      <c r="A304" s="157"/>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9">
        <f t="shared" si="62"/>
        <v>0</v>
      </c>
    </row>
    <row r="305" spans="1:19">
      <c r="A305" s="157"/>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9">
        <f t="shared" si="62"/>
        <v>0</v>
      </c>
    </row>
    <row r="306" spans="1:19">
      <c r="A306" s="157"/>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9">
        <f t="shared" si="62"/>
        <v>0</v>
      </c>
    </row>
    <row r="307" spans="1:19">
      <c r="A307" s="157"/>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9">
        <f t="shared" si="62"/>
        <v>0</v>
      </c>
    </row>
    <row r="308" spans="1:19">
      <c r="A308" s="157"/>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9">
        <f t="shared" si="62"/>
        <v>0</v>
      </c>
    </row>
    <row r="309" spans="1:19">
      <c r="A309" s="157"/>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9">
        <f t="shared" si="62"/>
        <v>0</v>
      </c>
    </row>
    <row r="310" spans="1:19">
      <c r="A310" s="157"/>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9">
        <f t="shared" si="62"/>
        <v>0</v>
      </c>
    </row>
    <row r="311" spans="1:19">
      <c r="A311" s="157"/>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9">
        <f t="shared" si="62"/>
        <v>0</v>
      </c>
    </row>
    <row r="312" spans="1:19">
      <c r="A312" s="157"/>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9">
        <f t="shared" si="62"/>
        <v>0</v>
      </c>
    </row>
    <row r="313" spans="1:19">
      <c r="A313" s="157"/>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9">
        <f t="shared" si="62"/>
        <v>0</v>
      </c>
    </row>
    <row r="314" spans="1:19">
      <c r="A314" s="157"/>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9">
        <f t="shared" si="62"/>
        <v>0</v>
      </c>
    </row>
    <row r="315" spans="1:19">
      <c r="A315" s="157"/>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9">
        <f t="shared" si="62"/>
        <v>0</v>
      </c>
    </row>
    <row r="316" spans="1:19">
      <c r="A316" s="157"/>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9">
        <f t="shared" si="62"/>
        <v>0</v>
      </c>
    </row>
    <row r="317" spans="1:19">
      <c r="A317" s="157"/>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9">
        <f t="shared" si="62"/>
        <v>0</v>
      </c>
    </row>
    <row r="318" spans="1:19">
      <c r="A318" s="157"/>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9">
        <f t="shared" si="62"/>
        <v>0</v>
      </c>
    </row>
    <row r="319" spans="1:19">
      <c r="A319" s="157"/>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9">
        <f t="shared" si="62"/>
        <v>0</v>
      </c>
    </row>
    <row r="320" spans="1:19">
      <c r="A320" s="157"/>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9">
        <f t="shared" si="62"/>
        <v>0</v>
      </c>
    </row>
    <row r="321" spans="1:19">
      <c r="A321" s="157"/>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9">
        <f t="shared" ref="S321:S384" si="63">ROUND(R321*B321/10000,0)</f>
        <v>0</v>
      </c>
    </row>
    <row r="322" spans="1:19">
      <c r="A322" s="157"/>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9">
        <f t="shared" si="63"/>
        <v>0</v>
      </c>
    </row>
    <row r="323" spans="1:19">
      <c r="A323" s="157"/>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9">
        <f t="shared" si="63"/>
        <v>0</v>
      </c>
    </row>
    <row r="324" spans="1:19">
      <c r="A324" s="157"/>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9">
        <f t="shared" si="63"/>
        <v>0</v>
      </c>
    </row>
    <row r="325" spans="1:19">
      <c r="A325" s="157"/>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9">
        <f t="shared" si="63"/>
        <v>0</v>
      </c>
    </row>
    <row r="326" spans="1:19">
      <c r="A326" s="157"/>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9">
        <f t="shared" si="63"/>
        <v>0</v>
      </c>
    </row>
    <row r="327" spans="1:19">
      <c r="A327" s="157"/>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9">
        <f t="shared" si="63"/>
        <v>0</v>
      </c>
    </row>
    <row r="328" spans="1:19">
      <c r="A328" s="157"/>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9">
        <f t="shared" si="63"/>
        <v>0</v>
      </c>
    </row>
    <row r="329" spans="1:19">
      <c r="A329" s="157"/>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9">
        <f t="shared" si="63"/>
        <v>0</v>
      </c>
    </row>
    <row r="330" spans="1:19">
      <c r="A330" s="157"/>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9">
        <f t="shared" si="63"/>
        <v>0</v>
      </c>
    </row>
    <row r="331" spans="1:19">
      <c r="A331" s="157"/>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9">
        <f t="shared" si="63"/>
        <v>0</v>
      </c>
    </row>
    <row r="332" spans="1:19">
      <c r="A332" s="157"/>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9">
        <f t="shared" si="63"/>
        <v>0</v>
      </c>
    </row>
    <row r="333" spans="1:19">
      <c r="A333" s="157"/>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9">
        <f t="shared" si="63"/>
        <v>0</v>
      </c>
    </row>
    <row r="334" spans="1:19">
      <c r="A334" s="157"/>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9">
        <f t="shared" si="63"/>
        <v>0</v>
      </c>
    </row>
    <row r="335" spans="1:19">
      <c r="A335" s="157"/>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9">
        <f t="shared" si="63"/>
        <v>0</v>
      </c>
    </row>
    <row r="336" spans="1:19">
      <c r="A336" s="157"/>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9">
        <f t="shared" si="63"/>
        <v>0</v>
      </c>
    </row>
    <row r="337" spans="1:19">
      <c r="A337" s="157"/>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9">
        <f t="shared" si="63"/>
        <v>0</v>
      </c>
    </row>
    <row r="338" spans="1:19">
      <c r="A338" s="157"/>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9">
        <f t="shared" si="63"/>
        <v>0</v>
      </c>
    </row>
    <row r="339" spans="1:19">
      <c r="A339" s="157"/>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9">
        <f t="shared" si="63"/>
        <v>0</v>
      </c>
    </row>
    <row r="340" spans="1:19">
      <c r="A340" s="157"/>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9">
        <f t="shared" si="63"/>
        <v>0</v>
      </c>
    </row>
    <row r="341" spans="1:19">
      <c r="A341" s="157"/>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9">
        <f t="shared" si="63"/>
        <v>0</v>
      </c>
    </row>
    <row r="342" spans="1:19">
      <c r="A342" s="157"/>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9">
        <f t="shared" si="63"/>
        <v>0</v>
      </c>
    </row>
    <row r="343" spans="1:19">
      <c r="A343" s="157"/>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9">
        <f t="shared" si="63"/>
        <v>0</v>
      </c>
    </row>
    <row r="344" spans="1:19">
      <c r="A344" s="157"/>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9">
        <f t="shared" si="63"/>
        <v>0</v>
      </c>
    </row>
    <row r="345" spans="1:19">
      <c r="A345" s="157"/>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9">
        <f t="shared" si="63"/>
        <v>0</v>
      </c>
    </row>
    <row r="346" spans="1:19">
      <c r="A346" s="157"/>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9">
        <f t="shared" si="63"/>
        <v>0</v>
      </c>
    </row>
    <row r="347" spans="1:19">
      <c r="A347" s="157"/>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9">
        <f t="shared" si="63"/>
        <v>0</v>
      </c>
    </row>
    <row r="348" spans="1:19">
      <c r="A348" s="157"/>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9">
        <f t="shared" si="63"/>
        <v>0</v>
      </c>
    </row>
    <row r="349" spans="1:19">
      <c r="A349" s="157"/>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9">
        <f t="shared" si="63"/>
        <v>0</v>
      </c>
    </row>
    <row r="350" spans="1:19">
      <c r="A350" s="157"/>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9">
        <f t="shared" si="63"/>
        <v>0</v>
      </c>
    </row>
    <row r="351" spans="1:19">
      <c r="A351" s="157"/>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9">
        <f t="shared" si="63"/>
        <v>0</v>
      </c>
    </row>
    <row r="352" spans="1:19">
      <c r="A352" s="157"/>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9">
        <f t="shared" si="63"/>
        <v>0</v>
      </c>
    </row>
    <row r="353" spans="1:19">
      <c r="A353" s="157"/>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9">
        <f t="shared" si="63"/>
        <v>0</v>
      </c>
    </row>
    <row r="354" spans="1:19">
      <c r="A354" s="157"/>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9">
        <f t="shared" si="63"/>
        <v>0</v>
      </c>
    </row>
    <row r="355" spans="1:19">
      <c r="A355" s="157"/>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9">
        <f t="shared" si="63"/>
        <v>0</v>
      </c>
    </row>
    <row r="356" spans="1:19">
      <c r="A356" s="157"/>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9">
        <f t="shared" si="63"/>
        <v>0</v>
      </c>
    </row>
    <row r="357" spans="1:19">
      <c r="A357" s="157"/>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9">
        <f t="shared" si="63"/>
        <v>0</v>
      </c>
    </row>
    <row r="358" spans="1:19">
      <c r="A358" s="157"/>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9">
        <f t="shared" si="63"/>
        <v>0</v>
      </c>
    </row>
    <row r="359" spans="1:19">
      <c r="A359" s="157"/>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9">
        <f t="shared" si="63"/>
        <v>0</v>
      </c>
    </row>
    <row r="360" spans="1:19">
      <c r="A360" s="157"/>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9">
        <f t="shared" si="63"/>
        <v>0</v>
      </c>
    </row>
    <row r="361" spans="1:19">
      <c r="A361" s="157"/>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9">
        <f t="shared" si="63"/>
        <v>0</v>
      </c>
    </row>
    <row r="362" spans="1:19">
      <c r="A362" s="157"/>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9">
        <f t="shared" si="63"/>
        <v>0</v>
      </c>
    </row>
    <row r="363" spans="1:19">
      <c r="A363" s="157"/>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9">
        <f t="shared" si="63"/>
        <v>0</v>
      </c>
    </row>
    <row r="364" spans="1:19">
      <c r="A364" s="157"/>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9">
        <f t="shared" si="63"/>
        <v>0</v>
      </c>
    </row>
    <row r="365" spans="1:19">
      <c r="A365" s="157"/>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9">
        <f t="shared" si="63"/>
        <v>0</v>
      </c>
    </row>
    <row r="366" spans="1:19">
      <c r="A366" s="157"/>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9">
        <f t="shared" si="63"/>
        <v>0</v>
      </c>
    </row>
    <row r="367" spans="1:19">
      <c r="A367" s="157"/>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9">
        <f t="shared" si="63"/>
        <v>0</v>
      </c>
    </row>
    <row r="368" spans="1:19">
      <c r="A368" s="157"/>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9">
        <f t="shared" si="63"/>
        <v>0</v>
      </c>
    </row>
    <row r="369" spans="1:19">
      <c r="A369" s="157"/>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9">
        <f t="shared" si="63"/>
        <v>0</v>
      </c>
    </row>
    <row r="370" spans="1:19">
      <c r="A370" s="157"/>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9">
        <f t="shared" si="63"/>
        <v>0</v>
      </c>
    </row>
    <row r="371" spans="1:19">
      <c r="A371" s="157"/>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9">
        <f t="shared" si="63"/>
        <v>0</v>
      </c>
    </row>
    <row r="372" spans="1:19">
      <c r="A372" s="157"/>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9">
        <f t="shared" si="63"/>
        <v>0</v>
      </c>
    </row>
    <row r="373" spans="1:19">
      <c r="A373" s="157"/>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9">
        <f t="shared" si="63"/>
        <v>0</v>
      </c>
    </row>
    <row r="374" spans="1:19">
      <c r="A374" s="157"/>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9">
        <f t="shared" si="63"/>
        <v>0</v>
      </c>
    </row>
    <row r="375" spans="1:19">
      <c r="A375" s="157"/>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9">
        <f t="shared" si="63"/>
        <v>0</v>
      </c>
    </row>
    <row r="376" spans="1:19">
      <c r="A376" s="157"/>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9">
        <f t="shared" si="63"/>
        <v>0</v>
      </c>
    </row>
    <row r="377" spans="1:19">
      <c r="A377" s="157"/>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9">
        <f t="shared" si="63"/>
        <v>0</v>
      </c>
    </row>
    <row r="378" spans="1:19">
      <c r="A378" s="157"/>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9">
        <f t="shared" si="63"/>
        <v>0</v>
      </c>
    </row>
    <row r="379" spans="1:19">
      <c r="A379" s="157"/>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9">
        <f t="shared" si="63"/>
        <v>0</v>
      </c>
    </row>
    <row r="380" spans="1:19">
      <c r="A380" s="157"/>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9">
        <f t="shared" si="63"/>
        <v>0</v>
      </c>
    </row>
    <row r="381" spans="1:19">
      <c r="A381" s="157"/>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9">
        <f t="shared" si="63"/>
        <v>0</v>
      </c>
    </row>
    <row r="382" spans="1:19">
      <c r="A382" s="157"/>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9">
        <f t="shared" si="63"/>
        <v>0</v>
      </c>
    </row>
    <row r="383" spans="1:19">
      <c r="A383" s="157"/>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9">
        <f t="shared" si="63"/>
        <v>0</v>
      </c>
    </row>
    <row r="384" spans="1:19">
      <c r="A384" s="157"/>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9">
        <f t="shared" si="63"/>
        <v>0</v>
      </c>
    </row>
    <row r="385" spans="1:19">
      <c r="A385" s="157"/>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9">
        <f t="shared" ref="S385:S422" si="73">ROUND(R385*B385/10000,0)</f>
        <v>0</v>
      </c>
    </row>
    <row r="386" spans="1:19">
      <c r="A386" s="157"/>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9">
        <f t="shared" si="73"/>
        <v>0</v>
      </c>
    </row>
    <row r="387" spans="1:19">
      <c r="A387" s="157"/>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9">
        <f t="shared" si="73"/>
        <v>0</v>
      </c>
    </row>
    <row r="388" spans="1:19">
      <c r="A388" s="157"/>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9">
        <f t="shared" si="73"/>
        <v>0</v>
      </c>
    </row>
    <row r="389" spans="1:19">
      <c r="A389" s="157"/>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9">
        <f t="shared" si="73"/>
        <v>0</v>
      </c>
    </row>
    <row r="390" spans="1:19">
      <c r="A390" s="157"/>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9">
        <f t="shared" si="73"/>
        <v>0</v>
      </c>
    </row>
    <row r="391" spans="1:19">
      <c r="A391" s="157"/>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9">
        <f t="shared" si="73"/>
        <v>0</v>
      </c>
    </row>
    <row r="392" spans="1:19">
      <c r="A392" s="157"/>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9">
        <f t="shared" si="73"/>
        <v>0</v>
      </c>
    </row>
    <row r="393" spans="1:19">
      <c r="A393" s="157"/>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9">
        <f t="shared" si="73"/>
        <v>0</v>
      </c>
    </row>
    <row r="394" spans="1:19">
      <c r="A394" s="157"/>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9">
        <f t="shared" si="73"/>
        <v>0</v>
      </c>
    </row>
    <row r="395" spans="1:19">
      <c r="A395" s="157"/>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9">
        <f t="shared" si="73"/>
        <v>0</v>
      </c>
    </row>
    <row r="396" spans="1:19">
      <c r="A396" s="157"/>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9">
        <f t="shared" si="73"/>
        <v>0</v>
      </c>
    </row>
    <row r="397" spans="1:19">
      <c r="A397" s="157"/>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9">
        <f t="shared" si="73"/>
        <v>0</v>
      </c>
    </row>
    <row r="398" spans="1:19">
      <c r="A398" s="157"/>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9">
        <f t="shared" si="73"/>
        <v>0</v>
      </c>
    </row>
    <row r="399" spans="1:19">
      <c r="A399" s="157"/>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9">
        <f t="shared" si="73"/>
        <v>0</v>
      </c>
    </row>
    <row r="400" spans="1:19">
      <c r="A400" s="157"/>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9">
        <f t="shared" si="73"/>
        <v>0</v>
      </c>
    </row>
    <row r="401" spans="1:19">
      <c r="A401" s="157"/>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9">
        <f t="shared" si="73"/>
        <v>0</v>
      </c>
    </row>
    <row r="402" spans="1:19">
      <c r="A402" s="157"/>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9">
        <f t="shared" si="73"/>
        <v>0</v>
      </c>
    </row>
    <row r="403" spans="1:19">
      <c r="A403" s="157"/>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9">
        <f t="shared" si="73"/>
        <v>0</v>
      </c>
    </row>
    <row r="404" spans="1:19">
      <c r="A404" s="157"/>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9">
        <f t="shared" si="73"/>
        <v>0</v>
      </c>
    </row>
    <row r="405" spans="1:19">
      <c r="A405" s="157"/>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9">
        <f t="shared" si="73"/>
        <v>0</v>
      </c>
    </row>
    <row r="406" spans="1:19">
      <c r="A406" s="157"/>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9">
        <f t="shared" si="73"/>
        <v>0</v>
      </c>
    </row>
    <row r="407" spans="1:19">
      <c r="A407" s="157"/>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9">
        <f t="shared" si="73"/>
        <v>0</v>
      </c>
    </row>
    <row r="408" spans="1:19">
      <c r="A408" s="157"/>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9">
        <f t="shared" si="73"/>
        <v>0</v>
      </c>
    </row>
    <row r="409" spans="1:19">
      <c r="A409" s="157"/>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9">
        <f t="shared" si="73"/>
        <v>0</v>
      </c>
    </row>
    <row r="410" spans="1:19">
      <c r="A410" s="157"/>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9">
        <f t="shared" si="73"/>
        <v>0</v>
      </c>
    </row>
    <row r="411" spans="1:19">
      <c r="A411" s="157"/>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9">
        <f t="shared" si="73"/>
        <v>0</v>
      </c>
    </row>
    <row r="412" spans="1:19">
      <c r="A412" s="157"/>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9">
        <f t="shared" si="73"/>
        <v>0</v>
      </c>
    </row>
    <row r="413" spans="1:19">
      <c r="A413" s="157"/>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9">
        <f t="shared" si="73"/>
        <v>0</v>
      </c>
    </row>
    <row r="414" spans="1:19">
      <c r="A414" s="157"/>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9">
        <f t="shared" si="73"/>
        <v>0</v>
      </c>
    </row>
    <row r="415" spans="1:19">
      <c r="A415" s="157"/>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9">
        <f t="shared" si="73"/>
        <v>0</v>
      </c>
    </row>
    <row r="416" spans="1:19">
      <c r="A416" s="157"/>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9">
        <f t="shared" si="73"/>
        <v>0</v>
      </c>
    </row>
    <row r="417" spans="1:19">
      <c r="A417" s="157"/>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9">
        <f t="shared" si="73"/>
        <v>0</v>
      </c>
    </row>
    <row r="418" spans="1:19">
      <c r="A418" s="157"/>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9">
        <f t="shared" si="73"/>
        <v>0</v>
      </c>
    </row>
    <row r="419" spans="1:19">
      <c r="A419" s="157"/>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9">
        <f t="shared" si="73"/>
        <v>0</v>
      </c>
    </row>
    <row r="420" spans="1:19">
      <c r="A420" s="157"/>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9">
        <f t="shared" si="73"/>
        <v>0</v>
      </c>
    </row>
    <row r="421" spans="1:19">
      <c r="A421" s="157"/>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9">
        <f t="shared" si="73"/>
        <v>0</v>
      </c>
    </row>
    <row r="422" spans="1:19">
      <c r="A422" s="157"/>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9">
        <f t="shared" si="73"/>
        <v>0</v>
      </c>
    </row>
    <row r="423" spans="1:19">
      <c r="A423" s="157"/>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9">
        <f t="shared" ref="S423:S467" si="83">ROUND(R423*B423/10000,0)</f>
        <v>0</v>
      </c>
    </row>
    <row r="424" spans="1:19">
      <c r="A424" s="157"/>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9">
        <f t="shared" si="83"/>
        <v>0</v>
      </c>
    </row>
    <row r="425" spans="1:19">
      <c r="A425" s="157"/>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9">
        <f t="shared" si="83"/>
        <v>0</v>
      </c>
    </row>
    <row r="426" spans="1:19">
      <c r="A426" s="157"/>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9">
        <f t="shared" si="83"/>
        <v>0</v>
      </c>
    </row>
    <row r="427" spans="1:19">
      <c r="A427" s="157"/>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9">
        <f t="shared" si="83"/>
        <v>0</v>
      </c>
    </row>
    <row r="428" spans="1:19">
      <c r="A428" s="157"/>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9">
        <f t="shared" si="83"/>
        <v>0</v>
      </c>
    </row>
    <row r="429" spans="1:19">
      <c r="A429" s="157"/>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9">
        <f t="shared" si="83"/>
        <v>0</v>
      </c>
    </row>
    <row r="430" spans="1:19">
      <c r="A430" s="157"/>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9">
        <f t="shared" si="83"/>
        <v>0</v>
      </c>
    </row>
    <row r="431" spans="1:19">
      <c r="A431" s="157"/>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9">
        <f t="shared" si="83"/>
        <v>0</v>
      </c>
    </row>
    <row r="432" spans="1:19">
      <c r="A432" s="157"/>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9">
        <f t="shared" si="83"/>
        <v>0</v>
      </c>
    </row>
    <row r="433" spans="1:19">
      <c r="A433" s="157"/>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9">
        <f t="shared" si="83"/>
        <v>0</v>
      </c>
    </row>
    <row r="434" spans="1:19">
      <c r="A434" s="157"/>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9">
        <f t="shared" si="83"/>
        <v>0</v>
      </c>
    </row>
    <row r="435" spans="1:19">
      <c r="A435" s="157"/>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9">
        <f t="shared" si="83"/>
        <v>0</v>
      </c>
    </row>
    <row r="436" spans="1:19">
      <c r="A436" s="157"/>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9">
        <f t="shared" si="83"/>
        <v>0</v>
      </c>
    </row>
    <row r="437" spans="1:19">
      <c r="A437" s="157"/>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9">
        <f t="shared" si="83"/>
        <v>0</v>
      </c>
    </row>
    <row r="438" spans="1:19">
      <c r="A438" s="157"/>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9">
        <f t="shared" si="83"/>
        <v>0</v>
      </c>
    </row>
    <row r="439" spans="1:19">
      <c r="A439" s="157"/>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9">
        <f t="shared" si="83"/>
        <v>0</v>
      </c>
    </row>
    <row r="440" spans="1:19">
      <c r="A440" s="157"/>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9">
        <f t="shared" si="83"/>
        <v>0</v>
      </c>
    </row>
    <row r="441" spans="1:19">
      <c r="A441" s="157"/>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9">
        <f t="shared" si="83"/>
        <v>0</v>
      </c>
    </row>
    <row r="442" spans="1:19">
      <c r="A442" s="157"/>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9">
        <f t="shared" si="83"/>
        <v>0</v>
      </c>
    </row>
    <row r="443" spans="1:19">
      <c r="A443" s="157"/>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9">
        <f t="shared" si="83"/>
        <v>0</v>
      </c>
    </row>
    <row r="444" spans="1:19">
      <c r="A444" s="157"/>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9">
        <f t="shared" si="83"/>
        <v>0</v>
      </c>
    </row>
    <row r="445" spans="1:19">
      <c r="A445" s="157"/>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9">
        <f t="shared" si="83"/>
        <v>0</v>
      </c>
    </row>
    <row r="446" spans="1:19">
      <c r="A446" s="157"/>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9">
        <f t="shared" si="83"/>
        <v>0</v>
      </c>
    </row>
    <row r="447" spans="1:19">
      <c r="A447" s="157"/>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9">
        <f t="shared" si="83"/>
        <v>0</v>
      </c>
    </row>
    <row r="448" spans="1:19">
      <c r="A448" s="157"/>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9">
        <f t="shared" si="83"/>
        <v>0</v>
      </c>
    </row>
    <row r="449" spans="1:19">
      <c r="A449" s="157"/>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9">
        <f t="shared" si="83"/>
        <v>0</v>
      </c>
    </row>
    <row r="450" spans="1:19">
      <c r="A450" s="157"/>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9">
        <f t="shared" si="83"/>
        <v>0</v>
      </c>
    </row>
    <row r="451" spans="1:19">
      <c r="A451" s="157"/>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9">
        <f t="shared" si="83"/>
        <v>0</v>
      </c>
    </row>
    <row r="452" spans="1:19">
      <c r="A452" s="157"/>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9">
        <f t="shared" si="83"/>
        <v>0</v>
      </c>
    </row>
    <row r="453" spans="1:19">
      <c r="A453" s="157"/>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9">
        <f t="shared" si="83"/>
        <v>0</v>
      </c>
    </row>
    <row r="454" spans="1:19">
      <c r="A454" s="157"/>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9">
        <f t="shared" si="83"/>
        <v>0</v>
      </c>
    </row>
    <row r="455" spans="1:19">
      <c r="A455" s="157"/>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9">
        <f t="shared" si="83"/>
        <v>0</v>
      </c>
    </row>
    <row r="456" spans="1:19">
      <c r="A456" s="157"/>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9">
        <f t="shared" si="83"/>
        <v>0</v>
      </c>
    </row>
    <row r="457" spans="1:19">
      <c r="A457" s="157"/>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9">
        <f t="shared" si="83"/>
        <v>0</v>
      </c>
    </row>
    <row r="458" spans="1:19">
      <c r="A458" s="157"/>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9">
        <f t="shared" si="83"/>
        <v>0</v>
      </c>
    </row>
    <row r="459" spans="1:19">
      <c r="A459" s="157"/>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9">
        <f t="shared" si="83"/>
        <v>0</v>
      </c>
    </row>
    <row r="460" spans="1:19">
      <c r="A460" s="157"/>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9">
        <f t="shared" si="83"/>
        <v>0</v>
      </c>
    </row>
    <row r="461" spans="1:19">
      <c r="A461" s="157"/>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9">
        <f t="shared" si="83"/>
        <v>0</v>
      </c>
    </row>
    <row r="462" spans="1:19">
      <c r="A462" s="157"/>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9">
        <f t="shared" si="83"/>
        <v>0</v>
      </c>
    </row>
    <row r="463" spans="1:19">
      <c r="A463" s="157"/>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9">
        <f t="shared" si="83"/>
        <v>0</v>
      </c>
    </row>
    <row r="464" spans="1:19">
      <c r="A464" s="157"/>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9">
        <f t="shared" si="83"/>
        <v>0</v>
      </c>
    </row>
    <row r="465" spans="1:19">
      <c r="A465" s="157"/>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9">
        <f t="shared" si="83"/>
        <v>0</v>
      </c>
    </row>
    <row r="466" spans="1:19">
      <c r="A466" s="157"/>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9">
        <f t="shared" si="83"/>
        <v>0</v>
      </c>
    </row>
    <row r="467" spans="1:19">
      <c r="A467" s="157"/>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9">
        <f t="shared" si="83"/>
        <v>0</v>
      </c>
    </row>
    <row r="468" spans="1:19">
      <c r="A468" s="157"/>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9">
        <f t="shared" ref="S468:S497" si="84">ROUND(R468*B468/10000,0)</f>
        <v>0</v>
      </c>
    </row>
    <row r="469" spans="1:19">
      <c r="A469" s="157"/>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9">
        <f t="shared" si="84"/>
        <v>0</v>
      </c>
    </row>
    <row r="470" spans="1:19">
      <c r="A470" s="157"/>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9">
        <f t="shared" si="84"/>
        <v>0</v>
      </c>
    </row>
    <row r="471" spans="1:19">
      <c r="A471" s="157"/>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9">
        <f t="shared" si="84"/>
        <v>0</v>
      </c>
    </row>
    <row r="472" spans="1:19">
      <c r="A472" s="157"/>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9">
        <f t="shared" si="84"/>
        <v>0</v>
      </c>
    </row>
    <row r="473" spans="1:19">
      <c r="A473" s="157"/>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9">
        <f t="shared" si="84"/>
        <v>0</v>
      </c>
    </row>
    <row r="474" spans="1:19">
      <c r="A474" s="157"/>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9">
        <f t="shared" si="84"/>
        <v>0</v>
      </c>
    </row>
    <row r="475" spans="1:19">
      <c r="A475" s="157"/>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9">
        <f t="shared" si="84"/>
        <v>0</v>
      </c>
    </row>
    <row r="476" spans="1:19">
      <c r="A476" s="157"/>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9">
        <f t="shared" si="84"/>
        <v>0</v>
      </c>
    </row>
    <row r="477" spans="1:19">
      <c r="A477" s="157"/>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9">
        <f t="shared" si="84"/>
        <v>0</v>
      </c>
    </row>
    <row r="478" spans="1:19">
      <c r="A478" s="157"/>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9">
        <f t="shared" si="84"/>
        <v>0</v>
      </c>
    </row>
    <row r="479" spans="1:19">
      <c r="A479" s="157"/>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9">
        <f t="shared" si="84"/>
        <v>0</v>
      </c>
    </row>
    <row r="480" spans="1:19">
      <c r="A480" s="157"/>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9">
        <f t="shared" si="84"/>
        <v>0</v>
      </c>
    </row>
    <row r="481" spans="1:19">
      <c r="A481" s="157"/>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9">
        <f t="shared" si="84"/>
        <v>0</v>
      </c>
    </row>
    <row r="482" spans="1:19">
      <c r="A482" s="157"/>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9">
        <f t="shared" si="84"/>
        <v>0</v>
      </c>
    </row>
    <row r="483" spans="1:19">
      <c r="A483" s="157"/>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9">
        <f t="shared" si="84"/>
        <v>0</v>
      </c>
    </row>
    <row r="484" spans="1:19">
      <c r="A484" s="157"/>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9">
        <f t="shared" si="84"/>
        <v>0</v>
      </c>
    </row>
    <row r="485" spans="1:19">
      <c r="A485" s="157"/>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9">
        <f t="shared" si="84"/>
        <v>0</v>
      </c>
    </row>
    <row r="486" spans="1:19">
      <c r="A486" s="157"/>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9">
        <f t="shared" si="84"/>
        <v>0</v>
      </c>
    </row>
    <row r="487" spans="1:19">
      <c r="A487" s="157"/>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9">
        <f t="shared" si="84"/>
        <v>0</v>
      </c>
    </row>
    <row r="488" spans="1:19">
      <c r="A488" s="157"/>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9">
        <f t="shared" si="84"/>
        <v>0</v>
      </c>
    </row>
    <row r="489" spans="1:19">
      <c r="A489" s="157"/>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9">
        <f t="shared" si="84"/>
        <v>0</v>
      </c>
    </row>
    <row r="490" spans="1:19">
      <c r="A490" s="157"/>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9">
        <f t="shared" si="84"/>
        <v>0</v>
      </c>
    </row>
    <row r="491" spans="1:19">
      <c r="A491" s="157"/>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9">
        <f t="shared" si="84"/>
        <v>0</v>
      </c>
    </row>
    <row r="492" spans="1:19">
      <c r="A492" s="157"/>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9">
        <f t="shared" si="84"/>
        <v>0</v>
      </c>
    </row>
    <row r="493" spans="1:19">
      <c r="A493" s="157"/>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9">
        <f t="shared" si="84"/>
        <v>0</v>
      </c>
    </row>
    <row r="494" spans="1:19">
      <c r="A494" s="157"/>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9">
        <f t="shared" si="84"/>
        <v>0</v>
      </c>
    </row>
    <row r="495" spans="1:19">
      <c r="A495" s="157"/>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9">
        <f t="shared" si="84"/>
        <v>0</v>
      </c>
    </row>
    <row r="496" spans="1:19">
      <c r="A496" s="157"/>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9">
        <f t="shared" si="84"/>
        <v>0</v>
      </c>
    </row>
    <row r="497" spans="1:19">
      <c r="A497" s="157"/>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9">
        <f t="shared" si="84"/>
        <v>0</v>
      </c>
    </row>
    <row r="498" spans="1:19">
      <c r="A498" s="157"/>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9">
        <f t="shared" ref="S498:S524" si="94">ROUND(R498*B498/10000,0)</f>
        <v>0</v>
      </c>
    </row>
    <row r="499" spans="1:19">
      <c r="A499" s="157"/>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9">
        <f t="shared" si="94"/>
        <v>0</v>
      </c>
    </row>
    <row r="500" spans="1:19">
      <c r="A500" s="157"/>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9">
        <f t="shared" si="94"/>
        <v>0</v>
      </c>
    </row>
    <row r="501" spans="1:19">
      <c r="A501" s="157"/>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9">
        <f t="shared" si="94"/>
        <v>0</v>
      </c>
    </row>
    <row r="502" spans="1:19">
      <c r="A502" s="157"/>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9">
        <f t="shared" si="94"/>
        <v>0</v>
      </c>
    </row>
    <row r="503" spans="1:19">
      <c r="A503" s="157"/>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9">
        <f t="shared" si="94"/>
        <v>0</v>
      </c>
    </row>
    <row r="504" spans="1:19">
      <c r="A504" s="157"/>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9">
        <f t="shared" si="94"/>
        <v>0</v>
      </c>
    </row>
    <row r="505" spans="1:19">
      <c r="A505" s="157"/>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9">
        <f t="shared" si="94"/>
        <v>0</v>
      </c>
    </row>
    <row r="506" spans="1:19">
      <c r="A506" s="157"/>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9">
        <f t="shared" si="94"/>
        <v>0</v>
      </c>
    </row>
    <row r="507" spans="1:19">
      <c r="A507" s="157"/>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9">
        <f t="shared" si="94"/>
        <v>0</v>
      </c>
    </row>
    <row r="508" spans="1:19">
      <c r="A508" s="157"/>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9">
        <f t="shared" si="94"/>
        <v>0</v>
      </c>
    </row>
    <row r="509" spans="1:19">
      <c r="A509" s="157"/>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9">
        <f t="shared" si="94"/>
        <v>0</v>
      </c>
    </row>
    <row r="510" spans="1:19">
      <c r="A510" s="157"/>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9">
        <f t="shared" si="94"/>
        <v>0</v>
      </c>
    </row>
    <row r="511" spans="1:19">
      <c r="A511" s="157"/>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9">
        <f t="shared" si="94"/>
        <v>0</v>
      </c>
    </row>
    <row r="512" spans="1:19">
      <c r="A512" s="157"/>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9">
        <f t="shared" si="94"/>
        <v>0</v>
      </c>
    </row>
    <row r="513" spans="1:19">
      <c r="A513" s="157"/>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9">
        <f t="shared" si="94"/>
        <v>0</v>
      </c>
    </row>
    <row r="514" spans="1:19">
      <c r="A514" s="157"/>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9">
        <f t="shared" si="94"/>
        <v>0</v>
      </c>
    </row>
    <row r="515" spans="1:19">
      <c r="A515" s="157"/>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9">
        <f t="shared" si="94"/>
        <v>0</v>
      </c>
    </row>
    <row r="516" spans="1:19">
      <c r="A516" s="157"/>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9">
        <f t="shared" si="94"/>
        <v>0</v>
      </c>
    </row>
    <row r="517" spans="1:19">
      <c r="A517" s="157"/>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9">
        <f t="shared" si="94"/>
        <v>0</v>
      </c>
    </row>
    <row r="518" spans="1:19">
      <c r="A518" s="157"/>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9">
        <f t="shared" si="94"/>
        <v>0</v>
      </c>
    </row>
    <row r="519" spans="1:19">
      <c r="A519" s="157"/>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9">
        <f t="shared" si="94"/>
        <v>0</v>
      </c>
    </row>
    <row r="520" spans="1:19">
      <c r="A520" s="157"/>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9">
        <f t="shared" si="94"/>
        <v>0</v>
      </c>
    </row>
    <row r="521" spans="1:19">
      <c r="A521" s="157"/>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9">
        <f t="shared" si="94"/>
        <v>0</v>
      </c>
    </row>
    <row r="522" spans="1:19">
      <c r="A522" s="157"/>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9">
        <f t="shared" si="94"/>
        <v>0</v>
      </c>
    </row>
    <row r="523" spans="1:19">
      <c r="A523" s="157"/>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9">
        <f t="shared" si="94"/>
        <v>0</v>
      </c>
    </row>
    <row r="524" spans="1:19">
      <c r="A524" s="157"/>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1641</v>
      </c>
      <c r="B2" s="3094" t="s">
        <v>1642</v>
      </c>
      <c r="C2" s="3094" t="s">
        <v>1643</v>
      </c>
      <c r="D2" s="3094" t="str">
        <f>结果表!D116</f>
        <v>出让国有建设用地使用权价值</v>
      </c>
      <c r="E2" s="3094"/>
      <c r="F2" s="3094" t="str">
        <f>结果表!F116</f>
        <v>建筑物价值</v>
      </c>
      <c r="G2" s="3094"/>
      <c r="H2" s="3094" t="str">
        <f>IF(项目基本情况!B9="房地产市场价值","房地产市场价值","房地产价值")</f>
        <v>房地产价值</v>
      </c>
      <c r="I2" s="3094"/>
    </row>
    <row r="3" spans="1:9" ht="15">
      <c r="A3" s="3088"/>
      <c r="B3" s="3088"/>
      <c r="C3" s="3088"/>
      <c r="D3" s="1041" t="s">
        <v>1638</v>
      </c>
      <c r="E3" s="1041" t="s">
        <v>1644</v>
      </c>
      <c r="F3" s="1041" t="s">
        <v>1638</v>
      </c>
      <c r="G3" s="1041" t="s">
        <v>1639</v>
      </c>
      <c r="H3" s="1041" t="s">
        <v>1638</v>
      </c>
      <c r="I3" s="1041" t="s">
        <v>1639</v>
      </c>
    </row>
    <row r="4" spans="1:9" ht="30">
      <c r="A4" s="1967" t="str">
        <f>项目基本情况!S2</f>
        <v>山东省滨州市盛华路588号房地产</v>
      </c>
      <c r="B4" s="1041">
        <f>项目基本情况!C17</f>
        <v>64165.63</v>
      </c>
      <c r="C4" s="1041">
        <f>项目基本情况!C18</f>
        <v>51051.35</v>
      </c>
      <c r="D4" s="1041">
        <f ca="1">结果表!D118</f>
        <v>5783</v>
      </c>
      <c r="E4" s="1041">
        <f ca="1">结果表!E118</f>
        <v>901</v>
      </c>
      <c r="F4" s="1041">
        <f ca="1">结果表!F118</f>
        <v>7450</v>
      </c>
      <c r="G4" s="1041">
        <f ca="1">结果表!G118</f>
        <v>1161</v>
      </c>
      <c r="H4" s="1041">
        <f ca="1">结果表!H118</f>
        <v>13233</v>
      </c>
      <c r="I4" s="1041">
        <f ca="1">结果表!I118</f>
        <v>2062</v>
      </c>
    </row>
    <row r="5" spans="1:9" ht="30" customHeight="1">
      <c r="A5" s="3088" t="s">
        <v>1640</v>
      </c>
      <c r="B5" s="3088"/>
      <c r="C5" s="3088"/>
      <c r="D5" s="3089" t="str">
        <f ca="1">结果表!D119</f>
        <v>伍仟柒佰捌拾叁万元整</v>
      </c>
      <c r="E5" s="3089"/>
      <c r="F5" s="3089" t="str">
        <f ca="1">结果表!F119</f>
        <v>柒仟肆佰伍拾万元整</v>
      </c>
      <c r="G5" s="3089"/>
      <c r="H5" s="3089" t="str">
        <f ca="1">结果表!H119</f>
        <v>壹亿叁仟贰佰叁拾叁万元整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1640</v>
      </c>
      <c r="B7" s="3088"/>
      <c r="C7" s="3088"/>
      <c r="D7" s="3090" t="str">
        <f>结果表!D121</f>
        <v>零元整</v>
      </c>
      <c r="E7" s="3091"/>
      <c r="F7" s="3091"/>
      <c r="G7" s="3091"/>
      <c r="H7" s="3091"/>
      <c r="I7" s="3092"/>
    </row>
    <row r="8" spans="1:9" ht="15.75">
      <c r="A8" s="3087" t="str">
        <f>结果表!A122</f>
        <v>房地产抵押价值</v>
      </c>
      <c r="B8" s="3087"/>
      <c r="C8" s="3087"/>
      <c r="D8" s="3087">
        <f ca="1">结果表!D122</f>
        <v>13233</v>
      </c>
      <c r="E8" s="3087"/>
      <c r="F8" s="3087"/>
      <c r="G8" s="3087"/>
      <c r="H8" s="3087"/>
      <c r="I8" s="3087"/>
    </row>
    <row r="9" spans="1:9" ht="15">
      <c r="A9" s="3088" t="s">
        <v>1640</v>
      </c>
      <c r="B9" s="3088"/>
      <c r="C9" s="3088"/>
      <c r="D9" s="3089" t="str">
        <f ca="1">结果表!D123</f>
        <v>壹亿叁仟贰佰叁拾叁万元整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1640</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1640</v>
      </c>
      <c r="B13" s="3084"/>
      <c r="C13" s="3084"/>
      <c r="D13" s="3085" t="e">
        <f>结果表!D127</f>
        <v>#VALUE!</v>
      </c>
      <c r="E13" s="3085"/>
      <c r="F13" s="3085"/>
      <c r="G13" s="3085"/>
      <c r="H13" s="3085"/>
      <c r="I13" s="3085"/>
    </row>
    <row r="14" spans="1:9" ht="15" thickTop="1">
      <c r="A14" s="3086" t="s">
        <v>1645</v>
      </c>
      <c r="B14" s="3086"/>
      <c r="C14" s="3086"/>
      <c r="D14" s="3086"/>
      <c r="E14" s="3086"/>
      <c r="F14" s="3086"/>
      <c r="G14" s="3086"/>
      <c r="H14" s="3086"/>
      <c r="I14" s="3086"/>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4" customWidth="1"/>
    <col min="2" max="2" width="18.75" style="2964" customWidth="1"/>
    <col min="3" max="5" width="14.25" style="2964" customWidth="1"/>
    <col min="6" max="6" width="11" style="2964" customWidth="1"/>
    <col min="7" max="7" width="9" style="2964"/>
    <col min="8" max="8" width="13.75" style="2964" customWidth="1"/>
    <col min="9" max="256" width="9" style="2964"/>
    <col min="257" max="257" width="14.25" style="2964" customWidth="1"/>
    <col min="258" max="258" width="18.75" style="2964" customWidth="1"/>
    <col min="259" max="261" width="14.25" style="2964" customWidth="1"/>
    <col min="262" max="262" width="11" style="2964" customWidth="1"/>
    <col min="263" max="263" width="9" style="2964"/>
    <col min="264" max="264" width="13.75" style="2964" customWidth="1"/>
    <col min="265" max="512" width="9" style="2964"/>
    <col min="513" max="513" width="14.25" style="2964" customWidth="1"/>
    <col min="514" max="514" width="18.75" style="2964" customWidth="1"/>
    <col min="515" max="517" width="14.25" style="2964" customWidth="1"/>
    <col min="518" max="518" width="11" style="2964" customWidth="1"/>
    <col min="519" max="519" width="9" style="2964"/>
    <col min="520" max="520" width="13.75" style="2964" customWidth="1"/>
    <col min="521" max="768" width="9" style="2964"/>
    <col min="769" max="769" width="14.25" style="2964" customWidth="1"/>
    <col min="770" max="770" width="18.75" style="2964" customWidth="1"/>
    <col min="771" max="773" width="14.25" style="2964" customWidth="1"/>
    <col min="774" max="774" width="11" style="2964" customWidth="1"/>
    <col min="775" max="775" width="9" style="2964"/>
    <col min="776" max="776" width="13.75" style="2964" customWidth="1"/>
    <col min="777" max="1024" width="9" style="2964"/>
    <col min="1025" max="1025" width="14.25" style="2964" customWidth="1"/>
    <col min="1026" max="1026" width="18.75" style="2964" customWidth="1"/>
    <col min="1027" max="1029" width="14.25" style="2964" customWidth="1"/>
    <col min="1030" max="1030" width="11" style="2964" customWidth="1"/>
    <col min="1031" max="1031" width="9" style="2964"/>
    <col min="1032" max="1032" width="13.75" style="2964" customWidth="1"/>
    <col min="1033" max="1280" width="9" style="2964"/>
    <col min="1281" max="1281" width="14.25" style="2964" customWidth="1"/>
    <col min="1282" max="1282" width="18.75" style="2964" customWidth="1"/>
    <col min="1283" max="1285" width="14.25" style="2964" customWidth="1"/>
    <col min="1286" max="1286" width="11" style="2964" customWidth="1"/>
    <col min="1287" max="1287" width="9" style="2964"/>
    <col min="1288" max="1288" width="13.75" style="2964" customWidth="1"/>
    <col min="1289" max="1536" width="9" style="2964"/>
    <col min="1537" max="1537" width="14.25" style="2964" customWidth="1"/>
    <col min="1538" max="1538" width="18.75" style="2964" customWidth="1"/>
    <col min="1539" max="1541" width="14.25" style="2964" customWidth="1"/>
    <col min="1542" max="1542" width="11" style="2964" customWidth="1"/>
    <col min="1543" max="1543" width="9" style="2964"/>
    <col min="1544" max="1544" width="13.75" style="2964" customWidth="1"/>
    <col min="1545" max="1792" width="9" style="2964"/>
    <col min="1793" max="1793" width="14.25" style="2964" customWidth="1"/>
    <col min="1794" max="1794" width="18.75" style="2964" customWidth="1"/>
    <col min="1795" max="1797" width="14.25" style="2964" customWidth="1"/>
    <col min="1798" max="1798" width="11" style="2964" customWidth="1"/>
    <col min="1799" max="1799" width="9" style="2964"/>
    <col min="1800" max="1800" width="13.75" style="2964" customWidth="1"/>
    <col min="1801" max="2048" width="9" style="2964"/>
    <col min="2049" max="2049" width="14.25" style="2964" customWidth="1"/>
    <col min="2050" max="2050" width="18.75" style="2964" customWidth="1"/>
    <col min="2051" max="2053" width="14.25" style="2964" customWidth="1"/>
    <col min="2054" max="2054" width="11" style="2964" customWidth="1"/>
    <col min="2055" max="2055" width="9" style="2964"/>
    <col min="2056" max="2056" width="13.75" style="2964" customWidth="1"/>
    <col min="2057" max="2304" width="9" style="2964"/>
    <col min="2305" max="2305" width="14.25" style="2964" customWidth="1"/>
    <col min="2306" max="2306" width="18.75" style="2964" customWidth="1"/>
    <col min="2307" max="2309" width="14.25" style="2964" customWidth="1"/>
    <col min="2310" max="2310" width="11" style="2964" customWidth="1"/>
    <col min="2311" max="2311" width="9" style="2964"/>
    <col min="2312" max="2312" width="13.75" style="2964" customWidth="1"/>
    <col min="2313" max="2560" width="9" style="2964"/>
    <col min="2561" max="2561" width="14.25" style="2964" customWidth="1"/>
    <col min="2562" max="2562" width="18.75" style="2964" customWidth="1"/>
    <col min="2563" max="2565" width="14.25" style="2964" customWidth="1"/>
    <col min="2566" max="2566" width="11" style="2964" customWidth="1"/>
    <col min="2567" max="2567" width="9" style="2964"/>
    <col min="2568" max="2568" width="13.75" style="2964" customWidth="1"/>
    <col min="2569" max="2816" width="9" style="2964"/>
    <col min="2817" max="2817" width="14.25" style="2964" customWidth="1"/>
    <col min="2818" max="2818" width="18.75" style="2964" customWidth="1"/>
    <col min="2819" max="2821" width="14.25" style="2964" customWidth="1"/>
    <col min="2822" max="2822" width="11" style="2964" customWidth="1"/>
    <col min="2823" max="2823" width="9" style="2964"/>
    <col min="2824" max="2824" width="13.75" style="2964" customWidth="1"/>
    <col min="2825" max="3072" width="9" style="2964"/>
    <col min="3073" max="3073" width="14.25" style="2964" customWidth="1"/>
    <col min="3074" max="3074" width="18.75" style="2964" customWidth="1"/>
    <col min="3075" max="3077" width="14.25" style="2964" customWidth="1"/>
    <col min="3078" max="3078" width="11" style="2964" customWidth="1"/>
    <col min="3079" max="3079" width="9" style="2964"/>
    <col min="3080" max="3080" width="13.75" style="2964" customWidth="1"/>
    <col min="3081" max="3328" width="9" style="2964"/>
    <col min="3329" max="3329" width="14.25" style="2964" customWidth="1"/>
    <col min="3330" max="3330" width="18.75" style="2964" customWidth="1"/>
    <col min="3331" max="3333" width="14.25" style="2964" customWidth="1"/>
    <col min="3334" max="3334" width="11" style="2964" customWidth="1"/>
    <col min="3335" max="3335" width="9" style="2964"/>
    <col min="3336" max="3336" width="13.75" style="2964" customWidth="1"/>
    <col min="3337" max="3584" width="9" style="2964"/>
    <col min="3585" max="3585" width="14.25" style="2964" customWidth="1"/>
    <col min="3586" max="3586" width="18.75" style="2964" customWidth="1"/>
    <col min="3587" max="3589" width="14.25" style="2964" customWidth="1"/>
    <col min="3590" max="3590" width="11" style="2964" customWidth="1"/>
    <col min="3591" max="3591" width="9" style="2964"/>
    <col min="3592" max="3592" width="13.75" style="2964" customWidth="1"/>
    <col min="3593" max="3840" width="9" style="2964"/>
    <col min="3841" max="3841" width="14.25" style="2964" customWidth="1"/>
    <col min="3842" max="3842" width="18.75" style="2964" customWidth="1"/>
    <col min="3843" max="3845" width="14.25" style="2964" customWidth="1"/>
    <col min="3846" max="3846" width="11" style="2964" customWidth="1"/>
    <col min="3847" max="3847" width="9" style="2964"/>
    <col min="3848" max="3848" width="13.75" style="2964" customWidth="1"/>
    <col min="3849" max="4096" width="9" style="2964"/>
    <col min="4097" max="4097" width="14.25" style="2964" customWidth="1"/>
    <col min="4098" max="4098" width="18.75" style="2964" customWidth="1"/>
    <col min="4099" max="4101" width="14.25" style="2964" customWidth="1"/>
    <col min="4102" max="4102" width="11" style="2964" customWidth="1"/>
    <col min="4103" max="4103" width="9" style="2964"/>
    <col min="4104" max="4104" width="13.75" style="2964" customWidth="1"/>
    <col min="4105" max="4352" width="9" style="2964"/>
    <col min="4353" max="4353" width="14.25" style="2964" customWidth="1"/>
    <col min="4354" max="4354" width="18.75" style="2964" customWidth="1"/>
    <col min="4355" max="4357" width="14.25" style="2964" customWidth="1"/>
    <col min="4358" max="4358" width="11" style="2964" customWidth="1"/>
    <col min="4359" max="4359" width="9" style="2964"/>
    <col min="4360" max="4360" width="13.75" style="2964" customWidth="1"/>
    <col min="4361" max="4608" width="9" style="2964"/>
    <col min="4609" max="4609" width="14.25" style="2964" customWidth="1"/>
    <col min="4610" max="4610" width="18.75" style="2964" customWidth="1"/>
    <col min="4611" max="4613" width="14.25" style="2964" customWidth="1"/>
    <col min="4614" max="4614" width="11" style="2964" customWidth="1"/>
    <col min="4615" max="4615" width="9" style="2964"/>
    <col min="4616" max="4616" width="13.75" style="2964" customWidth="1"/>
    <col min="4617" max="4864" width="9" style="2964"/>
    <col min="4865" max="4865" width="14.25" style="2964" customWidth="1"/>
    <col min="4866" max="4866" width="18.75" style="2964" customWidth="1"/>
    <col min="4867" max="4869" width="14.25" style="2964" customWidth="1"/>
    <col min="4870" max="4870" width="11" style="2964" customWidth="1"/>
    <col min="4871" max="4871" width="9" style="2964"/>
    <col min="4872" max="4872" width="13.75" style="2964" customWidth="1"/>
    <col min="4873" max="5120" width="9" style="2964"/>
    <col min="5121" max="5121" width="14.25" style="2964" customWidth="1"/>
    <col min="5122" max="5122" width="18.75" style="2964" customWidth="1"/>
    <col min="5123" max="5125" width="14.25" style="2964" customWidth="1"/>
    <col min="5126" max="5126" width="11" style="2964" customWidth="1"/>
    <col min="5127" max="5127" width="9" style="2964"/>
    <col min="5128" max="5128" width="13.75" style="2964" customWidth="1"/>
    <col min="5129" max="5376" width="9" style="2964"/>
    <col min="5377" max="5377" width="14.25" style="2964" customWidth="1"/>
    <col min="5378" max="5378" width="18.75" style="2964" customWidth="1"/>
    <col min="5379" max="5381" width="14.25" style="2964" customWidth="1"/>
    <col min="5382" max="5382" width="11" style="2964" customWidth="1"/>
    <col min="5383" max="5383" width="9" style="2964"/>
    <col min="5384" max="5384" width="13.75" style="2964" customWidth="1"/>
    <col min="5385" max="5632" width="9" style="2964"/>
    <col min="5633" max="5633" width="14.25" style="2964" customWidth="1"/>
    <col min="5634" max="5634" width="18.75" style="2964" customWidth="1"/>
    <col min="5635" max="5637" width="14.25" style="2964" customWidth="1"/>
    <col min="5638" max="5638" width="11" style="2964" customWidth="1"/>
    <col min="5639" max="5639" width="9" style="2964"/>
    <col min="5640" max="5640" width="13.75" style="2964" customWidth="1"/>
    <col min="5641" max="5888" width="9" style="2964"/>
    <col min="5889" max="5889" width="14.25" style="2964" customWidth="1"/>
    <col min="5890" max="5890" width="18.75" style="2964" customWidth="1"/>
    <col min="5891" max="5893" width="14.25" style="2964" customWidth="1"/>
    <col min="5894" max="5894" width="11" style="2964" customWidth="1"/>
    <col min="5895" max="5895" width="9" style="2964"/>
    <col min="5896" max="5896" width="13.75" style="2964" customWidth="1"/>
    <col min="5897" max="6144" width="9" style="2964"/>
    <col min="6145" max="6145" width="14.25" style="2964" customWidth="1"/>
    <col min="6146" max="6146" width="18.75" style="2964" customWidth="1"/>
    <col min="6147" max="6149" width="14.25" style="2964" customWidth="1"/>
    <col min="6150" max="6150" width="11" style="2964" customWidth="1"/>
    <col min="6151" max="6151" width="9" style="2964"/>
    <col min="6152" max="6152" width="13.75" style="2964" customWidth="1"/>
    <col min="6153" max="6400" width="9" style="2964"/>
    <col min="6401" max="6401" width="14.25" style="2964" customWidth="1"/>
    <col min="6402" max="6402" width="18.75" style="2964" customWidth="1"/>
    <col min="6403" max="6405" width="14.25" style="2964" customWidth="1"/>
    <col min="6406" max="6406" width="11" style="2964" customWidth="1"/>
    <col min="6407" max="6407" width="9" style="2964"/>
    <col min="6408" max="6408" width="13.75" style="2964" customWidth="1"/>
    <col min="6409" max="6656" width="9" style="2964"/>
    <col min="6657" max="6657" width="14.25" style="2964" customWidth="1"/>
    <col min="6658" max="6658" width="18.75" style="2964" customWidth="1"/>
    <col min="6659" max="6661" width="14.25" style="2964" customWidth="1"/>
    <col min="6662" max="6662" width="11" style="2964" customWidth="1"/>
    <col min="6663" max="6663" width="9" style="2964"/>
    <col min="6664" max="6664" width="13.75" style="2964" customWidth="1"/>
    <col min="6665" max="6912" width="9" style="2964"/>
    <col min="6913" max="6913" width="14.25" style="2964" customWidth="1"/>
    <col min="6914" max="6914" width="18.75" style="2964" customWidth="1"/>
    <col min="6915" max="6917" width="14.25" style="2964" customWidth="1"/>
    <col min="6918" max="6918" width="11" style="2964" customWidth="1"/>
    <col min="6919" max="6919" width="9" style="2964"/>
    <col min="6920" max="6920" width="13.75" style="2964" customWidth="1"/>
    <col min="6921" max="7168" width="9" style="2964"/>
    <col min="7169" max="7169" width="14.25" style="2964" customWidth="1"/>
    <col min="7170" max="7170" width="18.75" style="2964" customWidth="1"/>
    <col min="7171" max="7173" width="14.25" style="2964" customWidth="1"/>
    <col min="7174" max="7174" width="11" style="2964" customWidth="1"/>
    <col min="7175" max="7175" width="9" style="2964"/>
    <col min="7176" max="7176" width="13.75" style="2964" customWidth="1"/>
    <col min="7177" max="7424" width="9" style="2964"/>
    <col min="7425" max="7425" width="14.25" style="2964" customWidth="1"/>
    <col min="7426" max="7426" width="18.75" style="2964" customWidth="1"/>
    <col min="7427" max="7429" width="14.25" style="2964" customWidth="1"/>
    <col min="7430" max="7430" width="11" style="2964" customWidth="1"/>
    <col min="7431" max="7431" width="9" style="2964"/>
    <col min="7432" max="7432" width="13.75" style="2964" customWidth="1"/>
    <col min="7433" max="7680" width="9" style="2964"/>
    <col min="7681" max="7681" width="14.25" style="2964" customWidth="1"/>
    <col min="7682" max="7682" width="18.75" style="2964" customWidth="1"/>
    <col min="7683" max="7685" width="14.25" style="2964" customWidth="1"/>
    <col min="7686" max="7686" width="11" style="2964" customWidth="1"/>
    <col min="7687" max="7687" width="9" style="2964"/>
    <col min="7688" max="7688" width="13.75" style="2964" customWidth="1"/>
    <col min="7689" max="7936" width="9" style="2964"/>
    <col min="7937" max="7937" width="14.25" style="2964" customWidth="1"/>
    <col min="7938" max="7938" width="18.75" style="2964" customWidth="1"/>
    <col min="7939" max="7941" width="14.25" style="2964" customWidth="1"/>
    <col min="7942" max="7942" width="11" style="2964" customWidth="1"/>
    <col min="7943" max="7943" width="9" style="2964"/>
    <col min="7944" max="7944" width="13.75" style="2964" customWidth="1"/>
    <col min="7945" max="8192" width="9" style="2964"/>
    <col min="8193" max="8193" width="14.25" style="2964" customWidth="1"/>
    <col min="8194" max="8194" width="18.75" style="2964" customWidth="1"/>
    <col min="8195" max="8197" width="14.25" style="2964" customWidth="1"/>
    <col min="8198" max="8198" width="11" style="2964" customWidth="1"/>
    <col min="8199" max="8199" width="9" style="2964"/>
    <col min="8200" max="8200" width="13.75" style="2964" customWidth="1"/>
    <col min="8201" max="8448" width="9" style="2964"/>
    <col min="8449" max="8449" width="14.25" style="2964" customWidth="1"/>
    <col min="8450" max="8450" width="18.75" style="2964" customWidth="1"/>
    <col min="8451" max="8453" width="14.25" style="2964" customWidth="1"/>
    <col min="8454" max="8454" width="11" style="2964" customWidth="1"/>
    <col min="8455" max="8455" width="9" style="2964"/>
    <col min="8456" max="8456" width="13.75" style="2964" customWidth="1"/>
    <col min="8457" max="8704" width="9" style="2964"/>
    <col min="8705" max="8705" width="14.25" style="2964" customWidth="1"/>
    <col min="8706" max="8706" width="18.75" style="2964" customWidth="1"/>
    <col min="8707" max="8709" width="14.25" style="2964" customWidth="1"/>
    <col min="8710" max="8710" width="11" style="2964" customWidth="1"/>
    <col min="8711" max="8711" width="9" style="2964"/>
    <col min="8712" max="8712" width="13.75" style="2964" customWidth="1"/>
    <col min="8713" max="8960" width="9" style="2964"/>
    <col min="8961" max="8961" width="14.25" style="2964" customWidth="1"/>
    <col min="8962" max="8962" width="18.75" style="2964" customWidth="1"/>
    <col min="8963" max="8965" width="14.25" style="2964" customWidth="1"/>
    <col min="8966" max="8966" width="11" style="2964" customWidth="1"/>
    <col min="8967" max="8967" width="9" style="2964"/>
    <col min="8968" max="8968" width="13.75" style="2964" customWidth="1"/>
    <col min="8969" max="9216" width="9" style="2964"/>
    <col min="9217" max="9217" width="14.25" style="2964" customWidth="1"/>
    <col min="9218" max="9218" width="18.75" style="2964" customWidth="1"/>
    <col min="9219" max="9221" width="14.25" style="2964" customWidth="1"/>
    <col min="9222" max="9222" width="11" style="2964" customWidth="1"/>
    <col min="9223" max="9223" width="9" style="2964"/>
    <col min="9224" max="9224" width="13.75" style="2964" customWidth="1"/>
    <col min="9225" max="9472" width="9" style="2964"/>
    <col min="9473" max="9473" width="14.25" style="2964" customWidth="1"/>
    <col min="9474" max="9474" width="18.75" style="2964" customWidth="1"/>
    <col min="9475" max="9477" width="14.25" style="2964" customWidth="1"/>
    <col min="9478" max="9478" width="11" style="2964" customWidth="1"/>
    <col min="9479" max="9479" width="9" style="2964"/>
    <col min="9480" max="9480" width="13.75" style="2964" customWidth="1"/>
    <col min="9481" max="9728" width="9" style="2964"/>
    <col min="9729" max="9729" width="14.25" style="2964" customWidth="1"/>
    <col min="9730" max="9730" width="18.75" style="2964" customWidth="1"/>
    <col min="9731" max="9733" width="14.25" style="2964" customWidth="1"/>
    <col min="9734" max="9734" width="11" style="2964" customWidth="1"/>
    <col min="9735" max="9735" width="9" style="2964"/>
    <col min="9736" max="9736" width="13.75" style="2964" customWidth="1"/>
    <col min="9737" max="9984" width="9" style="2964"/>
    <col min="9985" max="9985" width="14.25" style="2964" customWidth="1"/>
    <col min="9986" max="9986" width="18.75" style="2964" customWidth="1"/>
    <col min="9987" max="9989" width="14.25" style="2964" customWidth="1"/>
    <col min="9990" max="9990" width="11" style="2964" customWidth="1"/>
    <col min="9991" max="9991" width="9" style="2964"/>
    <col min="9992" max="9992" width="13.75" style="2964" customWidth="1"/>
    <col min="9993" max="10240" width="9" style="2964"/>
    <col min="10241" max="10241" width="14.25" style="2964" customWidth="1"/>
    <col min="10242" max="10242" width="18.75" style="2964" customWidth="1"/>
    <col min="10243" max="10245" width="14.25" style="2964" customWidth="1"/>
    <col min="10246" max="10246" width="11" style="2964" customWidth="1"/>
    <col min="10247" max="10247" width="9" style="2964"/>
    <col min="10248" max="10248" width="13.75" style="2964" customWidth="1"/>
    <col min="10249" max="10496" width="9" style="2964"/>
    <col min="10497" max="10497" width="14.25" style="2964" customWidth="1"/>
    <col min="10498" max="10498" width="18.75" style="2964" customWidth="1"/>
    <col min="10499" max="10501" width="14.25" style="2964" customWidth="1"/>
    <col min="10502" max="10502" width="11" style="2964" customWidth="1"/>
    <col min="10503" max="10503" width="9" style="2964"/>
    <col min="10504" max="10504" width="13.75" style="2964" customWidth="1"/>
    <col min="10505" max="10752" width="9" style="2964"/>
    <col min="10753" max="10753" width="14.25" style="2964" customWidth="1"/>
    <col min="10754" max="10754" width="18.75" style="2964" customWidth="1"/>
    <col min="10755" max="10757" width="14.25" style="2964" customWidth="1"/>
    <col min="10758" max="10758" width="11" style="2964" customWidth="1"/>
    <col min="10759" max="10759" width="9" style="2964"/>
    <col min="10760" max="10760" width="13.75" style="2964" customWidth="1"/>
    <col min="10761" max="11008" width="9" style="2964"/>
    <col min="11009" max="11009" width="14.25" style="2964" customWidth="1"/>
    <col min="11010" max="11010" width="18.75" style="2964" customWidth="1"/>
    <col min="11011" max="11013" width="14.25" style="2964" customWidth="1"/>
    <col min="11014" max="11014" width="11" style="2964" customWidth="1"/>
    <col min="11015" max="11015" width="9" style="2964"/>
    <col min="11016" max="11016" width="13.75" style="2964" customWidth="1"/>
    <col min="11017" max="11264" width="9" style="2964"/>
    <col min="11265" max="11265" width="14.25" style="2964" customWidth="1"/>
    <col min="11266" max="11266" width="18.75" style="2964" customWidth="1"/>
    <col min="11267" max="11269" width="14.25" style="2964" customWidth="1"/>
    <col min="11270" max="11270" width="11" style="2964" customWidth="1"/>
    <col min="11271" max="11271" width="9" style="2964"/>
    <col min="11272" max="11272" width="13.75" style="2964" customWidth="1"/>
    <col min="11273" max="11520" width="9" style="2964"/>
    <col min="11521" max="11521" width="14.25" style="2964" customWidth="1"/>
    <col min="11522" max="11522" width="18.75" style="2964" customWidth="1"/>
    <col min="11523" max="11525" width="14.25" style="2964" customWidth="1"/>
    <col min="11526" max="11526" width="11" style="2964" customWidth="1"/>
    <col min="11527" max="11527" width="9" style="2964"/>
    <col min="11528" max="11528" width="13.75" style="2964" customWidth="1"/>
    <col min="11529" max="11776" width="9" style="2964"/>
    <col min="11777" max="11777" width="14.25" style="2964" customWidth="1"/>
    <col min="11778" max="11778" width="18.75" style="2964" customWidth="1"/>
    <col min="11779" max="11781" width="14.25" style="2964" customWidth="1"/>
    <col min="11782" max="11782" width="11" style="2964" customWidth="1"/>
    <col min="11783" max="11783" width="9" style="2964"/>
    <col min="11784" max="11784" width="13.75" style="2964" customWidth="1"/>
    <col min="11785" max="12032" width="9" style="2964"/>
    <col min="12033" max="12033" width="14.25" style="2964" customWidth="1"/>
    <col min="12034" max="12034" width="18.75" style="2964" customWidth="1"/>
    <col min="12035" max="12037" width="14.25" style="2964" customWidth="1"/>
    <col min="12038" max="12038" width="11" style="2964" customWidth="1"/>
    <col min="12039" max="12039" width="9" style="2964"/>
    <col min="12040" max="12040" width="13.75" style="2964" customWidth="1"/>
    <col min="12041" max="12288" width="9" style="2964"/>
    <col min="12289" max="12289" width="14.25" style="2964" customWidth="1"/>
    <col min="12290" max="12290" width="18.75" style="2964" customWidth="1"/>
    <col min="12291" max="12293" width="14.25" style="2964" customWidth="1"/>
    <col min="12294" max="12294" width="11" style="2964" customWidth="1"/>
    <col min="12295" max="12295" width="9" style="2964"/>
    <col min="12296" max="12296" width="13.75" style="2964" customWidth="1"/>
    <col min="12297" max="12544" width="9" style="2964"/>
    <col min="12545" max="12545" width="14.25" style="2964" customWidth="1"/>
    <col min="12546" max="12546" width="18.75" style="2964" customWidth="1"/>
    <col min="12547" max="12549" width="14.25" style="2964" customWidth="1"/>
    <col min="12550" max="12550" width="11" style="2964" customWidth="1"/>
    <col min="12551" max="12551" width="9" style="2964"/>
    <col min="12552" max="12552" width="13.75" style="2964" customWidth="1"/>
    <col min="12553" max="12800" width="9" style="2964"/>
    <col min="12801" max="12801" width="14.25" style="2964" customWidth="1"/>
    <col min="12802" max="12802" width="18.75" style="2964" customWidth="1"/>
    <col min="12803" max="12805" width="14.25" style="2964" customWidth="1"/>
    <col min="12806" max="12806" width="11" style="2964" customWidth="1"/>
    <col min="12807" max="12807" width="9" style="2964"/>
    <col min="12808" max="12808" width="13.75" style="2964" customWidth="1"/>
    <col min="12809" max="13056" width="9" style="2964"/>
    <col min="13057" max="13057" width="14.25" style="2964" customWidth="1"/>
    <col min="13058" max="13058" width="18.75" style="2964" customWidth="1"/>
    <col min="13059" max="13061" width="14.25" style="2964" customWidth="1"/>
    <col min="13062" max="13062" width="11" style="2964" customWidth="1"/>
    <col min="13063" max="13063" width="9" style="2964"/>
    <col min="13064" max="13064" width="13.75" style="2964" customWidth="1"/>
    <col min="13065" max="13312" width="9" style="2964"/>
    <col min="13313" max="13313" width="14.25" style="2964" customWidth="1"/>
    <col min="13314" max="13314" width="18.75" style="2964" customWidth="1"/>
    <col min="13315" max="13317" width="14.25" style="2964" customWidth="1"/>
    <col min="13318" max="13318" width="11" style="2964" customWidth="1"/>
    <col min="13319" max="13319" width="9" style="2964"/>
    <col min="13320" max="13320" width="13.75" style="2964" customWidth="1"/>
    <col min="13321" max="13568" width="9" style="2964"/>
    <col min="13569" max="13569" width="14.25" style="2964" customWidth="1"/>
    <col min="13570" max="13570" width="18.75" style="2964" customWidth="1"/>
    <col min="13571" max="13573" width="14.25" style="2964" customWidth="1"/>
    <col min="13574" max="13574" width="11" style="2964" customWidth="1"/>
    <col min="13575" max="13575" width="9" style="2964"/>
    <col min="13576" max="13576" width="13.75" style="2964" customWidth="1"/>
    <col min="13577" max="13824" width="9" style="2964"/>
    <col min="13825" max="13825" width="14.25" style="2964" customWidth="1"/>
    <col min="13826" max="13826" width="18.75" style="2964" customWidth="1"/>
    <col min="13827" max="13829" width="14.25" style="2964" customWidth="1"/>
    <col min="13830" max="13830" width="11" style="2964" customWidth="1"/>
    <col min="13831" max="13831" width="9" style="2964"/>
    <col min="13832" max="13832" width="13.75" style="2964" customWidth="1"/>
    <col min="13833" max="14080" width="9" style="2964"/>
    <col min="14081" max="14081" width="14.25" style="2964" customWidth="1"/>
    <col min="14082" max="14082" width="18.75" style="2964" customWidth="1"/>
    <col min="14083" max="14085" width="14.25" style="2964" customWidth="1"/>
    <col min="14086" max="14086" width="11" style="2964" customWidth="1"/>
    <col min="14087" max="14087" width="9" style="2964"/>
    <col min="14088" max="14088" width="13.75" style="2964" customWidth="1"/>
    <col min="14089" max="14336" width="9" style="2964"/>
    <col min="14337" max="14337" width="14.25" style="2964" customWidth="1"/>
    <col min="14338" max="14338" width="18.75" style="2964" customWidth="1"/>
    <col min="14339" max="14341" width="14.25" style="2964" customWidth="1"/>
    <col min="14342" max="14342" width="11" style="2964" customWidth="1"/>
    <col min="14343" max="14343" width="9" style="2964"/>
    <col min="14344" max="14344" width="13.75" style="2964" customWidth="1"/>
    <col min="14345" max="14592" width="9" style="2964"/>
    <col min="14593" max="14593" width="14.25" style="2964" customWidth="1"/>
    <col min="14594" max="14594" width="18.75" style="2964" customWidth="1"/>
    <col min="14595" max="14597" width="14.25" style="2964" customWidth="1"/>
    <col min="14598" max="14598" width="11" style="2964" customWidth="1"/>
    <col min="14599" max="14599" width="9" style="2964"/>
    <col min="14600" max="14600" width="13.75" style="2964" customWidth="1"/>
    <col min="14601" max="14848" width="9" style="2964"/>
    <col min="14849" max="14849" width="14.25" style="2964" customWidth="1"/>
    <col min="14850" max="14850" width="18.75" style="2964" customWidth="1"/>
    <col min="14851" max="14853" width="14.25" style="2964" customWidth="1"/>
    <col min="14854" max="14854" width="11" style="2964" customWidth="1"/>
    <col min="14855" max="14855" width="9" style="2964"/>
    <col min="14856" max="14856" width="13.75" style="2964" customWidth="1"/>
    <col min="14857" max="15104" width="9" style="2964"/>
    <col min="15105" max="15105" width="14.25" style="2964" customWidth="1"/>
    <col min="15106" max="15106" width="18.75" style="2964" customWidth="1"/>
    <col min="15107" max="15109" width="14.25" style="2964" customWidth="1"/>
    <col min="15110" max="15110" width="11" style="2964" customWidth="1"/>
    <col min="15111" max="15111" width="9" style="2964"/>
    <col min="15112" max="15112" width="13.75" style="2964" customWidth="1"/>
    <col min="15113" max="15360" width="9" style="2964"/>
    <col min="15361" max="15361" width="14.25" style="2964" customWidth="1"/>
    <col min="15362" max="15362" width="18.75" style="2964" customWidth="1"/>
    <col min="15363" max="15365" width="14.25" style="2964" customWidth="1"/>
    <col min="15366" max="15366" width="11" style="2964" customWidth="1"/>
    <col min="15367" max="15367" width="9" style="2964"/>
    <col min="15368" max="15368" width="13.75" style="2964" customWidth="1"/>
    <col min="15369" max="15616" width="9" style="2964"/>
    <col min="15617" max="15617" width="14.25" style="2964" customWidth="1"/>
    <col min="15618" max="15618" width="18.75" style="2964" customWidth="1"/>
    <col min="15619" max="15621" width="14.25" style="2964" customWidth="1"/>
    <col min="15622" max="15622" width="11" style="2964" customWidth="1"/>
    <col min="15623" max="15623" width="9" style="2964"/>
    <col min="15624" max="15624" width="13.75" style="2964" customWidth="1"/>
    <col min="15625" max="15872" width="9" style="2964"/>
    <col min="15873" max="15873" width="14.25" style="2964" customWidth="1"/>
    <col min="15874" max="15874" width="18.75" style="2964" customWidth="1"/>
    <col min="15875" max="15877" width="14.25" style="2964" customWidth="1"/>
    <col min="15878" max="15878" width="11" style="2964" customWidth="1"/>
    <col min="15879" max="15879" width="9" style="2964"/>
    <col min="15880" max="15880" width="13.75" style="2964" customWidth="1"/>
    <col min="15881" max="16128" width="9" style="2964"/>
    <col min="16129" max="16129" width="14.25" style="2964" customWidth="1"/>
    <col min="16130" max="16130" width="18.75" style="2964" customWidth="1"/>
    <col min="16131" max="16133" width="14.25" style="2964" customWidth="1"/>
    <col min="16134" max="16134" width="11" style="2964" customWidth="1"/>
    <col min="16135" max="16135" width="9" style="2964"/>
    <col min="16136" max="16136" width="13.75" style="2964" customWidth="1"/>
    <col min="16137" max="16384" width="9" style="2964"/>
  </cols>
  <sheetData>
    <row r="1" spans="1:6" ht="20.25" customHeight="1" thickBot="1">
      <c r="A1" s="2962" t="s">
        <v>3128</v>
      </c>
      <c r="B1" s="2963">
        <v>43200</v>
      </c>
    </row>
    <row r="2" spans="1:6" ht="33" customHeight="1">
      <c r="A2" s="2965" t="s">
        <v>3129</v>
      </c>
      <c r="B2" s="2966" t="s">
        <v>3130</v>
      </c>
      <c r="C2" s="2967" t="s">
        <v>3131</v>
      </c>
      <c r="D2" s="2966" t="s">
        <v>3132</v>
      </c>
      <c r="E2" s="2968" t="s">
        <v>3133</v>
      </c>
    </row>
    <row r="3" spans="1:6" ht="20.25" customHeight="1">
      <c r="A3" s="2969">
        <v>40</v>
      </c>
      <c r="B3" s="2970">
        <v>46375</v>
      </c>
      <c r="C3" s="2971">
        <f>ROUNDDOWN(MIN((B3-$B$1)/365,A3),2)</f>
        <v>8.69</v>
      </c>
      <c r="D3" s="2972">
        <f>IF(ISERROR(ROUND(POWER(1+E3,A3-C3)*(POWER(1+E3,C3)-1)/(POWER(1+E3,A3)-1),3)),0,ROUND(POWER(1+E3,A3-C3)*(POWER(1+E3,C3)-1)/(POWER(1+E3,A3)-1),3))</f>
        <v>0.36499999999999999</v>
      </c>
      <c r="E3" s="2973">
        <v>0.04</v>
      </c>
    </row>
    <row r="4" spans="1:6" ht="20.25" customHeight="1">
      <c r="A4" s="2969">
        <v>50</v>
      </c>
      <c r="B4" s="2970">
        <v>44195</v>
      </c>
      <c r="C4" s="2971">
        <f>ROUNDDOWN(MIN((B4-$B$1)/365,A4),2)</f>
        <v>2.72</v>
      </c>
      <c r="D4" s="2972">
        <f>IF(ISERROR(ROUND(POWER(1+E4,A4-C4)*(POWER(1+E4,C4)-1)/(POWER(1+E4,A4)-1),3)),0,ROUND(POWER(1+E4,A4-C4)*(POWER(1+E4,C4)-1)/(POWER(1+E4,A4)-1),3))</f>
        <v>0.11799999999999999</v>
      </c>
      <c r="E4" s="2973">
        <v>0.04</v>
      </c>
    </row>
    <row r="5" spans="1:6" ht="20.25" customHeight="1" thickBot="1">
      <c r="A5" s="2974">
        <v>70</v>
      </c>
      <c r="B5" s="2975">
        <v>57333</v>
      </c>
      <c r="C5" s="2976">
        <f>ROUNDDOWN(MIN((B5-$B$1)/365,A5),2)</f>
        <v>38.72</v>
      </c>
      <c r="D5" s="2977">
        <f>IF(ISERROR(ROUND(POWER(1+E5,A5-C5)*(POWER(1+E5,C5)-1)/(POWER(1+E5,A5)-1),3)),0,ROUND(POWER(1+E5,A5-C5)*(POWER(1+E5,C5)-1)/(POWER(1+E5,A5)-1),3))</f>
        <v>0.83499999999999996</v>
      </c>
      <c r="E5" s="2978">
        <v>0.04</v>
      </c>
    </row>
    <row r="6" spans="1:6" ht="20.25" customHeight="1" thickBot="1"/>
    <row r="7" spans="1:6" s="2981" customFormat="1" ht="20.25" customHeight="1" thickBot="1">
      <c r="A7" s="2979" t="s">
        <v>3134</v>
      </c>
      <c r="B7" s="2980"/>
    </row>
    <row r="8" spans="1:6" ht="20.25" customHeight="1" thickBot="1">
      <c r="A8" s="3402" t="s">
        <v>3135</v>
      </c>
      <c r="B8" s="3403"/>
      <c r="C8" s="2982"/>
      <c r="D8" s="2983" t="s">
        <v>3133</v>
      </c>
      <c r="E8" s="2982"/>
      <c r="F8" s="2984" t="s">
        <v>3132</v>
      </c>
    </row>
    <row r="9" spans="1:6" ht="20.25" customHeight="1">
      <c r="A9" s="2985" t="s">
        <v>3136</v>
      </c>
      <c r="B9" s="2986">
        <v>70</v>
      </c>
      <c r="C9" s="2987" t="s">
        <v>3137</v>
      </c>
      <c r="D9" s="2988">
        <v>4.4999999999999998E-2</v>
      </c>
      <c r="E9" s="2987" t="s">
        <v>3138</v>
      </c>
      <c r="F9" s="2989">
        <f>1-(1/(POWER(1+D9,B9)))</f>
        <v>0.95409503414356267</v>
      </c>
    </row>
    <row r="10" spans="1:6" ht="20.25" customHeight="1" thickBot="1">
      <c r="A10" s="2990" t="s">
        <v>3139</v>
      </c>
      <c r="B10" s="2991">
        <v>40</v>
      </c>
      <c r="C10" s="2992" t="s">
        <v>3140</v>
      </c>
      <c r="D10" s="2993">
        <v>4.4999999999999998E-2</v>
      </c>
      <c r="E10" s="2992" t="s">
        <v>3141</v>
      </c>
      <c r="F10" s="2994">
        <f>1-(1/(POWER(1+D10,B10)))</f>
        <v>0.8280712989125899</v>
      </c>
    </row>
    <row r="11" spans="1:6" ht="20.25" customHeight="1" thickBot="1">
      <c r="A11" s="2995" t="s">
        <v>3142</v>
      </c>
      <c r="B11" s="2996"/>
      <c r="C11" s="2996"/>
      <c r="D11" s="2996"/>
      <c r="E11" s="2996"/>
      <c r="F11" s="2996"/>
    </row>
    <row r="12" spans="1:6" ht="20.25" customHeight="1">
      <c r="A12" s="2985" t="s">
        <v>3143</v>
      </c>
      <c r="B12" s="2997">
        <v>5000</v>
      </c>
      <c r="E12" s="2998"/>
      <c r="F12" s="2998"/>
    </row>
    <row r="13" spans="1:6" ht="20.25" customHeight="1" thickBot="1">
      <c r="A13" s="2990" t="s">
        <v>3144</v>
      </c>
      <c r="B13" s="2999">
        <f>ROUND(B12*F10/F9,2)</f>
        <v>4339.5600000000004</v>
      </c>
      <c r="C13" s="3000">
        <f>ROUND(F10/F9,4)</f>
        <v>0.8679</v>
      </c>
      <c r="E13" s="2998"/>
      <c r="F13" s="2998"/>
    </row>
    <row r="14" spans="1:6" ht="20.25" customHeight="1" thickBot="1">
      <c r="A14" s="2995" t="s">
        <v>3145</v>
      </c>
      <c r="B14" s="3001"/>
      <c r="C14" s="2998"/>
    </row>
    <row r="15" spans="1:6" ht="20.25" customHeight="1">
      <c r="A15" s="2987" t="s">
        <v>3146</v>
      </c>
      <c r="B15" s="3002">
        <v>4810</v>
      </c>
      <c r="C15" s="2998"/>
    </row>
    <row r="16" spans="1:6" ht="20.25" customHeight="1" thickBot="1">
      <c r="A16" s="2992" t="s">
        <v>3147</v>
      </c>
      <c r="B16" s="3003">
        <f>ROUND(B15*F9/F10,2)</f>
        <v>5542.03</v>
      </c>
      <c r="C16" s="3000">
        <f>ROUND(F9/F10,4)</f>
        <v>1.1521999999999999</v>
      </c>
    </row>
    <row r="17" spans="3:3" ht="20.25" customHeight="1">
      <c r="C17" s="299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3175</v>
      </c>
      <c r="D1" s="3059" t="s">
        <v>3540</v>
      </c>
      <c r="E1" s="1815" t="s">
        <v>1387</v>
      </c>
      <c r="F1" s="1278">
        <f ca="1">J53</f>
        <v>38.950000000000003</v>
      </c>
      <c r="G1" s="1830">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3211</v>
      </c>
      <c r="C2" s="1839" t="s">
        <v>1516</v>
      </c>
      <c r="D2" s="1839"/>
      <c r="E2" s="1840"/>
      <c r="F2" s="1841"/>
      <c r="G2" s="1842"/>
      <c r="H2" s="1834"/>
      <c r="I2" s="1834"/>
      <c r="J2" s="1834"/>
      <c r="K2" s="1835"/>
      <c r="L2" s="1834"/>
      <c r="M2" s="1834"/>
    </row>
    <row r="3" spans="1:37" ht="18" customHeight="1" thickBot="1">
      <c r="A3" s="1843" t="s">
        <v>1517</v>
      </c>
      <c r="B3" s="1844">
        <f ca="1">IF(ISERROR(B2*10000/F43),0,ROUND(B2*10000/F43,0))</f>
        <v>3519</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240</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240</v>
      </c>
      <c r="D6" s="162" t="s">
        <v>3014</v>
      </c>
      <c r="E6" s="345" t="s">
        <v>1405</v>
      </c>
      <c r="F6" s="346">
        <f ca="1">INDIRECT("'数据-取费表'!u"&amp;$G$1)</f>
        <v>0.8</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3032" t="s">
        <v>1406</v>
      </c>
      <c r="F7" s="346">
        <f ca="1">IF(INDIRECT("'数据-取费表'!ah"&amp;$G$1)="",INDIRECT("'数据-取费表'!k"&amp;$G$1),INDIRECT("'数据-取费表'!ah"&amp;$G$1))</f>
        <v>9125.51</v>
      </c>
      <c r="G7" s="1845"/>
      <c r="H7" s="347"/>
      <c r="I7" s="3332"/>
      <c r="J7" s="349"/>
      <c r="K7" s="350"/>
      <c r="L7" s="345" t="s">
        <v>1406</v>
      </c>
      <c r="M7" s="346">
        <f ca="1">F7</f>
        <v>9125.51</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3022</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2763</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2010</v>
      </c>
      <c r="D14" s="3035" t="s">
        <v>1418</v>
      </c>
      <c r="E14" s="3034"/>
      <c r="F14" s="362"/>
      <c r="G14" s="1845"/>
      <c r="H14" s="1198" t="s">
        <v>1035</v>
      </c>
      <c r="I14" s="345" t="s">
        <v>1419</v>
      </c>
      <c r="J14" s="24">
        <f ca="1">C29</f>
        <v>2763</v>
      </c>
      <c r="K14" s="3031"/>
      <c r="L14" s="976"/>
      <c r="M14" s="977"/>
    </row>
    <row r="15" spans="1:37" s="1852" customFormat="1" ht="18" customHeight="1" thickBot="1">
      <c r="A15" s="1198" t="s">
        <v>1036</v>
      </c>
      <c r="B15" s="345" t="s">
        <v>1420</v>
      </c>
      <c r="C15" s="24">
        <f ca="1">ROUND(C14*F15,0)</f>
        <v>60</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73</v>
      </c>
      <c r="K16" s="1332" t="s">
        <v>1425</v>
      </c>
      <c r="L16" s="3037"/>
      <c r="M16" s="1289"/>
    </row>
    <row r="17" spans="1:37" s="1852" customFormat="1" ht="18" customHeight="1">
      <c r="A17" s="1198" t="s">
        <v>1390</v>
      </c>
      <c r="B17" s="345" t="s">
        <v>1426</v>
      </c>
      <c r="C17" s="24">
        <f ca="1">ROUND(F17*(F43+INDIRECT("'数据-取费表'!S"&amp;$G$1))/10000,0)</f>
        <v>183</v>
      </c>
      <c r="D17" s="345" t="s">
        <v>1427</v>
      </c>
      <c r="E17" s="345" t="s">
        <v>1428</v>
      </c>
      <c r="F17" s="26">
        <f>'数据-取费表'!B35</f>
        <v>200</v>
      </c>
      <c r="G17" s="1848"/>
      <c r="H17" s="1198" t="s">
        <v>1035</v>
      </c>
      <c r="I17" s="345" t="s">
        <v>1429</v>
      </c>
      <c r="J17" s="24">
        <f ca="1">ROUND(IF(项目基本情况!B11="自然人",J5*M17,J18+J19+J20),1)</f>
        <v>31.9</v>
      </c>
      <c r="K17" s="3035" t="s">
        <v>1430</v>
      </c>
      <c r="L17" s="3036"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30</v>
      </c>
      <c r="D18" s="345" t="s">
        <v>1421</v>
      </c>
      <c r="E18" s="345" t="s">
        <v>1422</v>
      </c>
      <c r="F18" s="365">
        <f>'数据-取费表'!B36</f>
        <v>1.4999999999999999E-2</v>
      </c>
      <c r="G18" s="1848"/>
      <c r="H18" s="1198" t="s">
        <v>1034</v>
      </c>
      <c r="I18" s="345" t="s">
        <v>1433</v>
      </c>
      <c r="J18" s="24">
        <f ca="1">ROUND(J5*M18/(1+'数据-取费表'!C42),2)</f>
        <v>0</v>
      </c>
      <c r="K18" s="3036"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2283</v>
      </c>
      <c r="D19" s="138" t="s">
        <v>1436</v>
      </c>
      <c r="E19" s="3030"/>
      <c r="F19" s="26"/>
      <c r="G19" s="1845"/>
      <c r="H19" s="1198" t="s">
        <v>1036</v>
      </c>
      <c r="I19" s="345" t="s">
        <v>1437</v>
      </c>
      <c r="J19" s="24">
        <f ca="1">IF(K19="按租金收入计税",ROUND(J5*M19,2),ROUND(C29*M19*0.7,2))</f>
        <v>23.21</v>
      </c>
      <c r="K19" s="1822" t="s">
        <v>1438</v>
      </c>
      <c r="L19" s="345" t="s">
        <v>1422</v>
      </c>
      <c r="M19" s="365">
        <f>IF(K19="按租金收入计税",'数据-取费表'!B51,'数据-取费表'!B50)</f>
        <v>1.2E-2</v>
      </c>
    </row>
    <row r="20" spans="1:37" s="1852" customFormat="1" ht="18" customHeight="1">
      <c r="A20" s="1198" t="s">
        <v>1039</v>
      </c>
      <c r="B20" s="345" t="s">
        <v>1439</v>
      </c>
      <c r="C20" s="24">
        <f ca="1">ROUND(C19*F20,0)</f>
        <v>46</v>
      </c>
      <c r="D20" s="367" t="s">
        <v>1440</v>
      </c>
      <c r="E20" s="345" t="s">
        <v>1422</v>
      </c>
      <c r="F20" s="365">
        <f>'数据-取费表'!B37</f>
        <v>0.02</v>
      </c>
      <c r="G20" s="1848"/>
      <c r="H20" s="1198" t="s">
        <v>1389</v>
      </c>
      <c r="I20" s="162" t="s">
        <v>1441</v>
      </c>
      <c r="J20" s="25">
        <f ca="1">ROUND(M20*M21/10000,2)</f>
        <v>8.7200000000000006</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7266.12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3030"/>
      <c r="F22" s="26"/>
      <c r="G22" s="1845"/>
      <c r="H22" s="1198" t="s">
        <v>1039</v>
      </c>
      <c r="I22" s="345" t="s">
        <v>1449</v>
      </c>
      <c r="J22" s="24">
        <f ca="1">ROUND(J14*M22,1)</f>
        <v>41.4</v>
      </c>
      <c r="K22" s="3036"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110</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3036"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3030"/>
      <c r="F25" s="26"/>
      <c r="G25" s="1845"/>
      <c r="H25" s="1324" t="s">
        <v>1031</v>
      </c>
      <c r="I25" s="1339" t="s">
        <v>1463</v>
      </c>
      <c r="J25" s="353">
        <f ca="1">J5-J16</f>
        <v>-73</v>
      </c>
      <c r="K25" s="1340" t="s">
        <v>1464</v>
      </c>
      <c r="L25" s="1341"/>
      <c r="M25" s="1342"/>
    </row>
    <row r="26" spans="1:37">
      <c r="A26" s="1198" t="s">
        <v>1034</v>
      </c>
      <c r="B26" s="345" t="s">
        <v>1465</v>
      </c>
      <c r="C26" s="24">
        <f ca="1">ROUND((C19+C20)*F26,0)</f>
        <v>116</v>
      </c>
      <c r="D26" s="367" t="s">
        <v>1466</v>
      </c>
      <c r="E26" s="356" t="s">
        <v>1467</v>
      </c>
      <c r="F26" s="355">
        <f ca="1">INDIRECT("'数据-取费表'!q"&amp;$G$1)</f>
        <v>0.05</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1E-3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2763</v>
      </c>
      <c r="D29" s="1337"/>
      <c r="E29" s="1335"/>
      <c r="F29" s="1338"/>
      <c r="G29" s="1848"/>
      <c r="H29" s="378" t="s">
        <v>1033</v>
      </c>
      <c r="I29" s="379" t="s">
        <v>1479</v>
      </c>
      <c r="J29" s="380">
        <f ca="1">ROUND(J26/(1+F40)^F41,0)</f>
        <v>0</v>
      </c>
      <c r="K29" s="381" t="s">
        <v>1480</v>
      </c>
      <c r="L29" s="382"/>
      <c r="M29" s="383">
        <f ca="1">INDIRECT("'数据-取费表'!k"&amp;$G$1)</f>
        <v>9125.51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98</v>
      </c>
      <c r="D30" s="1332" t="s">
        <v>1425</v>
      </c>
      <c r="E30" s="3037"/>
      <c r="F30" s="1289"/>
      <c r="G30" s="1845"/>
      <c r="H30" s="740"/>
      <c r="I30" s="741"/>
      <c r="J30" s="742"/>
      <c r="K30" s="743"/>
      <c r="L30" s="744"/>
      <c r="M30" s="745"/>
    </row>
    <row r="31" spans="1:37" ht="18" customHeight="1">
      <c r="A31" s="1198" t="s">
        <v>1035</v>
      </c>
      <c r="B31" s="345" t="s">
        <v>1429</v>
      </c>
      <c r="C31" s="24">
        <f ca="1">ROUND(IF(项目基本情况!B11="自然人",C5*F31,C32+C33+C34),1)</f>
        <v>50.3</v>
      </c>
      <c r="D31" s="3035" t="s">
        <v>1430</v>
      </c>
      <c r="E31" s="3036"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12.8</v>
      </c>
      <c r="D32" s="3036"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28.8</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8.7200000000000006</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7266.12</v>
      </c>
      <c r="G35" s="1845"/>
      <c r="H35" s="740"/>
      <c r="I35" s="1854"/>
      <c r="J35" s="1855"/>
      <c r="K35" s="1856"/>
      <c r="L35" s="1853"/>
      <c r="M35" s="1853"/>
    </row>
    <row r="36" spans="1:18" ht="18" customHeight="1">
      <c r="A36" s="1347" t="s">
        <v>1039</v>
      </c>
      <c r="B36" s="345" t="s">
        <v>1449</v>
      </c>
      <c r="C36" s="24">
        <f ca="1">ROUND(C29*F36,1)</f>
        <v>41.4</v>
      </c>
      <c r="D36" s="3036"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4.0999999999999996</v>
      </c>
      <c r="D37" s="3036"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2.4</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1463</v>
      </c>
      <c r="C39" s="353">
        <f ca="1">C5-C30</f>
        <v>142</v>
      </c>
      <c r="D39" s="1340" t="s">
        <v>1464</v>
      </c>
      <c r="E39" s="1341"/>
      <c r="F39" s="1342"/>
      <c r="G39" s="1845"/>
      <c r="H39" s="1853"/>
      <c r="I39" s="1854"/>
      <c r="J39" s="1855"/>
      <c r="K39" s="1859"/>
      <c r="L39" s="1853"/>
      <c r="M39" s="1853"/>
    </row>
    <row r="40" spans="1:18" ht="18" customHeight="1">
      <c r="A40" s="342" t="s">
        <v>1032</v>
      </c>
      <c r="B40" s="343" t="s">
        <v>1485</v>
      </c>
      <c r="C40" s="344">
        <f ca="1">ROUND(C39*(1-((1+F42)/(1+F40))^F41)/(F40-F42),0)</f>
        <v>3211</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3519</v>
      </c>
      <c r="D43" s="381" t="s">
        <v>1488</v>
      </c>
      <c r="E43" s="382" t="s">
        <v>1489</v>
      </c>
      <c r="F43" s="383">
        <f ca="1">INDIRECT("'数据-取费表'!k"&amp;$G$1)</f>
        <v>9125.51</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-8422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3211</v>
      </c>
      <c r="R47" s="1880" t="s">
        <v>1529</v>
      </c>
    </row>
    <row r="48" spans="1:18" s="1836" customFormat="1" ht="28.5" thickBot="1">
      <c r="A48" s="1355" t="s">
        <v>1135</v>
      </c>
      <c r="B48" s="343" t="s">
        <v>1401</v>
      </c>
      <c r="C48" s="3029">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3013</v>
      </c>
      <c r="E49" s="1824" t="s">
        <v>1491</v>
      </c>
      <c r="F49" s="1276"/>
      <c r="G49" s="1885"/>
      <c r="H49" s="788"/>
      <c r="I49" s="1881" t="s">
        <v>1534</v>
      </c>
      <c r="J49" s="1886">
        <v>2012</v>
      </c>
      <c r="K49" s="1883" t="s">
        <v>1535</v>
      </c>
      <c r="L49" s="1887"/>
      <c r="O49" s="1888" t="s">
        <v>1042</v>
      </c>
      <c r="P49" s="1879" t="s">
        <v>1536</v>
      </c>
      <c r="Q49" s="1880">
        <f ca="1">C29</f>
        <v>2763</v>
      </c>
      <c r="R49" s="1880" t="s">
        <v>1529</v>
      </c>
    </row>
    <row r="50" spans="1:18" s="1836" customFormat="1" ht="13.5" thickBot="1">
      <c r="A50" s="1192"/>
      <c r="B50" s="1195"/>
      <c r="C50" s="1363"/>
      <c r="D50" s="1169"/>
      <c r="E50" s="1272" t="s">
        <v>1406</v>
      </c>
      <c r="F50" s="1273">
        <f ca="1">F7</f>
        <v>9125.51</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-1579</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3211</v>
      </c>
      <c r="R53" s="1880" t="s">
        <v>1047</v>
      </c>
    </row>
    <row r="54" spans="1:18" s="1836" customFormat="1" ht="13.5" thickBot="1">
      <c r="A54" s="1401"/>
      <c r="B54" s="1819" t="s">
        <v>1388</v>
      </c>
      <c r="C54" s="1175"/>
      <c r="D54" s="1818"/>
      <c r="E54" s="303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3033"/>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2763</v>
      </c>
      <c r="D56" s="1908"/>
      <c r="E56" s="1909"/>
      <c r="F56" s="1901"/>
      <c r="I56" s="1910" t="s">
        <v>1554</v>
      </c>
      <c r="J56" s="1911" t="s">
        <v>3031</v>
      </c>
      <c r="K56" s="1881" t="s">
        <v>1555</v>
      </c>
      <c r="L56" s="1884" t="str">
        <f ca="1">IF(L48&lt;J51,"——",L48-J53)</f>
        <v>——</v>
      </c>
      <c r="O56" s="1878" t="s">
        <v>1040</v>
      </c>
      <c r="P56" s="1879" t="s">
        <v>1528</v>
      </c>
      <c r="Q56" s="1880">
        <f ca="1">C40+J29</f>
        <v>3211</v>
      </c>
      <c r="R56" s="1880" t="s">
        <v>1529</v>
      </c>
    </row>
    <row r="57" spans="1:18" s="1836" customFormat="1" ht="24.75" thickBot="1">
      <c r="A57" s="1912"/>
      <c r="B57" s="1166" t="s">
        <v>1478</v>
      </c>
      <c r="C57" s="280">
        <f ca="1">C29</f>
        <v>2763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286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240.8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232.09</v>
      </c>
      <c r="D61" s="1822" t="s">
        <v>1438</v>
      </c>
      <c r="E61" s="1166" t="s">
        <v>1455</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1441</v>
      </c>
      <c r="C62" s="25">
        <f ca="1">IF(项目基本情况!B11="自然人","——",ROUND(F62*F63/10000,2))</f>
        <v>8.7200000000000006</v>
      </c>
      <c r="D62" s="1181" t="s">
        <v>1442</v>
      </c>
      <c r="E62" s="1166" t="s">
        <v>1443</v>
      </c>
      <c r="F62" s="369">
        <f t="shared" si="0"/>
        <v>12</v>
      </c>
      <c r="I62" s="1923" t="s">
        <v>1570</v>
      </c>
      <c r="J62" s="1924" t="s">
        <v>1571</v>
      </c>
      <c r="K62" s="1924" t="s">
        <v>1572</v>
      </c>
      <c r="L62" s="1924" t="s">
        <v>1573</v>
      </c>
      <c r="M62" s="1925" t="s">
        <v>1574</v>
      </c>
      <c r="O62" s="1878" t="s">
        <v>1046</v>
      </c>
      <c r="P62" s="1879" t="s">
        <v>1549</v>
      </c>
      <c r="Q62" s="1880">
        <f ca="1">Q56+Q57</f>
        <v>3211</v>
      </c>
      <c r="R62" s="1880" t="s">
        <v>1047</v>
      </c>
    </row>
    <row r="63" spans="1:18" s="1836" customFormat="1" ht="13.5" thickBot="1">
      <c r="A63" s="370"/>
      <c r="B63" s="1172"/>
      <c r="C63" s="29"/>
      <c r="D63" s="1182"/>
      <c r="E63" s="1166" t="s">
        <v>1447</v>
      </c>
      <c r="F63" s="346">
        <f t="shared" ca="1" si="0"/>
        <v>7266.12</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f ca="1">ROUND(C57*F64,1)</f>
        <v>41.4</v>
      </c>
      <c r="D64" s="1180" t="s">
        <v>1482</v>
      </c>
      <c r="E64" s="1166" t="s">
        <v>1455</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4.0999999999999996</v>
      </c>
      <c r="D65" s="1180" t="s">
        <v>1454</v>
      </c>
      <c r="E65" s="1166" t="s">
        <v>1455</v>
      </c>
      <c r="F65" s="374">
        <f t="shared" ca="1" si="0"/>
        <v>1.5E-3</v>
      </c>
      <c r="I65" s="1923" t="s">
        <v>1579</v>
      </c>
      <c r="J65" s="1924">
        <v>40</v>
      </c>
      <c r="K65" s="1924">
        <v>30</v>
      </c>
      <c r="L65" s="1924">
        <v>50</v>
      </c>
      <c r="M65" s="1926">
        <v>0.02</v>
      </c>
      <c r="O65" s="1878" t="s">
        <v>1040</v>
      </c>
      <c r="P65" s="1879" t="s">
        <v>1528</v>
      </c>
      <c r="Q65" s="1880">
        <f ca="1">C40+J29</f>
        <v>3211</v>
      </c>
      <c r="R65" s="1880" t="s">
        <v>1529</v>
      </c>
    </row>
    <row r="66" spans="1:18" s="1836" customFormat="1" ht="16.5" thickBot="1">
      <c r="A66" s="1198" t="s">
        <v>1504</v>
      </c>
      <c r="B66" s="1166" t="s">
        <v>1439</v>
      </c>
      <c r="C66" s="24">
        <f ca="1">ROUND(C48*F66,1)</f>
        <v>0</v>
      </c>
      <c r="D66" s="1180" t="s">
        <v>1459</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-286</v>
      </c>
      <c r="D67" s="1179" t="s">
        <v>1464</v>
      </c>
      <c r="E67" s="1184"/>
      <c r="F67" s="1185"/>
      <c r="O67" s="1888" t="s">
        <v>1042</v>
      </c>
      <c r="P67" s="1879" t="s">
        <v>1562</v>
      </c>
      <c r="Q67" s="1927">
        <f ca="1">L51</f>
        <v>-1579</v>
      </c>
      <c r="R67" s="1880" t="s">
        <v>1582</v>
      </c>
    </row>
    <row r="68" spans="1:18" s="1836" customFormat="1" ht="16.5" thickBot="1">
      <c r="A68" s="1163" t="s">
        <v>1032</v>
      </c>
      <c r="B68" s="1164" t="s">
        <v>1485</v>
      </c>
      <c r="C68" s="344">
        <f ca="1">ROUND(C67*(1-((1+F70)/(1+F68))^F69)/(F68-F70),0)</f>
        <v>-5211</v>
      </c>
      <c r="D68" s="1181" t="s">
        <v>1469</v>
      </c>
      <c r="E68" s="1166" t="s">
        <v>1470</v>
      </c>
      <c r="F68" s="355">
        <f ca="1">F40</f>
        <v>4.4999999999999998E-2</v>
      </c>
      <c r="O68" s="1888" t="s">
        <v>1043</v>
      </c>
      <c r="P68" s="1928" t="s">
        <v>1583</v>
      </c>
      <c r="Q68" s="1880">
        <f ca="1">ROUND(Q69-Q70*Q71,0)</f>
        <v>-79</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142</v>
      </c>
      <c r="R69" s="1880" t="s">
        <v>1529</v>
      </c>
    </row>
    <row r="70" spans="1:18" s="1836" customFormat="1" ht="13.5" thickBot="1">
      <c r="A70" s="1170"/>
      <c r="B70" s="1171"/>
      <c r="C70" s="353"/>
      <c r="D70" s="1182"/>
      <c r="E70" s="1166" t="s">
        <v>1477</v>
      </c>
      <c r="F70" s="1270"/>
      <c r="O70" s="1888" t="s">
        <v>1049</v>
      </c>
      <c r="P70" s="1928" t="s">
        <v>1585</v>
      </c>
      <c r="Q70" s="1880">
        <f ca="1">C13</f>
        <v>2763</v>
      </c>
      <c r="R70" s="1880" t="s">
        <v>1529</v>
      </c>
    </row>
    <row r="71" spans="1:18" s="1836" customFormat="1" ht="13.5" thickBot="1">
      <c r="A71" s="1187" t="s">
        <v>1033</v>
      </c>
      <c r="B71" s="1188" t="s">
        <v>1487</v>
      </c>
      <c r="C71" s="380">
        <f ca="1">ROUND(C68*10000/F71,0)</f>
        <v>-5710</v>
      </c>
      <c r="D71" s="1189" t="s">
        <v>1488</v>
      </c>
      <c r="E71" s="1190" t="s">
        <v>1489</v>
      </c>
      <c r="F71" s="383">
        <f ca="1">F43</f>
        <v>9125.51</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221</v>
      </c>
      <c r="D75" s="1836"/>
      <c r="E75" s="1836"/>
      <c r="F75" s="1836"/>
      <c r="K75" s="1862"/>
      <c r="L75" s="1836"/>
      <c r="O75" s="1878" t="s">
        <v>1046</v>
      </c>
      <c r="P75" s="1879" t="s">
        <v>1549</v>
      </c>
      <c r="Q75" s="1880">
        <f ca="1">Q65+Q66</f>
        <v>3211</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-0.55600000000000005</v>
      </c>
    </row>
    <row r="80" spans="1:18">
      <c r="B80" s="384" t="s">
        <v>1511</v>
      </c>
      <c r="C80" s="316">
        <f ca="1">ROUND(C75/C39,3)</f>
        <v>1.556</v>
      </c>
    </row>
    <row r="81" spans="2:3">
      <c r="B81" s="312" t="s">
        <v>1512</v>
      </c>
      <c r="C81" s="280"/>
    </row>
    <row r="82" spans="2:3">
      <c r="B82" s="315" t="s">
        <v>1513</v>
      </c>
      <c r="C82" s="317">
        <f ca="1">1-C83</f>
        <v>0.14000000000000001</v>
      </c>
    </row>
    <row r="83" spans="2:3">
      <c r="B83" s="315" t="s">
        <v>1514</v>
      </c>
      <c r="C83" s="316">
        <f ca="1">ROUND(C13/C40,3)</f>
        <v>0.86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7" workbookViewId="0">
      <selection activeCell="F10" sqref="F10"/>
    </sheetView>
  </sheetViews>
  <sheetFormatPr defaultRowHeight="13.5"/>
  <cols>
    <col min="2" max="2" width="15.125" bestFit="1" customWidth="1"/>
    <col min="5" max="5" width="13" bestFit="1" customWidth="1"/>
    <col min="8" max="8" width="17.75" customWidth="1"/>
    <col min="9" max="9" width="23.875" bestFit="1" customWidth="1"/>
    <col min="10" max="10" width="11.125" customWidth="1"/>
  </cols>
  <sheetData>
    <row r="1" spans="1:12">
      <c r="A1" s="3019" t="s">
        <v>3176</v>
      </c>
      <c r="H1" s="3019" t="s">
        <v>3219</v>
      </c>
      <c r="I1" s="3019" t="s">
        <v>3220</v>
      </c>
      <c r="J1">
        <v>105228.67</v>
      </c>
      <c r="K1" s="3019" t="s">
        <v>3227</v>
      </c>
      <c r="L1">
        <v>16953.97</v>
      </c>
    </row>
    <row r="2" spans="1:12">
      <c r="B2" s="3019" t="s">
        <v>3184</v>
      </c>
      <c r="I2" s="3019" t="s">
        <v>3221</v>
      </c>
      <c r="J2">
        <v>50</v>
      </c>
    </row>
    <row r="3" spans="1:12">
      <c r="B3" s="3019" t="s">
        <v>3181</v>
      </c>
      <c r="D3" s="3019" t="s">
        <v>3181</v>
      </c>
      <c r="I3" s="3019" t="s">
        <v>3222</v>
      </c>
      <c r="J3">
        <v>616</v>
      </c>
    </row>
    <row r="4" spans="1:12">
      <c r="A4" s="3019" t="s">
        <v>3177</v>
      </c>
      <c r="B4">
        <v>3614.68</v>
      </c>
      <c r="C4" s="3019" t="s">
        <v>3182</v>
      </c>
      <c r="D4">
        <v>9322.7000000000007</v>
      </c>
      <c r="I4" s="3019" t="s">
        <v>3223</v>
      </c>
      <c r="J4">
        <v>462</v>
      </c>
    </row>
    <row r="5" spans="1:12">
      <c r="A5" s="3019" t="s">
        <v>3178</v>
      </c>
      <c r="B5">
        <v>1282.29</v>
      </c>
      <c r="C5" s="3019" t="s">
        <v>3183</v>
      </c>
      <c r="D5">
        <v>3052.99</v>
      </c>
      <c r="I5" s="3019" t="s">
        <v>3224</v>
      </c>
      <c r="J5">
        <v>9630</v>
      </c>
    </row>
    <row r="6" spans="1:12">
      <c r="A6" s="3019" t="s">
        <v>3179</v>
      </c>
      <c r="B6">
        <v>2079.27</v>
      </c>
      <c r="C6" s="3019" t="s">
        <v>3245</v>
      </c>
      <c r="D6">
        <f>SUM(D4:D5)</f>
        <v>12375.69</v>
      </c>
      <c r="I6" s="3019" t="s">
        <v>3229</v>
      </c>
      <c r="J6">
        <v>1096</v>
      </c>
    </row>
    <row r="7" spans="1:12">
      <c r="A7" s="3019" t="s">
        <v>3180</v>
      </c>
      <c r="B7">
        <f>B4+B5+B6</f>
        <v>6976.24</v>
      </c>
      <c r="C7" s="3019" t="s">
        <v>3538</v>
      </c>
      <c r="D7">
        <f>D6+B7</f>
        <v>19351.93</v>
      </c>
      <c r="I7" s="3019" t="s">
        <v>3226</v>
      </c>
      <c r="J7">
        <v>2197.34</v>
      </c>
    </row>
    <row r="8" spans="1:12">
      <c r="B8" s="3019" t="s">
        <v>3185</v>
      </c>
      <c r="H8" s="3019" t="s">
        <v>3218</v>
      </c>
    </row>
    <row r="9" spans="1:12">
      <c r="C9" s="3019" t="s">
        <v>3189</v>
      </c>
      <c r="F9" s="3051">
        <f>ROUND((56062.55-F10)/F10,2)</f>
        <v>0.39</v>
      </c>
      <c r="I9" s="3019" t="s">
        <v>3234</v>
      </c>
    </row>
    <row r="10" spans="1:12">
      <c r="A10" s="3019" t="s">
        <v>3188</v>
      </c>
      <c r="B10" s="3019" t="s">
        <v>3186</v>
      </c>
      <c r="C10">
        <v>5607.24</v>
      </c>
      <c r="E10" s="3019" t="s">
        <v>3198</v>
      </c>
      <c r="F10">
        <f>C10+C13+C16+C20+C24+C27+C30+C33+C36+C39</f>
        <v>40354.39</v>
      </c>
      <c r="H10" s="3019" t="s">
        <v>3225</v>
      </c>
      <c r="I10" s="3054">
        <f>[2]Sheet3!$I$10</f>
        <v>49166.119999999995</v>
      </c>
    </row>
    <row r="11" spans="1:12">
      <c r="B11" s="3019" t="s">
        <v>3187</v>
      </c>
      <c r="C11">
        <v>474.42</v>
      </c>
      <c r="E11" s="3019" t="s">
        <v>3230</v>
      </c>
      <c r="F11">
        <f>C11+C14</f>
        <v>998.73</v>
      </c>
      <c r="H11" s="3019" t="s">
        <v>3231</v>
      </c>
      <c r="I11" s="3054">
        <f>[2]Sheet3!$I$11</f>
        <v>457.04</v>
      </c>
    </row>
    <row r="12" spans="1:12">
      <c r="B12" s="3019" t="s">
        <v>3192</v>
      </c>
      <c r="C12">
        <f>SUM(C10:C11)</f>
        <v>6081.66</v>
      </c>
      <c r="E12" s="3019" t="s">
        <v>3214</v>
      </c>
      <c r="F12">
        <f>C17+C21+C25+C28+C31+C34+C37+C40</f>
        <v>3739.91</v>
      </c>
      <c r="H12" s="3019" t="s">
        <v>3232</v>
      </c>
      <c r="I12" s="3054">
        <f>[2]Sheet3!$I$12</f>
        <v>50</v>
      </c>
    </row>
    <row r="13" spans="1:12">
      <c r="A13" s="3019" t="s">
        <v>3190</v>
      </c>
      <c r="B13" s="3019" t="s">
        <v>3186</v>
      </c>
      <c r="C13">
        <v>6078.22</v>
      </c>
      <c r="E13" s="3019" t="s">
        <v>3215</v>
      </c>
      <c r="F13">
        <f>C18+C22</f>
        <v>604.78</v>
      </c>
      <c r="H13" s="3019" t="s">
        <v>3228</v>
      </c>
      <c r="I13" s="3054">
        <f>[2]Sheet3!$I$13</f>
        <v>9125.51</v>
      </c>
    </row>
    <row r="14" spans="1:12">
      <c r="B14" s="3019" t="s">
        <v>3187</v>
      </c>
      <c r="C14">
        <v>524.30999999999995</v>
      </c>
      <c r="E14" s="3019" t="s">
        <v>3216</v>
      </c>
      <c r="F14">
        <f>C48+C51+C54</f>
        <v>9302.4</v>
      </c>
      <c r="H14" s="3019" t="s">
        <v>3233</v>
      </c>
      <c r="I14" s="3054">
        <f>[2]Sheet3!$I$14</f>
        <v>5366.96</v>
      </c>
    </row>
    <row r="15" spans="1:12">
      <c r="B15" s="3019" t="s">
        <v>3193</v>
      </c>
      <c r="C15">
        <f>SUM(C13:C14)</f>
        <v>6602.5300000000007</v>
      </c>
      <c r="E15" s="3019" t="s">
        <v>3217</v>
      </c>
      <c r="F15">
        <f>C49+C52</f>
        <v>715.41</v>
      </c>
      <c r="H15" s="3019" t="s">
        <v>3246</v>
      </c>
      <c r="I15">
        <f>SUM(I10:I14)</f>
        <v>64165.63</v>
      </c>
    </row>
    <row r="16" spans="1:12">
      <c r="A16" s="3019" t="s">
        <v>3191</v>
      </c>
      <c r="B16" s="3019" t="s">
        <v>3186</v>
      </c>
      <c r="C16">
        <v>4508.68</v>
      </c>
      <c r="E16" s="3019" t="s">
        <v>3246</v>
      </c>
      <c r="F16">
        <f>SUM(F10:F15)</f>
        <v>55715.62</v>
      </c>
    </row>
    <row r="17" spans="1:11">
      <c r="B17" s="3019" t="s">
        <v>3187</v>
      </c>
      <c r="C17">
        <v>422.16</v>
      </c>
      <c r="F17" s="3051">
        <f>(72085.95-F16)/F16</f>
        <v>0.29381939929951412</v>
      </c>
    </row>
    <row r="18" spans="1:11">
      <c r="B18" s="3019" t="s">
        <v>3194</v>
      </c>
      <c r="C18">
        <v>163.82</v>
      </c>
      <c r="G18" s="3019" t="s">
        <v>3236</v>
      </c>
    </row>
    <row r="19" spans="1:11" ht="20.25">
      <c r="B19" s="3019" t="s">
        <v>3195</v>
      </c>
      <c r="C19">
        <f>SUM(C16:C18)</f>
        <v>5094.66</v>
      </c>
      <c r="E19" s="3019" t="s">
        <v>3549</v>
      </c>
      <c r="F19">
        <f>C42+C44+C46</f>
        <v>6010.32</v>
      </c>
      <c r="G19" s="3020">
        <v>1</v>
      </c>
      <c r="H19" s="3020">
        <v>8</v>
      </c>
      <c r="I19" s="3020">
        <v>313.74</v>
      </c>
    </row>
    <row r="20" spans="1:11" ht="20.25">
      <c r="A20" s="3019" t="s">
        <v>3196</v>
      </c>
      <c r="B20" s="3019" t="s">
        <v>3186</v>
      </c>
      <c r="C20">
        <v>3887.58</v>
      </c>
      <c r="G20" s="3020">
        <v>2</v>
      </c>
      <c r="H20" s="3020">
        <v>9</v>
      </c>
      <c r="I20" s="3020">
        <v>424.85</v>
      </c>
    </row>
    <row r="21" spans="1:11" ht="20.25">
      <c r="B21" s="3019" t="s">
        <v>3187</v>
      </c>
      <c r="C21">
        <v>155.38999999999999</v>
      </c>
      <c r="G21" s="3020">
        <v>3</v>
      </c>
      <c r="H21" s="3020">
        <v>24</v>
      </c>
      <c r="I21" s="3020">
        <v>424.85</v>
      </c>
    </row>
    <row r="22" spans="1:11" ht="20.25">
      <c r="B22" s="3019" t="s">
        <v>3194</v>
      </c>
      <c r="C22">
        <v>440.96</v>
      </c>
      <c r="G22" s="3020">
        <v>4</v>
      </c>
      <c r="H22" s="3020">
        <v>28</v>
      </c>
      <c r="I22" s="3020">
        <v>343.86</v>
      </c>
    </row>
    <row r="23" spans="1:11" ht="20.25">
      <c r="B23" s="3019" t="s">
        <v>3195</v>
      </c>
      <c r="C23">
        <f>SUM(C20:C22)</f>
        <v>4483.9299999999994</v>
      </c>
      <c r="G23" s="3020">
        <v>5</v>
      </c>
      <c r="H23" s="3020">
        <v>36</v>
      </c>
      <c r="I23" s="3020">
        <v>315.01</v>
      </c>
    </row>
    <row r="24" spans="1:11" ht="20.25">
      <c r="A24" s="3019" t="s">
        <v>3197</v>
      </c>
      <c r="B24" s="3019" t="s">
        <v>3198</v>
      </c>
      <c r="C24">
        <v>3842.75</v>
      </c>
      <c r="G24" s="3020">
        <v>6</v>
      </c>
      <c r="H24" s="3020">
        <v>40</v>
      </c>
      <c r="I24" s="3020">
        <v>313.74</v>
      </c>
    </row>
    <row r="25" spans="1:11" ht="20.25">
      <c r="B25" s="3019" t="s">
        <v>3199</v>
      </c>
      <c r="C25">
        <v>552.17999999999995</v>
      </c>
      <c r="G25" s="3020">
        <v>7</v>
      </c>
      <c r="H25" s="3020">
        <v>46</v>
      </c>
      <c r="I25" s="3020">
        <v>424.85</v>
      </c>
    </row>
    <row r="26" spans="1:11" ht="20.25">
      <c r="B26" s="3019" t="s">
        <v>3193</v>
      </c>
      <c r="C26">
        <f>SUM(C24:C25)</f>
        <v>4394.93</v>
      </c>
      <c r="G26" s="3020">
        <v>8</v>
      </c>
      <c r="H26" s="3020">
        <v>47</v>
      </c>
      <c r="I26" s="3020">
        <v>424.85</v>
      </c>
    </row>
    <row r="27" spans="1:11" ht="20.25">
      <c r="A27" s="3019" t="s">
        <v>3200</v>
      </c>
      <c r="B27" s="3019" t="s">
        <v>3198</v>
      </c>
      <c r="C27">
        <v>3490.14</v>
      </c>
      <c r="G27" s="3020">
        <v>9</v>
      </c>
      <c r="H27" s="3020">
        <v>49</v>
      </c>
      <c r="I27" s="3020">
        <v>312.85000000000002</v>
      </c>
    </row>
    <row r="28" spans="1:11" ht="20.25">
      <c r="B28" s="3019" t="s">
        <v>3199</v>
      </c>
      <c r="C28">
        <v>510.95</v>
      </c>
      <c r="G28" s="3020">
        <v>10</v>
      </c>
      <c r="H28" s="3020">
        <v>50</v>
      </c>
      <c r="I28" s="3020">
        <v>316.08</v>
      </c>
    </row>
    <row r="29" spans="1:11" ht="20.25">
      <c r="B29" s="3019" t="s">
        <v>3193</v>
      </c>
      <c r="C29">
        <f>SUM(C27:C28)</f>
        <v>4001.0899999999997</v>
      </c>
      <c r="G29" s="3021" t="s">
        <v>3235</v>
      </c>
      <c r="H29" s="3021"/>
      <c r="I29" s="3021">
        <f>SUM(I19:I28)</f>
        <v>3614.68</v>
      </c>
    </row>
    <row r="30" spans="1:11">
      <c r="A30" s="3019" t="s">
        <v>3201</v>
      </c>
      <c r="B30" s="3019" t="s">
        <v>3198</v>
      </c>
      <c r="C30">
        <v>2975.54</v>
      </c>
    </row>
    <row r="31" spans="1:11" ht="15" thickBot="1">
      <c r="B31" s="3019" t="s">
        <v>3199</v>
      </c>
      <c r="C31">
        <v>528.28</v>
      </c>
      <c r="G31" s="3404" t="s">
        <v>3444</v>
      </c>
      <c r="H31" s="3404"/>
      <c r="I31" s="3404"/>
      <c r="J31" s="3404"/>
      <c r="K31" s="3404"/>
    </row>
    <row r="32" spans="1:11" ht="45" thickBot="1">
      <c r="B32" s="3019" t="s">
        <v>3193</v>
      </c>
      <c r="C32">
        <f>SUM(C30:C31)</f>
        <v>3503.8199999999997</v>
      </c>
      <c r="G32" s="3039" t="s">
        <v>3445</v>
      </c>
      <c r="H32" s="3040" t="s">
        <v>3446</v>
      </c>
      <c r="I32" s="3040" t="s">
        <v>3447</v>
      </c>
      <c r="J32" s="3040" t="s">
        <v>1375</v>
      </c>
      <c r="K32" s="3041" t="s">
        <v>3448</v>
      </c>
    </row>
    <row r="33" spans="1:12" ht="15.75" thickBot="1">
      <c r="A33" s="3019" t="s">
        <v>3202</v>
      </c>
      <c r="B33" s="3019" t="s">
        <v>3198</v>
      </c>
      <c r="C33">
        <v>3437.82</v>
      </c>
      <c r="G33" s="3042">
        <v>1</v>
      </c>
      <c r="H33" s="3043">
        <v>1</v>
      </c>
      <c r="I33" s="3044" t="s">
        <v>3449</v>
      </c>
      <c r="J33" s="3044" t="s">
        <v>1377</v>
      </c>
      <c r="K33" s="3045">
        <v>48.29</v>
      </c>
      <c r="L33">
        <f>664.62/4</f>
        <v>166.155</v>
      </c>
    </row>
    <row r="34" spans="1:12" ht="15.75" thickBot="1">
      <c r="B34" s="3019" t="s">
        <v>3199</v>
      </c>
      <c r="C34">
        <v>598.20000000000005</v>
      </c>
      <c r="G34" s="3042">
        <v>2</v>
      </c>
      <c r="H34" s="3043">
        <v>1</v>
      </c>
      <c r="I34" s="3044" t="s">
        <v>3450</v>
      </c>
      <c r="J34" s="3044" t="s">
        <v>1377</v>
      </c>
      <c r="K34" s="3045">
        <v>107.21</v>
      </c>
    </row>
    <row r="35" spans="1:12" ht="15.75" thickBot="1">
      <c r="B35" s="3019" t="s">
        <v>3193</v>
      </c>
      <c r="C35">
        <f>SUM(C33:C34)</f>
        <v>4036.0200000000004</v>
      </c>
      <c r="G35" s="3042">
        <v>3</v>
      </c>
      <c r="H35" s="3043">
        <v>1</v>
      </c>
      <c r="I35" s="3044" t="s">
        <v>3451</v>
      </c>
      <c r="J35" s="3044" t="s">
        <v>1377</v>
      </c>
      <c r="K35" s="3045">
        <v>75.94</v>
      </c>
    </row>
    <row r="36" spans="1:12" ht="15.75" thickBot="1">
      <c r="A36" s="3019" t="s">
        <v>3203</v>
      </c>
      <c r="B36" s="3019" t="s">
        <v>3198</v>
      </c>
      <c r="C36">
        <v>3490.14</v>
      </c>
      <c r="G36" s="3042">
        <v>4</v>
      </c>
      <c r="H36" s="3043">
        <v>1</v>
      </c>
      <c r="I36" s="3044" t="s">
        <v>3452</v>
      </c>
      <c r="J36" s="3044" t="s">
        <v>1377</v>
      </c>
      <c r="K36" s="3045">
        <v>50.91</v>
      </c>
    </row>
    <row r="37" spans="1:12" ht="15.75" thickBot="1">
      <c r="B37" s="3019" t="s">
        <v>3199</v>
      </c>
      <c r="C37">
        <v>510.95</v>
      </c>
      <c r="G37" s="3042">
        <v>5</v>
      </c>
      <c r="H37" s="3043">
        <v>1</v>
      </c>
      <c r="I37" s="3044" t="s">
        <v>3453</v>
      </c>
      <c r="J37" s="3044" t="s">
        <v>1377</v>
      </c>
      <c r="K37" s="3045">
        <v>49.96</v>
      </c>
    </row>
    <row r="38" spans="1:12" ht="15.75" thickBot="1">
      <c r="B38" s="3019" t="s">
        <v>3193</v>
      </c>
      <c r="C38">
        <f>SUM(C36:C37)</f>
        <v>4001.0899999999997</v>
      </c>
      <c r="G38" s="3042">
        <v>6</v>
      </c>
      <c r="H38" s="3043">
        <v>1</v>
      </c>
      <c r="I38" s="3044" t="s">
        <v>3454</v>
      </c>
      <c r="J38" s="3044" t="s">
        <v>1377</v>
      </c>
      <c r="K38" s="3045">
        <v>49.96</v>
      </c>
    </row>
    <row r="39" spans="1:12" ht="15.75" thickBot="1">
      <c r="A39" s="3019" t="s">
        <v>3204</v>
      </c>
      <c r="B39" s="3019" t="s">
        <v>3198</v>
      </c>
      <c r="C39">
        <v>3036.28</v>
      </c>
      <c r="G39" s="3042">
        <v>7</v>
      </c>
      <c r="H39" s="3043">
        <v>1</v>
      </c>
      <c r="I39" s="3044" t="s">
        <v>3455</v>
      </c>
      <c r="J39" s="3044" t="s">
        <v>1377</v>
      </c>
      <c r="K39" s="3045">
        <v>50.91</v>
      </c>
    </row>
    <row r="40" spans="1:12" ht="15.75" thickBot="1">
      <c r="B40" s="3019" t="s">
        <v>3199</v>
      </c>
      <c r="C40">
        <v>461.8</v>
      </c>
      <c r="G40" s="3042">
        <v>8</v>
      </c>
      <c r="H40" s="3043">
        <v>1</v>
      </c>
      <c r="I40" s="3044" t="s">
        <v>3456</v>
      </c>
      <c r="J40" s="3044" t="s">
        <v>1377</v>
      </c>
      <c r="K40" s="3045">
        <v>75.94</v>
      </c>
    </row>
    <row r="41" spans="1:12" ht="15.75" thickBot="1">
      <c r="B41" s="3019" t="s">
        <v>3193</v>
      </c>
      <c r="C41">
        <f>SUM(C39:C40)</f>
        <v>3498.0800000000004</v>
      </c>
      <c r="G41" s="3042">
        <v>9</v>
      </c>
      <c r="H41" s="3043">
        <v>1</v>
      </c>
      <c r="I41" s="3044" t="s">
        <v>3457</v>
      </c>
      <c r="J41" s="3044" t="s">
        <v>1377</v>
      </c>
      <c r="K41" s="3045">
        <v>107.21</v>
      </c>
    </row>
    <row r="42" spans="1:12" ht="15.75" thickBot="1">
      <c r="A42" s="3019" t="s">
        <v>3205</v>
      </c>
      <c r="B42" s="3019" t="s">
        <v>3206</v>
      </c>
      <c r="C42">
        <v>2424.79</v>
      </c>
      <c r="G42" s="3042">
        <v>10</v>
      </c>
      <c r="H42" s="3043">
        <v>1</v>
      </c>
      <c r="I42" s="3044" t="s">
        <v>3458</v>
      </c>
      <c r="J42" s="3044" t="s">
        <v>1377</v>
      </c>
      <c r="K42" s="3045">
        <v>48.29</v>
      </c>
    </row>
    <row r="43" spans="1:12" ht="15.75" thickBot="1">
      <c r="B43" s="3019" t="s">
        <v>3193</v>
      </c>
      <c r="C43">
        <v>2424.79</v>
      </c>
      <c r="G43" s="3042">
        <v>11</v>
      </c>
      <c r="H43" s="3043">
        <v>2</v>
      </c>
      <c r="I43" s="3044" t="s">
        <v>3459</v>
      </c>
      <c r="J43" s="3044" t="s">
        <v>1377</v>
      </c>
      <c r="K43" s="3045">
        <v>44.96</v>
      </c>
    </row>
    <row r="44" spans="1:12" ht="15.75" thickBot="1">
      <c r="A44" s="3019" t="s">
        <v>3207</v>
      </c>
      <c r="B44" s="3019" t="s">
        <v>3206</v>
      </c>
      <c r="C44">
        <v>1792.77</v>
      </c>
      <c r="G44" s="3042">
        <v>12</v>
      </c>
      <c r="H44" s="3043">
        <v>2</v>
      </c>
      <c r="I44" s="3044" t="s">
        <v>3460</v>
      </c>
      <c r="J44" s="3044" t="s">
        <v>1377</v>
      </c>
      <c r="K44" s="3045">
        <v>99.82</v>
      </c>
    </row>
    <row r="45" spans="1:12" ht="15.75" thickBot="1">
      <c r="B45" s="3019" t="s">
        <v>3193</v>
      </c>
      <c r="C45">
        <v>1792.77</v>
      </c>
      <c r="G45" s="3042">
        <v>13</v>
      </c>
      <c r="H45" s="3043">
        <v>2</v>
      </c>
      <c r="I45" s="3044" t="s">
        <v>3461</v>
      </c>
      <c r="J45" s="3044" t="s">
        <v>1377</v>
      </c>
      <c r="K45" s="3045">
        <v>70.709999999999994</v>
      </c>
    </row>
    <row r="46" spans="1:12" ht="15.75" thickBot="1">
      <c r="A46" s="3019" t="s">
        <v>3208</v>
      </c>
      <c r="B46" s="3019" t="s">
        <v>3206</v>
      </c>
      <c r="C46">
        <v>1792.76</v>
      </c>
      <c r="G46" s="3042">
        <v>14</v>
      </c>
      <c r="H46" s="3043">
        <v>2</v>
      </c>
      <c r="I46" s="3044" t="s">
        <v>3462</v>
      </c>
      <c r="J46" s="3044" t="s">
        <v>1377</v>
      </c>
      <c r="K46" s="3045">
        <v>47.4</v>
      </c>
    </row>
    <row r="47" spans="1:12" ht="15.75" thickBot="1">
      <c r="B47" s="3019" t="s">
        <v>3193</v>
      </c>
      <c r="C47">
        <v>1792.76</v>
      </c>
      <c r="G47" s="3042">
        <v>15</v>
      </c>
      <c r="H47" s="3043">
        <v>2</v>
      </c>
      <c r="I47" s="3044" t="s">
        <v>3463</v>
      </c>
      <c r="J47" s="3044" t="s">
        <v>1377</v>
      </c>
      <c r="K47" s="3045">
        <v>46.52</v>
      </c>
    </row>
    <row r="48" spans="1:12" ht="15.75" thickBot="1">
      <c r="A48" s="3019" t="s">
        <v>3209</v>
      </c>
      <c r="B48" s="3019" t="s">
        <v>3210</v>
      </c>
      <c r="C48">
        <v>1742.4</v>
      </c>
      <c r="G48" s="3042">
        <v>16</v>
      </c>
      <c r="H48" s="3043">
        <v>3</v>
      </c>
      <c r="I48" s="3044" t="s">
        <v>3464</v>
      </c>
      <c r="J48" s="3044" t="s">
        <v>1377</v>
      </c>
      <c r="K48" s="3045">
        <v>46.34</v>
      </c>
    </row>
    <row r="49" spans="1:11" ht="15.75" thickBot="1">
      <c r="B49" s="3019" t="s">
        <v>3211</v>
      </c>
      <c r="C49">
        <v>472.43</v>
      </c>
      <c r="G49" s="3042">
        <v>17</v>
      </c>
      <c r="H49" s="3043">
        <v>3</v>
      </c>
      <c r="I49" s="3044" t="s">
        <v>3465</v>
      </c>
      <c r="J49" s="3044" t="s">
        <v>1377</v>
      </c>
      <c r="K49" s="3045">
        <v>47.22</v>
      </c>
    </row>
    <row r="50" spans="1:11" ht="15.75" thickBot="1">
      <c r="B50" s="3019" t="s">
        <v>3195</v>
      </c>
      <c r="C50">
        <f>C48+C49</f>
        <v>2214.83</v>
      </c>
      <c r="G50" s="3042">
        <v>18</v>
      </c>
      <c r="H50" s="3043">
        <v>3</v>
      </c>
      <c r="I50" s="3044" t="s">
        <v>3466</v>
      </c>
      <c r="J50" s="3044" t="s">
        <v>1377</v>
      </c>
      <c r="K50" s="3045">
        <v>70.45</v>
      </c>
    </row>
    <row r="51" spans="1:11" ht="15.75" thickBot="1">
      <c r="A51" s="3019" t="s">
        <v>3212</v>
      </c>
      <c r="B51" s="3019" t="s">
        <v>3210</v>
      </c>
      <c r="C51">
        <v>3800</v>
      </c>
      <c r="G51" s="3042">
        <v>19</v>
      </c>
      <c r="H51" s="3043">
        <v>3</v>
      </c>
      <c r="I51" s="3044" t="s">
        <v>3467</v>
      </c>
      <c r="J51" s="3044" t="s">
        <v>1377</v>
      </c>
      <c r="K51" s="3045">
        <v>99.45</v>
      </c>
    </row>
    <row r="52" spans="1:11" ht="15.75" thickBot="1">
      <c r="B52" s="3019" t="s">
        <v>3211</v>
      </c>
      <c r="C52">
        <v>242.98</v>
      </c>
      <c r="G52" s="3042">
        <v>20</v>
      </c>
      <c r="H52" s="3043">
        <v>3</v>
      </c>
      <c r="I52" s="3044" t="s">
        <v>3468</v>
      </c>
      <c r="J52" s="3044" t="s">
        <v>1377</v>
      </c>
      <c r="K52" s="3045">
        <v>44.8</v>
      </c>
    </row>
    <row r="53" spans="1:11" ht="14.25" thickBot="1">
      <c r="B53" s="3019" t="s">
        <v>3195</v>
      </c>
      <c r="C53">
        <f>C51+C52</f>
        <v>4042.98</v>
      </c>
      <c r="G53" s="3405" t="s">
        <v>37</v>
      </c>
      <c r="H53" s="3405"/>
      <c r="I53" s="3405"/>
      <c r="J53" s="3044"/>
      <c r="K53" s="3046">
        <v>1282.29</v>
      </c>
    </row>
    <row r="54" spans="1:11">
      <c r="A54" s="3019" t="s">
        <v>3213</v>
      </c>
      <c r="B54" s="3019" t="s">
        <v>3210</v>
      </c>
      <c r="C54">
        <v>3760</v>
      </c>
    </row>
    <row r="55" spans="1:11">
      <c r="B55" s="3019" t="s">
        <v>3193</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H30" sqref="H30"/>
    </sheetView>
  </sheetViews>
  <sheetFormatPr defaultRowHeight="13.5"/>
  <cols>
    <col min="1" max="1" width="36.5" customWidth="1"/>
    <col min="6" max="6" width="16.75" customWidth="1"/>
    <col min="8" max="8" width="11.625" bestFit="1" customWidth="1"/>
    <col min="9" max="9" width="10.125" customWidth="1"/>
    <col min="11" max="11" width="18.5" bestFit="1" customWidth="1"/>
  </cols>
  <sheetData>
    <row r="1" spans="1:22">
      <c r="A1" s="1629" t="s">
        <v>3277</v>
      </c>
      <c r="B1" s="1629" t="s">
        <v>3278</v>
      </c>
      <c r="C1" s="1629" t="s">
        <v>3279</v>
      </c>
      <c r="D1" s="1629" t="s">
        <v>3280</v>
      </c>
      <c r="E1" s="1629" t="s">
        <v>3281</v>
      </c>
      <c r="F1" s="1629" t="s">
        <v>3282</v>
      </c>
      <c r="G1" s="1629" t="s">
        <v>3283</v>
      </c>
      <c r="H1" s="1629" t="s">
        <v>3284</v>
      </c>
      <c r="I1" s="1629" t="s">
        <v>3285</v>
      </c>
      <c r="J1" s="1629" t="s">
        <v>3286</v>
      </c>
      <c r="K1" s="1629" t="s">
        <v>3287</v>
      </c>
      <c r="L1" s="1629" t="s">
        <v>3288</v>
      </c>
      <c r="M1" s="1629" t="s">
        <v>3289</v>
      </c>
    </row>
    <row r="2" spans="1:22">
      <c r="A2" s="1629" t="s">
        <v>3290</v>
      </c>
      <c r="B2" s="1629" t="s">
        <v>3291</v>
      </c>
      <c r="C2" s="1629" t="s">
        <v>3292</v>
      </c>
      <c r="D2" s="1629">
        <v>13333</v>
      </c>
      <c r="E2" s="1629">
        <v>15999.6</v>
      </c>
      <c r="F2" s="1629" t="s">
        <v>3293</v>
      </c>
      <c r="G2" s="1629" t="s">
        <v>3294</v>
      </c>
      <c r="H2" s="1629" t="s">
        <v>3295</v>
      </c>
      <c r="I2" s="1629">
        <v>1320</v>
      </c>
      <c r="J2" s="1629">
        <v>1320</v>
      </c>
      <c r="K2" s="1629">
        <v>825.01</v>
      </c>
      <c r="L2" s="1629">
        <v>0</v>
      </c>
      <c r="M2" s="1629" t="s">
        <v>3296</v>
      </c>
    </row>
    <row r="3" spans="1:22">
      <c r="A3" s="1629" t="s">
        <v>3297</v>
      </c>
      <c r="B3" s="1629" t="s">
        <v>3291</v>
      </c>
      <c r="C3" s="1629" t="s">
        <v>3292</v>
      </c>
      <c r="D3" s="1629">
        <v>42958</v>
      </c>
      <c r="E3" s="1629">
        <v>64437</v>
      </c>
      <c r="F3" s="1629" t="s">
        <v>3298</v>
      </c>
      <c r="G3" s="1629" t="s">
        <v>3294</v>
      </c>
      <c r="H3" s="1629" t="s">
        <v>3295</v>
      </c>
      <c r="I3" s="1629">
        <v>3132</v>
      </c>
      <c r="J3" s="1629">
        <v>3162</v>
      </c>
      <c r="K3" s="1629">
        <v>490.7</v>
      </c>
      <c r="L3" s="1629">
        <v>0.96</v>
      </c>
      <c r="M3" s="1629" t="s">
        <v>3299</v>
      </c>
    </row>
    <row r="4" spans="1:22">
      <c r="A4" s="3023" t="s">
        <v>3300</v>
      </c>
      <c r="B4" s="3023" t="s">
        <v>3291</v>
      </c>
      <c r="C4" s="3023" t="s">
        <v>3292</v>
      </c>
      <c r="D4" s="3023">
        <v>6728</v>
      </c>
      <c r="E4" s="3023">
        <v>13456</v>
      </c>
      <c r="F4" s="3023" t="s">
        <v>3301</v>
      </c>
      <c r="G4" s="3023" t="s">
        <v>3294</v>
      </c>
      <c r="H4" s="3023" t="s">
        <v>3302</v>
      </c>
      <c r="I4" s="3023">
        <v>2168</v>
      </c>
      <c r="J4" s="3023">
        <v>2168</v>
      </c>
      <c r="K4" s="3023">
        <v>1611.18</v>
      </c>
      <c r="L4" s="3023">
        <v>0</v>
      </c>
      <c r="M4" s="3023" t="s">
        <v>3303</v>
      </c>
      <c r="N4" s="3024"/>
      <c r="O4" s="3024"/>
      <c r="P4" s="3024"/>
      <c r="Q4" s="3024"/>
      <c r="R4" s="3024"/>
      <c r="S4" s="3024"/>
      <c r="T4" s="3024"/>
      <c r="U4" s="3024"/>
      <c r="V4" s="3024"/>
    </row>
    <row r="5" spans="1:22">
      <c r="A5" s="1629" t="s">
        <v>3304</v>
      </c>
      <c r="B5" s="1629" t="s">
        <v>3291</v>
      </c>
      <c r="C5" s="1629" t="s">
        <v>3292</v>
      </c>
      <c r="D5" s="1629">
        <v>29041</v>
      </c>
      <c r="E5" s="1629">
        <v>52273.8</v>
      </c>
      <c r="F5" s="1629" t="s">
        <v>3305</v>
      </c>
      <c r="G5" s="1629" t="s">
        <v>3294</v>
      </c>
      <c r="H5" s="1629" t="s">
        <v>3302</v>
      </c>
      <c r="I5" s="1629">
        <v>6090</v>
      </c>
      <c r="J5" s="1629">
        <v>17970</v>
      </c>
      <c r="K5" s="1629">
        <v>3437.67</v>
      </c>
      <c r="L5" s="1629">
        <v>195.07</v>
      </c>
      <c r="M5" s="1629" t="s">
        <v>3306</v>
      </c>
    </row>
    <row r="6" spans="1:22">
      <c r="A6" s="3025" t="s">
        <v>3307</v>
      </c>
      <c r="B6" s="3025" t="s">
        <v>3291</v>
      </c>
      <c r="C6" s="3025" t="s">
        <v>3292</v>
      </c>
      <c r="D6" s="3025">
        <v>1526</v>
      </c>
      <c r="E6" s="3025">
        <v>2289</v>
      </c>
      <c r="F6" s="3025" t="s">
        <v>3298</v>
      </c>
      <c r="G6" s="3025" t="s">
        <v>3294</v>
      </c>
      <c r="H6" s="3025" t="s">
        <v>3302</v>
      </c>
      <c r="I6" s="3025">
        <v>286</v>
      </c>
      <c r="J6" s="3025">
        <v>286</v>
      </c>
      <c r="K6" s="3025">
        <v>1249.45</v>
      </c>
      <c r="L6" s="3025">
        <v>0</v>
      </c>
      <c r="M6" s="3025" t="s">
        <v>3308</v>
      </c>
      <c r="N6" s="3026"/>
      <c r="O6" s="3026"/>
      <c r="P6" s="3026"/>
      <c r="Q6" s="3026"/>
      <c r="R6" s="3026"/>
      <c r="S6" s="3026"/>
      <c r="T6" s="3026"/>
      <c r="U6" s="3026"/>
      <c r="V6" s="3026"/>
    </row>
    <row r="7" spans="1:22">
      <c r="A7" s="3027" t="s">
        <v>3307</v>
      </c>
      <c r="B7" s="3027" t="s">
        <v>3291</v>
      </c>
      <c r="C7" s="3027" t="s">
        <v>3292</v>
      </c>
      <c r="D7" s="3027">
        <v>8484</v>
      </c>
      <c r="E7" s="3027">
        <v>25452</v>
      </c>
      <c r="F7" s="3027" t="s">
        <v>3309</v>
      </c>
      <c r="G7" s="3027" t="s">
        <v>3294</v>
      </c>
      <c r="H7" s="3027" t="s">
        <v>3302</v>
      </c>
      <c r="I7" s="3027">
        <v>2158</v>
      </c>
      <c r="J7" s="3027">
        <v>5638</v>
      </c>
      <c r="K7" s="3027">
        <v>2215.15</v>
      </c>
      <c r="L7" s="3027">
        <v>161.26</v>
      </c>
      <c r="M7" s="3027" t="s">
        <v>3308</v>
      </c>
      <c r="N7" s="3028"/>
      <c r="O7" s="3028"/>
      <c r="P7" s="3028"/>
      <c r="Q7" s="3028"/>
      <c r="R7" s="3028"/>
      <c r="S7" s="3028"/>
      <c r="T7" s="3028"/>
      <c r="U7" s="3028"/>
      <c r="V7" s="3028"/>
    </row>
    <row r="8" spans="1:22">
      <c r="A8" s="3025" t="s">
        <v>3310</v>
      </c>
      <c r="B8" s="3025" t="s">
        <v>3291</v>
      </c>
      <c r="C8" s="3025" t="s">
        <v>3292</v>
      </c>
      <c r="D8" s="3025">
        <v>30902</v>
      </c>
      <c r="E8" s="3025">
        <v>61804</v>
      </c>
      <c r="F8" s="3025" t="s">
        <v>3301</v>
      </c>
      <c r="G8" s="3025" t="s">
        <v>3294</v>
      </c>
      <c r="H8" s="3025" t="s">
        <v>3311</v>
      </c>
      <c r="I8" s="3025">
        <v>6524</v>
      </c>
      <c r="J8" s="3025">
        <v>6524</v>
      </c>
      <c r="K8" s="3025">
        <v>1055.5899999999999</v>
      </c>
      <c r="L8" s="3025">
        <v>0</v>
      </c>
      <c r="M8" s="3025" t="s">
        <v>3312</v>
      </c>
      <c r="N8" s="3026"/>
      <c r="O8" s="3026"/>
      <c r="P8" s="3026"/>
      <c r="Q8" s="3026"/>
      <c r="R8" s="3026"/>
      <c r="S8" s="3026"/>
      <c r="T8" s="3026"/>
      <c r="U8" s="3026"/>
      <c r="V8" s="3026"/>
    </row>
    <row r="9" spans="1:22">
      <c r="A9" s="1629" t="s">
        <v>3313</v>
      </c>
      <c r="B9" s="1629" t="s">
        <v>3291</v>
      </c>
      <c r="C9" s="1629" t="s">
        <v>3314</v>
      </c>
      <c r="D9" s="1629">
        <v>62949</v>
      </c>
      <c r="E9" s="1629">
        <v>88128.6</v>
      </c>
      <c r="F9" s="1629" t="s">
        <v>3315</v>
      </c>
      <c r="G9" s="1629" t="s">
        <v>3294</v>
      </c>
      <c r="H9" s="1629" t="s">
        <v>3311</v>
      </c>
      <c r="I9" s="1629">
        <v>3696</v>
      </c>
      <c r="J9" s="1629">
        <v>3696</v>
      </c>
      <c r="K9" s="1629">
        <v>419.38</v>
      </c>
      <c r="L9" s="1629">
        <v>0</v>
      </c>
      <c r="M9" s="1629" t="s">
        <v>3316</v>
      </c>
    </row>
    <row r="10" spans="1:22">
      <c r="A10" s="3027" t="s">
        <v>3317</v>
      </c>
      <c r="B10" s="3027" t="s">
        <v>3291</v>
      </c>
      <c r="C10" s="3027" t="s">
        <v>3292</v>
      </c>
      <c r="D10" s="3027">
        <v>10961</v>
      </c>
      <c r="E10" s="3027">
        <v>28498.6</v>
      </c>
      <c r="F10" s="3027" t="s">
        <v>3318</v>
      </c>
      <c r="G10" s="3027" t="s">
        <v>3294</v>
      </c>
      <c r="H10" s="3027" t="s">
        <v>3311</v>
      </c>
      <c r="I10" s="3027">
        <v>3501</v>
      </c>
      <c r="J10" s="3027">
        <v>8141</v>
      </c>
      <c r="K10" s="3027">
        <v>2856.63</v>
      </c>
      <c r="L10" s="3027">
        <v>132.53</v>
      </c>
      <c r="M10" s="3027" t="s">
        <v>3319</v>
      </c>
      <c r="N10" s="3028"/>
      <c r="O10" s="3028"/>
      <c r="P10" s="3028"/>
      <c r="Q10" s="3028"/>
      <c r="R10" s="3028"/>
      <c r="S10" s="3028"/>
      <c r="T10" s="3028"/>
      <c r="U10" s="3028"/>
      <c r="V10" s="3028"/>
    </row>
    <row r="11" spans="1:22">
      <c r="A11" s="1629" t="s">
        <v>3320</v>
      </c>
      <c r="B11" s="1629" t="s">
        <v>3291</v>
      </c>
      <c r="C11" s="1629" t="s">
        <v>3314</v>
      </c>
      <c r="D11" s="1629">
        <v>79891</v>
      </c>
      <c r="E11" s="1629">
        <v>143803.79999999999</v>
      </c>
      <c r="F11" s="1629" t="s">
        <v>3321</v>
      </c>
      <c r="G11" s="1629" t="s">
        <v>3294</v>
      </c>
      <c r="H11" s="1629" t="s">
        <v>3311</v>
      </c>
      <c r="I11" s="1629">
        <v>6024</v>
      </c>
      <c r="J11" s="1629">
        <v>6024</v>
      </c>
      <c r="K11" s="1629">
        <v>418.89</v>
      </c>
      <c r="L11" s="1629">
        <v>0</v>
      </c>
      <c r="M11" s="1629" t="s">
        <v>3316</v>
      </c>
    </row>
    <row r="12" spans="1:22">
      <c r="A12" s="1629" t="s">
        <v>3322</v>
      </c>
      <c r="B12" s="1629" t="s">
        <v>3291</v>
      </c>
      <c r="C12" s="1629" t="s">
        <v>3314</v>
      </c>
      <c r="D12" s="1629">
        <v>95414</v>
      </c>
      <c r="E12" s="1629">
        <v>143121</v>
      </c>
      <c r="F12" s="1629" t="s">
        <v>3323</v>
      </c>
      <c r="G12" s="1629" t="s">
        <v>3294</v>
      </c>
      <c r="H12" s="1629" t="s">
        <v>3311</v>
      </c>
      <c r="I12" s="1629" t="s">
        <v>1331</v>
      </c>
      <c r="J12" s="1629">
        <v>5802</v>
      </c>
      <c r="K12" s="1629">
        <v>405.38</v>
      </c>
      <c r="L12" s="1629" t="s">
        <v>1331</v>
      </c>
      <c r="M12" s="1629" t="s">
        <v>3316</v>
      </c>
    </row>
    <row r="13" spans="1:22">
      <c r="A13" s="3027" t="s">
        <v>3324</v>
      </c>
      <c r="B13" s="3027" t="s">
        <v>3291</v>
      </c>
      <c r="C13" s="3027" t="s">
        <v>3314</v>
      </c>
      <c r="D13" s="3027">
        <v>63085</v>
      </c>
      <c r="E13" s="3027">
        <v>189255</v>
      </c>
      <c r="F13" s="3027" t="s">
        <v>3325</v>
      </c>
      <c r="G13" s="3027" t="s">
        <v>3294</v>
      </c>
      <c r="H13" s="3027" t="s">
        <v>3311</v>
      </c>
      <c r="I13" s="3027">
        <v>23531</v>
      </c>
      <c r="J13" s="3027">
        <v>46131</v>
      </c>
      <c r="K13" s="3027">
        <v>2437.5</v>
      </c>
      <c r="L13" s="3027">
        <v>96.04</v>
      </c>
      <c r="M13" s="3027" t="s">
        <v>3326</v>
      </c>
      <c r="N13" s="3028"/>
      <c r="O13" s="3028"/>
      <c r="P13" s="3028"/>
      <c r="Q13" s="3028"/>
      <c r="R13" s="3028"/>
      <c r="S13" s="3028"/>
      <c r="T13" s="3028"/>
      <c r="U13" s="3028"/>
      <c r="V13" s="3028"/>
    </row>
    <row r="14" spans="1:22">
      <c r="A14" s="1629" t="s">
        <v>3327</v>
      </c>
      <c r="B14" s="1629" t="s">
        <v>3291</v>
      </c>
      <c r="C14" s="1629" t="s">
        <v>3314</v>
      </c>
      <c r="D14" s="1629">
        <v>98397</v>
      </c>
      <c r="E14" s="1629">
        <v>295191</v>
      </c>
      <c r="F14" s="1629" t="s">
        <v>3325</v>
      </c>
      <c r="G14" s="1629" t="s">
        <v>3294</v>
      </c>
      <c r="H14" s="1629" t="s">
        <v>3311</v>
      </c>
      <c r="I14" s="1629">
        <v>43985</v>
      </c>
      <c r="J14" s="1629">
        <v>99785</v>
      </c>
      <c r="K14" s="1629">
        <v>3380.34</v>
      </c>
      <c r="L14" s="1629">
        <v>126.86</v>
      </c>
      <c r="M14" s="1629" t="s">
        <v>3328</v>
      </c>
    </row>
    <row r="15" spans="1:22">
      <c r="A15" s="1629" t="s">
        <v>3329</v>
      </c>
      <c r="B15" s="1629" t="s">
        <v>3291</v>
      </c>
      <c r="C15" s="1629" t="s">
        <v>3292</v>
      </c>
      <c r="D15" s="1629">
        <v>87730</v>
      </c>
      <c r="E15" s="1629">
        <v>157914</v>
      </c>
      <c r="F15" s="1629" t="s">
        <v>3321</v>
      </c>
      <c r="G15" s="1629" t="s">
        <v>3294</v>
      </c>
      <c r="H15" s="1629" t="s">
        <v>3311</v>
      </c>
      <c r="I15" s="1629">
        <v>5571</v>
      </c>
      <c r="J15" s="1629">
        <v>5571</v>
      </c>
      <c r="K15" s="1629">
        <v>352.79</v>
      </c>
      <c r="L15" s="1629">
        <v>0</v>
      </c>
      <c r="M15" s="1629" t="s">
        <v>3316</v>
      </c>
    </row>
    <row r="16" spans="1:22">
      <c r="A16" s="1629" t="s">
        <v>3330</v>
      </c>
      <c r="B16" s="1629" t="s">
        <v>3291</v>
      </c>
      <c r="C16" s="1629" t="s">
        <v>3292</v>
      </c>
      <c r="D16" s="1629">
        <v>6737</v>
      </c>
      <c r="E16" s="1629">
        <v>18863.599999999999</v>
      </c>
      <c r="F16" s="1629" t="s">
        <v>3331</v>
      </c>
      <c r="G16" s="1629" t="s">
        <v>3294</v>
      </c>
      <c r="H16" s="1629" t="s">
        <v>3311</v>
      </c>
      <c r="I16" s="1629">
        <v>1866</v>
      </c>
      <c r="J16" s="1629">
        <v>1866</v>
      </c>
      <c r="K16" s="1629">
        <v>989.21</v>
      </c>
      <c r="L16" s="1629">
        <v>0</v>
      </c>
      <c r="M16" s="1629" t="s">
        <v>3332</v>
      </c>
    </row>
    <row r="17" spans="1:22">
      <c r="A17" s="1629" t="s">
        <v>3333</v>
      </c>
      <c r="B17" s="1629" t="s">
        <v>3291</v>
      </c>
      <c r="C17" s="1629" t="s">
        <v>3292</v>
      </c>
      <c r="D17" s="1629">
        <v>13104</v>
      </c>
      <c r="E17" s="1629">
        <v>18345.599999999999</v>
      </c>
      <c r="F17" s="1629" t="s">
        <v>3315</v>
      </c>
      <c r="G17" s="1629" t="s">
        <v>3294</v>
      </c>
      <c r="H17" s="1629" t="s">
        <v>3311</v>
      </c>
      <c r="I17" s="1629">
        <v>758</v>
      </c>
      <c r="J17" s="1629">
        <v>758</v>
      </c>
      <c r="K17" s="1629">
        <v>413.18</v>
      </c>
      <c r="L17" s="1629">
        <v>0</v>
      </c>
      <c r="M17" s="1629" t="s">
        <v>3316</v>
      </c>
    </row>
    <row r="18" spans="1:22">
      <c r="A18" s="1629" t="s">
        <v>3334</v>
      </c>
      <c r="B18" s="1629" t="s">
        <v>3291</v>
      </c>
      <c r="C18" s="1629" t="s">
        <v>3292</v>
      </c>
      <c r="D18" s="1629">
        <v>13333</v>
      </c>
      <c r="E18" s="1629">
        <v>26666</v>
      </c>
      <c r="F18" s="1629" t="s">
        <v>3301</v>
      </c>
      <c r="G18" s="1629" t="s">
        <v>3294</v>
      </c>
      <c r="H18" s="1629" t="s">
        <v>3311</v>
      </c>
      <c r="I18" s="1629">
        <v>868</v>
      </c>
      <c r="J18" s="1629">
        <v>868</v>
      </c>
      <c r="K18" s="1629">
        <v>325.5</v>
      </c>
      <c r="L18" s="1629">
        <v>0</v>
      </c>
      <c r="M18" s="1629" t="s">
        <v>3335</v>
      </c>
    </row>
    <row r="19" spans="1:22">
      <c r="A19" s="1629" t="s">
        <v>3336</v>
      </c>
      <c r="B19" s="1629" t="s">
        <v>3291</v>
      </c>
      <c r="C19" s="1629" t="s">
        <v>3292</v>
      </c>
      <c r="D19" s="1629">
        <v>14119</v>
      </c>
      <c r="E19" s="1629">
        <v>19766.599999999999</v>
      </c>
      <c r="F19" s="1629" t="s">
        <v>3315</v>
      </c>
      <c r="G19" s="1629" t="s">
        <v>3294</v>
      </c>
      <c r="H19" s="1629" t="s">
        <v>3311</v>
      </c>
      <c r="I19" s="1629">
        <v>824</v>
      </c>
      <c r="J19" s="1629">
        <v>824</v>
      </c>
      <c r="K19" s="1629">
        <v>416.86</v>
      </c>
      <c r="L19" s="1629">
        <v>0</v>
      </c>
      <c r="M19" s="1629" t="s">
        <v>3316</v>
      </c>
    </row>
    <row r="20" spans="1:22">
      <c r="A20" s="3025" t="s">
        <v>3337</v>
      </c>
      <c r="B20" s="3025" t="s">
        <v>3291</v>
      </c>
      <c r="C20" s="3025" t="s">
        <v>3292</v>
      </c>
      <c r="D20" s="3025">
        <v>24495</v>
      </c>
      <c r="E20" s="3025">
        <v>53889</v>
      </c>
      <c r="F20" s="3025" t="s">
        <v>3338</v>
      </c>
      <c r="G20" s="3025" t="s">
        <v>3294</v>
      </c>
      <c r="H20" s="3025" t="s">
        <v>3311</v>
      </c>
      <c r="I20" s="3025">
        <v>3062</v>
      </c>
      <c r="J20" s="3025">
        <v>6032</v>
      </c>
      <c r="K20" s="3025">
        <v>1119.33</v>
      </c>
      <c r="L20" s="3025">
        <v>97</v>
      </c>
      <c r="M20" s="3025" t="s">
        <v>3339</v>
      </c>
      <c r="N20" s="3026"/>
      <c r="O20" s="3026"/>
      <c r="P20" s="3026"/>
      <c r="Q20" s="3026"/>
      <c r="R20" s="3026"/>
      <c r="S20" s="3026"/>
      <c r="T20" s="3026"/>
      <c r="U20" s="3026"/>
      <c r="V20" s="3026"/>
    </row>
    <row r="21" spans="1:22">
      <c r="A21" s="1629" t="s">
        <v>3340</v>
      </c>
      <c r="B21" s="1629" t="s">
        <v>3291</v>
      </c>
      <c r="C21" s="1629" t="s">
        <v>3292</v>
      </c>
      <c r="D21" s="1629">
        <v>465</v>
      </c>
      <c r="E21" s="1629">
        <v>558</v>
      </c>
      <c r="F21" s="1629" t="s">
        <v>3293</v>
      </c>
      <c r="G21" s="1629" t="s">
        <v>3294</v>
      </c>
      <c r="H21" s="1629" t="s">
        <v>3341</v>
      </c>
      <c r="I21" s="1629">
        <v>22</v>
      </c>
      <c r="J21" s="1629">
        <v>22</v>
      </c>
      <c r="K21" s="1629">
        <v>394.26</v>
      </c>
      <c r="L21" s="1629">
        <v>0</v>
      </c>
      <c r="M21" s="1629" t="s">
        <v>3342</v>
      </c>
    </row>
    <row r="22" spans="1:22">
      <c r="A22" s="1629" t="s">
        <v>3340</v>
      </c>
      <c r="B22" s="1629" t="s">
        <v>3291</v>
      </c>
      <c r="C22" s="1629" t="s">
        <v>3314</v>
      </c>
      <c r="D22" s="1629">
        <v>14087</v>
      </c>
      <c r="E22" s="1629">
        <v>16904.400000000001</v>
      </c>
      <c r="F22" s="1629" t="s">
        <v>3293</v>
      </c>
      <c r="G22" s="1629" t="s">
        <v>3294</v>
      </c>
      <c r="H22" s="1629" t="s">
        <v>3341</v>
      </c>
      <c r="I22" s="1629">
        <v>675</v>
      </c>
      <c r="J22" s="1629">
        <v>675</v>
      </c>
      <c r="K22" s="1629">
        <v>399.3</v>
      </c>
      <c r="L22" s="1629">
        <v>0</v>
      </c>
      <c r="M22" s="1629" t="s">
        <v>3342</v>
      </c>
    </row>
    <row r="23" spans="1:22">
      <c r="A23" s="1629" t="s">
        <v>3343</v>
      </c>
      <c r="B23" s="1629" t="s">
        <v>3291</v>
      </c>
      <c r="C23" s="1629" t="s">
        <v>3292</v>
      </c>
      <c r="D23" s="1629">
        <v>8316</v>
      </c>
      <c r="E23" s="1629">
        <v>9979.2000000000007</v>
      </c>
      <c r="F23" s="1629" t="s">
        <v>3293</v>
      </c>
      <c r="G23" s="1629" t="s">
        <v>3294</v>
      </c>
      <c r="H23" s="1629" t="s">
        <v>3344</v>
      </c>
      <c r="I23" s="1629">
        <v>447</v>
      </c>
      <c r="J23" s="1629">
        <v>447</v>
      </c>
      <c r="K23" s="1629">
        <v>447.93</v>
      </c>
      <c r="L23" s="1629">
        <v>0</v>
      </c>
      <c r="M23" s="1629" t="s">
        <v>3345</v>
      </c>
    </row>
    <row r="24" spans="1:22">
      <c r="A24" s="1629" t="s">
        <v>3346</v>
      </c>
      <c r="B24" s="1629" t="s">
        <v>3291</v>
      </c>
      <c r="C24" s="1629" t="s">
        <v>3292</v>
      </c>
      <c r="D24" s="1629">
        <v>5226</v>
      </c>
      <c r="E24" s="1629">
        <v>7839</v>
      </c>
      <c r="F24" s="1629" t="s">
        <v>3298</v>
      </c>
      <c r="G24" s="1629" t="s">
        <v>3294</v>
      </c>
      <c r="H24" s="1629" t="s">
        <v>3344</v>
      </c>
      <c r="I24" s="1629">
        <v>293</v>
      </c>
      <c r="J24" s="1629">
        <v>293</v>
      </c>
      <c r="K24" s="1629">
        <v>373.76</v>
      </c>
      <c r="L24" s="1629">
        <v>0</v>
      </c>
      <c r="M24" s="1629" t="s">
        <v>3347</v>
      </c>
    </row>
    <row r="25" spans="1:22">
      <c r="A25" s="1629" t="s">
        <v>3348</v>
      </c>
      <c r="B25" s="1629" t="s">
        <v>3291</v>
      </c>
      <c r="C25" s="1629" t="s">
        <v>3292</v>
      </c>
      <c r="D25" s="1629">
        <v>12923</v>
      </c>
      <c r="E25" s="1629">
        <v>19384.5</v>
      </c>
      <c r="F25" s="1629" t="s">
        <v>3298</v>
      </c>
      <c r="G25" s="1629" t="s">
        <v>3294</v>
      </c>
      <c r="H25" s="1629" t="s">
        <v>3344</v>
      </c>
      <c r="I25" s="1629">
        <v>726</v>
      </c>
      <c r="J25" s="1629">
        <v>726</v>
      </c>
      <c r="K25" s="1629">
        <v>374.52</v>
      </c>
      <c r="L25" s="1629">
        <v>0</v>
      </c>
      <c r="M25" s="1629" t="s">
        <v>3349</v>
      </c>
    </row>
    <row r="26" spans="1:22">
      <c r="A26" s="1629" t="s">
        <v>3348</v>
      </c>
      <c r="B26" s="1629" t="s">
        <v>3291</v>
      </c>
      <c r="C26" s="1629" t="s">
        <v>3292</v>
      </c>
      <c r="D26" s="1629">
        <v>2278</v>
      </c>
      <c r="E26" s="1629">
        <v>3417</v>
      </c>
      <c r="F26" s="1629" t="s">
        <v>3298</v>
      </c>
      <c r="G26" s="1629" t="s">
        <v>3294</v>
      </c>
      <c r="H26" s="1629" t="s">
        <v>3344</v>
      </c>
      <c r="I26" s="1629">
        <v>128</v>
      </c>
      <c r="J26" s="1629">
        <v>128</v>
      </c>
      <c r="K26" s="1629">
        <v>374.6</v>
      </c>
      <c r="L26" s="1629">
        <v>0</v>
      </c>
      <c r="M26" s="1629" t="s">
        <v>3349</v>
      </c>
    </row>
    <row r="27" spans="1:22">
      <c r="A27" s="1629" t="s">
        <v>3350</v>
      </c>
      <c r="B27" s="1629" t="s">
        <v>3291</v>
      </c>
      <c r="C27" s="1629" t="s">
        <v>3292</v>
      </c>
      <c r="D27" s="1629">
        <v>6688</v>
      </c>
      <c r="E27" s="1629">
        <v>10032</v>
      </c>
      <c r="F27" s="1629" t="s">
        <v>3298</v>
      </c>
      <c r="G27" s="1629" t="s">
        <v>3294</v>
      </c>
      <c r="H27" s="1629" t="s">
        <v>3344</v>
      </c>
      <c r="I27" s="1629" t="s">
        <v>1331</v>
      </c>
      <c r="J27" s="1629">
        <v>377</v>
      </c>
      <c r="K27" s="1629">
        <v>375.8</v>
      </c>
      <c r="L27" s="1629" t="s">
        <v>1331</v>
      </c>
      <c r="M27" s="1629" t="s">
        <v>3351</v>
      </c>
    </row>
    <row r="28" spans="1:22">
      <c r="A28" s="1629" t="s">
        <v>3350</v>
      </c>
      <c r="B28" s="1629" t="s">
        <v>3291</v>
      </c>
      <c r="C28" s="1629" t="s">
        <v>3292</v>
      </c>
      <c r="D28" s="1629">
        <v>11765</v>
      </c>
      <c r="E28" s="1629">
        <v>17647.5</v>
      </c>
      <c r="F28" s="1629" t="s">
        <v>3298</v>
      </c>
      <c r="G28" s="1629" t="s">
        <v>3294</v>
      </c>
      <c r="H28" s="1629" t="s">
        <v>3344</v>
      </c>
      <c r="I28" s="1629" t="s">
        <v>1331</v>
      </c>
      <c r="J28" s="1629">
        <v>662</v>
      </c>
      <c r="K28" s="1629">
        <v>375.12</v>
      </c>
      <c r="L28" s="1629" t="s">
        <v>1331</v>
      </c>
      <c r="M28" s="1629" t="s">
        <v>3351</v>
      </c>
    </row>
    <row r="29" spans="1:22">
      <c r="A29" s="1629" t="s">
        <v>3352</v>
      </c>
      <c r="B29" s="1629" t="s">
        <v>3291</v>
      </c>
      <c r="C29" s="1629" t="s">
        <v>3314</v>
      </c>
      <c r="D29" s="1629">
        <v>64452</v>
      </c>
      <c r="E29" s="1629">
        <v>141794.4</v>
      </c>
      <c r="F29" s="1629" t="s">
        <v>3338</v>
      </c>
      <c r="G29" s="1629" t="s">
        <v>3294</v>
      </c>
      <c r="H29" s="1629" t="s">
        <v>3353</v>
      </c>
      <c r="I29" s="1629">
        <v>10782.81</v>
      </c>
      <c r="J29" s="1629">
        <v>10782.81</v>
      </c>
      <c r="K29" s="1629">
        <v>760.45</v>
      </c>
      <c r="L29" s="1629">
        <v>0</v>
      </c>
      <c r="M29" s="1629" t="s">
        <v>3354</v>
      </c>
    </row>
    <row r="30" spans="1:22">
      <c r="A30" s="1629" t="s">
        <v>3355</v>
      </c>
      <c r="B30" s="1629" t="s">
        <v>3291</v>
      </c>
      <c r="C30" s="1629" t="s">
        <v>3292</v>
      </c>
      <c r="D30" s="1629">
        <v>20960</v>
      </c>
      <c r="E30" s="1629">
        <v>31440</v>
      </c>
      <c r="F30" s="1629" t="s">
        <v>3298</v>
      </c>
      <c r="G30" s="1629" t="s">
        <v>3294</v>
      </c>
      <c r="H30" s="1629" t="s">
        <v>3353</v>
      </c>
      <c r="I30" s="1629">
        <v>4039</v>
      </c>
      <c r="J30" s="1629">
        <v>4199</v>
      </c>
      <c r="K30" s="1629">
        <v>1335.55</v>
      </c>
      <c r="L30" s="1629">
        <v>3.96</v>
      </c>
      <c r="M30" s="1629" t="s">
        <v>3356</v>
      </c>
    </row>
    <row r="31" spans="1:22">
      <c r="A31" s="1629" t="s">
        <v>3357</v>
      </c>
      <c r="B31" s="1629" t="s">
        <v>3291</v>
      </c>
      <c r="C31" s="1629" t="s">
        <v>3314</v>
      </c>
      <c r="D31" s="1629">
        <v>12407</v>
      </c>
      <c r="E31" s="1629">
        <v>39702.400000000001</v>
      </c>
      <c r="F31" s="1629" t="s">
        <v>3358</v>
      </c>
      <c r="G31" s="1629" t="s">
        <v>3294</v>
      </c>
      <c r="H31" s="1629" t="s">
        <v>3353</v>
      </c>
      <c r="I31" s="1629">
        <v>1613</v>
      </c>
      <c r="J31" s="1629">
        <v>1613</v>
      </c>
      <c r="K31" s="1629">
        <v>406.26</v>
      </c>
      <c r="L31" s="1629">
        <v>0</v>
      </c>
      <c r="M31" s="1629" t="s">
        <v>3359</v>
      </c>
    </row>
    <row r="32" spans="1:22">
      <c r="A32" s="1629" t="s">
        <v>3360</v>
      </c>
      <c r="B32" s="1629" t="s">
        <v>3291</v>
      </c>
      <c r="C32" s="1629" t="s">
        <v>3292</v>
      </c>
      <c r="D32" s="1629">
        <v>43674</v>
      </c>
      <c r="E32" s="1629">
        <v>65511</v>
      </c>
      <c r="F32" s="1629" t="s">
        <v>3298</v>
      </c>
      <c r="G32" s="1629" t="s">
        <v>3294</v>
      </c>
      <c r="H32" s="1629" t="s">
        <v>3353</v>
      </c>
      <c r="I32" s="1629">
        <v>8316</v>
      </c>
      <c r="J32" s="1629">
        <v>14396</v>
      </c>
      <c r="K32" s="1629">
        <v>2197.48</v>
      </c>
      <c r="L32" s="1629">
        <v>73.11</v>
      </c>
      <c r="M32" s="1629" t="s">
        <v>3356</v>
      </c>
    </row>
    <row r="33" spans="1:13">
      <c r="A33" s="1629" t="s">
        <v>3361</v>
      </c>
      <c r="B33" s="1629" t="s">
        <v>3291</v>
      </c>
      <c r="C33" s="1629" t="s">
        <v>3292</v>
      </c>
      <c r="D33" s="1629">
        <v>43333</v>
      </c>
      <c r="E33" s="1629">
        <v>51999.6</v>
      </c>
      <c r="F33" s="1629" t="s">
        <v>3293</v>
      </c>
      <c r="G33" s="1629" t="s">
        <v>3294</v>
      </c>
      <c r="H33" s="1629" t="s">
        <v>3353</v>
      </c>
      <c r="I33" s="1629" t="s">
        <v>1331</v>
      </c>
      <c r="J33" s="1629">
        <v>17969</v>
      </c>
      <c r="K33" s="1629">
        <v>3455.59</v>
      </c>
      <c r="L33" s="1629" t="s">
        <v>1331</v>
      </c>
      <c r="M33" s="1629" t="s">
        <v>3362</v>
      </c>
    </row>
    <row r="34" spans="1:13">
      <c r="A34" s="1629" t="s">
        <v>3363</v>
      </c>
      <c r="B34" s="1629" t="s">
        <v>3291</v>
      </c>
      <c r="C34" s="1629" t="s">
        <v>3292</v>
      </c>
      <c r="D34" s="1629">
        <v>51904</v>
      </c>
      <c r="E34" s="1629">
        <v>129760</v>
      </c>
      <c r="F34" s="1629" t="s">
        <v>3364</v>
      </c>
      <c r="G34" s="1629" t="s">
        <v>3294</v>
      </c>
      <c r="H34" s="1629" t="s">
        <v>3365</v>
      </c>
      <c r="I34" s="1629">
        <v>10644</v>
      </c>
      <c r="J34" s="1629">
        <v>14164</v>
      </c>
      <c r="K34" s="1629">
        <v>1091.54</v>
      </c>
      <c r="L34" s="1629">
        <v>33.07</v>
      </c>
      <c r="M34" s="1629" t="s">
        <v>3366</v>
      </c>
    </row>
    <row r="35" spans="1:13">
      <c r="A35" s="1629" t="s">
        <v>3367</v>
      </c>
      <c r="B35" s="1629" t="s">
        <v>3291</v>
      </c>
      <c r="C35" s="1629" t="s">
        <v>3292</v>
      </c>
      <c r="D35" s="1629">
        <v>26235</v>
      </c>
      <c r="E35" s="1629">
        <v>39352.5</v>
      </c>
      <c r="F35" s="1629" t="s">
        <v>3368</v>
      </c>
      <c r="G35" s="1629" t="s">
        <v>3294</v>
      </c>
      <c r="H35" s="1629" t="s">
        <v>3365</v>
      </c>
      <c r="I35" s="1629">
        <v>1650</v>
      </c>
      <c r="J35" s="1629">
        <v>1650</v>
      </c>
      <c r="K35" s="1629">
        <v>419.29</v>
      </c>
      <c r="L35" s="1629">
        <v>0</v>
      </c>
      <c r="M35" s="1629" t="s">
        <v>3369</v>
      </c>
    </row>
    <row r="36" spans="1:13">
      <c r="A36" s="1629" t="s">
        <v>3370</v>
      </c>
      <c r="B36" s="1629" t="s">
        <v>3291</v>
      </c>
      <c r="C36" s="1629" t="s">
        <v>3292</v>
      </c>
      <c r="D36" s="1629">
        <v>1630</v>
      </c>
      <c r="E36" s="1629">
        <v>3586</v>
      </c>
      <c r="F36" s="1629" t="s">
        <v>3371</v>
      </c>
      <c r="G36" s="1629" t="s">
        <v>3294</v>
      </c>
      <c r="H36" s="1629" t="s">
        <v>3365</v>
      </c>
      <c r="I36" s="1629">
        <v>373</v>
      </c>
      <c r="J36" s="1629">
        <v>373</v>
      </c>
      <c r="K36" s="1629">
        <v>1040.1600000000001</v>
      </c>
      <c r="L36" s="1629">
        <v>0</v>
      </c>
      <c r="M36" s="1629" t="s">
        <v>3372</v>
      </c>
    </row>
    <row r="37" spans="1:13">
      <c r="A37" s="1629" t="s">
        <v>3373</v>
      </c>
      <c r="B37" s="1629" t="s">
        <v>3291</v>
      </c>
      <c r="C37" s="1629" t="s">
        <v>3314</v>
      </c>
      <c r="D37" s="1629">
        <v>82128</v>
      </c>
      <c r="E37" s="1629">
        <v>234064.8</v>
      </c>
      <c r="F37" s="1629" t="s">
        <v>3374</v>
      </c>
      <c r="G37" s="1629" t="s">
        <v>3294</v>
      </c>
      <c r="H37" s="1629" t="s">
        <v>3375</v>
      </c>
      <c r="I37" s="1629">
        <v>27110.45</v>
      </c>
      <c r="J37" s="1629">
        <v>35910.44</v>
      </c>
      <c r="K37" s="1629">
        <v>1534.21</v>
      </c>
      <c r="L37" s="1629">
        <v>32.46</v>
      </c>
      <c r="M37" s="1629" t="s">
        <v>3376</v>
      </c>
    </row>
    <row r="38" spans="1:13">
      <c r="A38" s="1629" t="s">
        <v>3377</v>
      </c>
      <c r="B38" s="1629" t="s">
        <v>3291</v>
      </c>
      <c r="C38" s="1629" t="s">
        <v>3292</v>
      </c>
      <c r="D38" s="1629">
        <v>5695</v>
      </c>
      <c r="E38" s="1629">
        <v>9681.5</v>
      </c>
      <c r="F38" s="1629" t="s">
        <v>3378</v>
      </c>
      <c r="G38" s="1629" t="s">
        <v>3294</v>
      </c>
      <c r="H38" s="1629" t="s">
        <v>3375</v>
      </c>
      <c r="I38" s="1629">
        <v>1218.1600000000001</v>
      </c>
      <c r="J38" s="1629">
        <v>1218.1600000000001</v>
      </c>
      <c r="K38" s="1629">
        <v>1258.23</v>
      </c>
      <c r="L38" s="1629">
        <v>0</v>
      </c>
      <c r="M38" s="1629" t="s">
        <v>3379</v>
      </c>
    </row>
    <row r="39" spans="1:13">
      <c r="A39" s="1629" t="s">
        <v>3380</v>
      </c>
      <c r="B39" s="1629" t="s">
        <v>3291</v>
      </c>
      <c r="C39" s="1629" t="s">
        <v>3292</v>
      </c>
      <c r="D39" s="1629">
        <v>64587</v>
      </c>
      <c r="E39" s="1629">
        <v>77504.399999999994</v>
      </c>
      <c r="F39" s="1629" t="s">
        <v>3381</v>
      </c>
      <c r="G39" s="1629" t="s">
        <v>3294</v>
      </c>
      <c r="H39" s="1629" t="s">
        <v>3382</v>
      </c>
      <c r="I39" s="1629">
        <v>3417</v>
      </c>
      <c r="J39" s="1629">
        <v>3417</v>
      </c>
      <c r="K39" s="1629">
        <v>440.87</v>
      </c>
      <c r="L39" s="1629">
        <v>0</v>
      </c>
      <c r="M39" s="1629" t="s">
        <v>3383</v>
      </c>
    </row>
    <row r="40" spans="1:13">
      <c r="A40" s="1629" t="s">
        <v>3384</v>
      </c>
      <c r="B40" s="1629" t="s">
        <v>3291</v>
      </c>
      <c r="C40" s="1629" t="s">
        <v>3292</v>
      </c>
      <c r="D40" s="1629">
        <v>9590</v>
      </c>
      <c r="E40" s="1629">
        <v>19180</v>
      </c>
      <c r="F40" s="1629" t="s">
        <v>3301</v>
      </c>
      <c r="G40" s="1629" t="s">
        <v>3294</v>
      </c>
      <c r="H40" s="1629" t="s">
        <v>3385</v>
      </c>
      <c r="I40" s="1629">
        <v>2065</v>
      </c>
      <c r="J40" s="1629">
        <v>2065</v>
      </c>
      <c r="K40" s="1629">
        <v>1076.6400000000001</v>
      </c>
      <c r="L40" s="1629">
        <v>0</v>
      </c>
      <c r="M40" s="1629" t="s">
        <v>3386</v>
      </c>
    </row>
    <row r="41" spans="1:13">
      <c r="A41" s="1629" t="s">
        <v>3387</v>
      </c>
      <c r="B41" s="1629" t="s">
        <v>3291</v>
      </c>
      <c r="C41" s="1629" t="s">
        <v>3292</v>
      </c>
      <c r="D41" s="1629">
        <v>3333</v>
      </c>
      <c r="E41" s="1629">
        <v>5999.4</v>
      </c>
      <c r="F41" s="1629" t="s">
        <v>3305</v>
      </c>
      <c r="G41" s="1629" t="s">
        <v>3294</v>
      </c>
      <c r="H41" s="1629" t="s">
        <v>3385</v>
      </c>
      <c r="I41" s="1629">
        <v>238</v>
      </c>
      <c r="J41" s="1629">
        <v>238</v>
      </c>
      <c r="K41" s="1629">
        <v>396.7</v>
      </c>
      <c r="L41" s="1629">
        <v>0</v>
      </c>
      <c r="M41" s="1629" t="s">
        <v>3388</v>
      </c>
    </row>
    <row r="42" spans="1:13">
      <c r="A42" s="1629" t="s">
        <v>3389</v>
      </c>
      <c r="B42" s="1629" t="s">
        <v>3291</v>
      </c>
      <c r="C42" s="1629" t="s">
        <v>3314</v>
      </c>
      <c r="D42" s="1629">
        <v>46010</v>
      </c>
      <c r="E42" s="1629">
        <v>92020</v>
      </c>
      <c r="F42" s="1629" t="s">
        <v>3301</v>
      </c>
      <c r="G42" s="1629" t="s">
        <v>3294</v>
      </c>
      <c r="H42" s="1629" t="s">
        <v>3385</v>
      </c>
      <c r="I42" s="1629">
        <v>12734</v>
      </c>
      <c r="J42" s="1629">
        <v>12734</v>
      </c>
      <c r="K42" s="1629">
        <v>1383.82</v>
      </c>
      <c r="L42" s="1629">
        <v>0</v>
      </c>
      <c r="M42" s="1629" t="s">
        <v>3390</v>
      </c>
    </row>
    <row r="43" spans="1:13">
      <c r="A43" s="1629" t="s">
        <v>3391</v>
      </c>
      <c r="B43" s="1629" t="s">
        <v>3291</v>
      </c>
      <c r="C43" s="1629" t="s">
        <v>3292</v>
      </c>
      <c r="D43" s="1629">
        <v>6670</v>
      </c>
      <c r="E43" s="1629">
        <v>12673</v>
      </c>
      <c r="F43" s="1629" t="s">
        <v>3392</v>
      </c>
      <c r="G43" s="1629" t="s">
        <v>3294</v>
      </c>
      <c r="H43" s="1629" t="s">
        <v>3385</v>
      </c>
      <c r="I43" s="1629">
        <v>506</v>
      </c>
      <c r="J43" s="1629">
        <v>506</v>
      </c>
      <c r="K43" s="1629">
        <v>399.26</v>
      </c>
      <c r="L43" s="1629">
        <v>0</v>
      </c>
      <c r="M43" s="1629" t="s">
        <v>3393</v>
      </c>
    </row>
    <row r="44" spans="1:13">
      <c r="A44" s="1629" t="s">
        <v>3394</v>
      </c>
      <c r="B44" s="1629" t="s">
        <v>3291</v>
      </c>
      <c r="C44" s="1629" t="s">
        <v>3314</v>
      </c>
      <c r="D44" s="1629">
        <v>2415</v>
      </c>
      <c r="E44" s="1629">
        <v>7245</v>
      </c>
      <c r="F44" s="1629" t="s">
        <v>3309</v>
      </c>
      <c r="G44" s="1629" t="s">
        <v>3294</v>
      </c>
      <c r="H44" s="1629" t="s">
        <v>3385</v>
      </c>
      <c r="I44" s="1629">
        <v>664</v>
      </c>
      <c r="J44" s="1629">
        <v>664</v>
      </c>
      <c r="K44" s="1629">
        <v>916.49</v>
      </c>
      <c r="L44" s="1629">
        <v>0</v>
      </c>
      <c r="M44" s="1629" t="s">
        <v>3308</v>
      </c>
    </row>
    <row r="45" spans="1:13">
      <c r="A45" s="1629" t="s">
        <v>3395</v>
      </c>
      <c r="B45" s="1629" t="s">
        <v>3291</v>
      </c>
      <c r="C45" s="1629" t="s">
        <v>3292</v>
      </c>
      <c r="D45" s="1629">
        <v>13333</v>
      </c>
      <c r="E45" s="1629">
        <v>19999.5</v>
      </c>
      <c r="F45" s="1629" t="s">
        <v>3298</v>
      </c>
      <c r="G45" s="1629" t="s">
        <v>3294</v>
      </c>
      <c r="H45" s="1629" t="s">
        <v>3385</v>
      </c>
      <c r="I45" s="1629">
        <v>720</v>
      </c>
      <c r="J45" s="1629">
        <v>720</v>
      </c>
      <c r="K45" s="1629">
        <v>360</v>
      </c>
      <c r="L45" s="1629">
        <v>0</v>
      </c>
      <c r="M45" s="1629" t="s">
        <v>3369</v>
      </c>
    </row>
    <row r="46" spans="1:13">
      <c r="A46" s="1629" t="s">
        <v>3396</v>
      </c>
      <c r="B46" s="1629" t="s">
        <v>3291</v>
      </c>
      <c r="C46" s="1629" t="s">
        <v>3314</v>
      </c>
      <c r="D46" s="1629">
        <v>52798</v>
      </c>
      <c r="E46" s="1629">
        <v>105596</v>
      </c>
      <c r="F46" s="1629" t="s">
        <v>3301</v>
      </c>
      <c r="G46" s="1629" t="s">
        <v>3294</v>
      </c>
      <c r="H46" s="1629" t="s">
        <v>3385</v>
      </c>
      <c r="I46" s="1629">
        <v>13531</v>
      </c>
      <c r="J46" s="1629">
        <v>13531</v>
      </c>
      <c r="K46" s="1629">
        <v>1281.3900000000001</v>
      </c>
      <c r="L46" s="1629">
        <v>0</v>
      </c>
      <c r="M46" s="1629" t="s">
        <v>3397</v>
      </c>
    </row>
    <row r="47" spans="1:13">
      <c r="A47" s="1629" t="s">
        <v>3398</v>
      </c>
      <c r="B47" s="1629" t="s">
        <v>3291</v>
      </c>
      <c r="C47" s="1629" t="s">
        <v>3314</v>
      </c>
      <c r="D47" s="1629">
        <v>6080</v>
      </c>
      <c r="E47" s="1629">
        <v>13376</v>
      </c>
      <c r="F47" s="1629" t="s">
        <v>3371</v>
      </c>
      <c r="G47" s="1629" t="s">
        <v>3294</v>
      </c>
      <c r="H47" s="1629" t="s">
        <v>3399</v>
      </c>
      <c r="I47" s="1629">
        <v>879</v>
      </c>
      <c r="J47" s="1629">
        <v>879</v>
      </c>
      <c r="K47" s="1629">
        <v>657.14</v>
      </c>
      <c r="L47" s="1629">
        <v>0</v>
      </c>
      <c r="M47" s="1629" t="s">
        <v>3400</v>
      </c>
    </row>
    <row r="48" spans="1:13">
      <c r="A48" s="1629" t="s">
        <v>3401</v>
      </c>
      <c r="B48" s="1629" t="s">
        <v>3291</v>
      </c>
      <c r="C48" s="1629" t="s">
        <v>3292</v>
      </c>
      <c r="D48" s="1629">
        <v>72760</v>
      </c>
      <c r="E48" s="1629">
        <v>109140</v>
      </c>
      <c r="F48" s="1629" t="s">
        <v>3368</v>
      </c>
      <c r="G48" s="1629" t="s">
        <v>3294</v>
      </c>
      <c r="H48" s="1629" t="s">
        <v>3402</v>
      </c>
      <c r="I48" s="1629">
        <v>14981</v>
      </c>
      <c r="J48" s="1629">
        <v>14981</v>
      </c>
      <c r="K48" s="1629">
        <v>1372.64</v>
      </c>
      <c r="L48" s="1629">
        <v>0</v>
      </c>
      <c r="M48" s="1629" t="s">
        <v>3356</v>
      </c>
    </row>
    <row r="49" spans="1:13">
      <c r="A49" s="1629" t="s">
        <v>3403</v>
      </c>
      <c r="B49" s="1629" t="s">
        <v>3291</v>
      </c>
      <c r="C49" s="1629" t="s">
        <v>3314</v>
      </c>
      <c r="D49" s="1629">
        <v>39629</v>
      </c>
      <c r="E49" s="1629">
        <v>91146.7</v>
      </c>
      <c r="F49" s="1629" t="s">
        <v>3404</v>
      </c>
      <c r="G49" s="1629" t="s">
        <v>3294</v>
      </c>
      <c r="H49" s="1629" t="s">
        <v>3405</v>
      </c>
      <c r="I49" s="1629">
        <v>8338</v>
      </c>
      <c r="J49" s="1629">
        <v>8338</v>
      </c>
      <c r="K49" s="1629">
        <v>914.78</v>
      </c>
      <c r="L49" s="1629">
        <v>0</v>
      </c>
      <c r="M49" s="1629" t="s">
        <v>3406</v>
      </c>
    </row>
    <row r="50" spans="1:13">
      <c r="A50" s="1629" t="s">
        <v>3407</v>
      </c>
      <c r="B50" s="1629" t="s">
        <v>3291</v>
      </c>
      <c r="C50" s="1629" t="s">
        <v>3292</v>
      </c>
      <c r="D50" s="1629">
        <v>39030</v>
      </c>
      <c r="E50" s="1629">
        <v>117090</v>
      </c>
      <c r="F50" s="1629" t="s">
        <v>3408</v>
      </c>
      <c r="G50" s="1629" t="s">
        <v>3294</v>
      </c>
      <c r="H50" s="1629" t="s">
        <v>3405</v>
      </c>
      <c r="I50" s="1629">
        <v>2941</v>
      </c>
      <c r="J50" s="1629">
        <v>2941</v>
      </c>
      <c r="K50" s="1629">
        <v>251.16</v>
      </c>
      <c r="L50" s="1629">
        <v>0</v>
      </c>
      <c r="M50" s="1629" t="s">
        <v>3409</v>
      </c>
    </row>
    <row r="51" spans="1:13">
      <c r="A51" s="1629" t="s">
        <v>3410</v>
      </c>
      <c r="B51" s="1629" t="s">
        <v>3291</v>
      </c>
      <c r="C51" s="1629" t="s">
        <v>3292</v>
      </c>
      <c r="D51" s="1629">
        <v>3813</v>
      </c>
      <c r="E51" s="1629">
        <v>4575.6000000000004</v>
      </c>
      <c r="F51" s="1629" t="s">
        <v>3381</v>
      </c>
      <c r="G51" s="1629" t="s">
        <v>3294</v>
      </c>
      <c r="H51" s="1629" t="s">
        <v>3405</v>
      </c>
      <c r="I51" s="1629">
        <v>769</v>
      </c>
      <c r="J51" s="1629">
        <v>769</v>
      </c>
      <c r="K51" s="1629">
        <v>1680.65</v>
      </c>
      <c r="L51" s="1629">
        <v>0</v>
      </c>
      <c r="M51" s="1629" t="s">
        <v>3411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101" t="s">
        <v>1662</v>
      </c>
      <c r="B1" s="3101"/>
      <c r="C1" s="3101"/>
      <c r="D1" s="3101"/>
    </row>
    <row r="2" spans="1:4" ht="18">
      <c r="A2" s="3102" t="s">
        <v>1646</v>
      </c>
      <c r="B2" s="3102"/>
      <c r="C2" s="3102"/>
      <c r="D2" s="3102"/>
    </row>
    <row r="3" spans="1:4" ht="18.75">
      <c r="A3" s="1971" t="s">
        <v>1647</v>
      </c>
      <c r="B3" s="1971" t="s">
        <v>1648</v>
      </c>
      <c r="C3" s="1971" t="s">
        <v>1649</v>
      </c>
      <c r="D3" s="1971" t="s">
        <v>1650</v>
      </c>
    </row>
    <row r="4" spans="1:4" ht="56.25" customHeight="1">
      <c r="A4" s="1972" t="str">
        <f>项目基本情况!B4</f>
        <v>刘梅</v>
      </c>
      <c r="B4" s="1973">
        <f ca="1">项目基本情况!C4</f>
        <v>1120140022</v>
      </c>
      <c r="C4" s="1974"/>
      <c r="D4" s="1975" t="s">
        <v>1651</v>
      </c>
    </row>
    <row r="5" spans="1:4" ht="56.25" customHeight="1">
      <c r="A5" s="1972" t="str">
        <f>项目基本情况!D4</f>
        <v>吴薇</v>
      </c>
      <c r="B5" s="1973">
        <f ca="1">项目基本情况!E4</f>
        <v>1419970001</v>
      </c>
      <c r="C5" s="1976"/>
      <c r="D5" s="1975" t="s">
        <v>1651</v>
      </c>
    </row>
    <row r="6" spans="1:4" ht="18">
      <c r="A6" s="3102" t="s">
        <v>1652</v>
      </c>
      <c r="B6" s="3102"/>
      <c r="C6" s="3102"/>
      <c r="D6" s="3102"/>
    </row>
    <row r="7" spans="1:4" ht="18.75">
      <c r="A7" s="1971" t="s">
        <v>1647</v>
      </c>
      <c r="B7" s="1973" t="s">
        <v>1653</v>
      </c>
      <c r="C7" s="1971" t="s">
        <v>1649</v>
      </c>
      <c r="D7" s="1971" t="s">
        <v>1650</v>
      </c>
    </row>
    <row r="8" spans="1:4" ht="56.25" customHeight="1">
      <c r="A8" s="1977" t="s">
        <v>869</v>
      </c>
      <c r="B8" s="1977" t="s">
        <v>1</v>
      </c>
      <c r="C8" s="1974"/>
      <c r="D8" s="1975" t="s">
        <v>1651</v>
      </c>
    </row>
    <row r="9" spans="1:4">
      <c r="A9" s="723"/>
      <c r="B9" s="723"/>
      <c r="C9" s="723"/>
      <c r="D9" s="723"/>
    </row>
    <row r="10" spans="1:4" ht="18.75">
      <c r="A10" s="1978" t="s">
        <v>1654</v>
      </c>
      <c r="B10" s="723"/>
      <c r="C10" s="723"/>
      <c r="D10" s="723"/>
    </row>
    <row r="11" spans="1:4" ht="30" customHeight="1">
      <c r="A11" s="3103" t="s">
        <v>1655</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（1）根据估价对象《房屋所有权证》原件、《国有土地使用权》原件，截至价值时点，估价对象抵押权未见登记。</v>
      </c>
      <c r="B15" s="3095"/>
      <c r="C15" s="3095"/>
      <c r="D15" s="3095"/>
    </row>
    <row r="16" spans="1:4" ht="30" customHeight="1">
      <c r="A16" s="3097" t="s">
        <v>1656</v>
      </c>
      <c r="B16" s="3097"/>
      <c r="C16" s="3097"/>
      <c r="D16" s="3097"/>
    </row>
    <row r="17" spans="1:4" ht="144" customHeight="1">
      <c r="A17" s="3097" t="s">
        <v>1657</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8"/>
      <c r="C21" s="3098"/>
      <c r="D21" s="3098"/>
    </row>
    <row r="22" spans="1:4" ht="18.75" customHeight="1">
      <c r="A22" s="3099" t="s">
        <v>1658</v>
      </c>
      <c r="B22" s="3099"/>
      <c r="C22" s="3099"/>
      <c r="D22" s="3099"/>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109" t="s">
        <v>1669</v>
      </c>
      <c r="B15" s="3104" t="s">
        <v>136</v>
      </c>
      <c r="C15" s="3105"/>
    </row>
    <row r="16" spans="1:7" ht="13.5">
      <c r="A16" s="3110"/>
      <c r="B16" s="3104" t="s">
        <v>69</v>
      </c>
      <c r="C16" s="3105"/>
    </row>
    <row r="17" spans="1:3" ht="13.5">
      <c r="A17" s="3110"/>
      <c r="B17" s="3107" t="s">
        <v>1670</v>
      </c>
      <c r="C17" s="1994" t="s">
        <v>1669</v>
      </c>
    </row>
    <row r="18" spans="1:3" ht="13.5">
      <c r="A18" s="3110"/>
      <c r="B18" s="3107"/>
      <c r="C18" s="1994" t="s">
        <v>1671</v>
      </c>
    </row>
    <row r="19" spans="1:3" ht="13.5">
      <c r="A19" s="3110"/>
      <c r="B19" s="3107"/>
      <c r="C19" s="1994" t="s">
        <v>1672</v>
      </c>
    </row>
    <row r="20" spans="1:3" ht="13.5">
      <c r="A20" s="3111"/>
      <c r="B20" s="3106" t="s">
        <v>1673</v>
      </c>
      <c r="C20" s="3105"/>
    </row>
    <row r="21" spans="1:3" ht="13.5">
      <c r="A21" s="1995" t="s">
        <v>1674</v>
      </c>
      <c r="B21" s="1996"/>
      <c r="C21" s="1997"/>
    </row>
    <row r="22" spans="1:3" ht="13.5">
      <c r="A22" s="3108" t="s">
        <v>1675</v>
      </c>
      <c r="B22" s="3106" t="s">
        <v>1676</v>
      </c>
      <c r="C22" s="3105"/>
    </row>
    <row r="23" spans="1:3" ht="13.5">
      <c r="A23" s="3108"/>
      <c r="B23" s="3106" t="s">
        <v>1677</v>
      </c>
      <c r="C23" s="3105"/>
    </row>
    <row r="24" spans="1:3" ht="13.5">
      <c r="A24" s="3108"/>
      <c r="B24" s="3106" t="s">
        <v>1678</v>
      </c>
      <c r="C24" s="3105"/>
    </row>
    <row r="25" spans="1:3" ht="13.5">
      <c r="A25" s="3108"/>
      <c r="B25" s="3107" t="s">
        <v>1679</v>
      </c>
      <c r="C25" s="1994" t="s">
        <v>1680</v>
      </c>
    </row>
    <row r="26" spans="1:3" ht="13.5">
      <c r="A26" s="3108"/>
      <c r="B26" s="3107"/>
      <c r="C26" s="1994" t="s">
        <v>1681</v>
      </c>
    </row>
    <row r="27" spans="1:3" ht="13.5">
      <c r="A27" s="3108"/>
      <c r="B27" s="3107"/>
      <c r="C27" s="1994" t="s">
        <v>1682</v>
      </c>
    </row>
    <row r="28" spans="1:3" ht="13.5">
      <c r="A28" s="3108"/>
      <c r="B28" s="3107"/>
      <c r="C28" s="1994" t="s">
        <v>1683</v>
      </c>
    </row>
    <row r="29" spans="1:3" ht="13.5">
      <c r="A29" s="3108"/>
      <c r="B29" s="3107"/>
      <c r="C29" s="1994" t="s">
        <v>1684</v>
      </c>
    </row>
    <row r="30" spans="1:3" ht="13.5">
      <c r="A30" s="3108"/>
      <c r="B30" s="3107"/>
      <c r="C30" s="1994" t="s">
        <v>1685</v>
      </c>
    </row>
    <row r="31" spans="1:3" ht="13.5">
      <c r="A31" s="3108"/>
      <c r="B31" s="3107"/>
      <c r="C31" s="1994" t="s">
        <v>1686</v>
      </c>
    </row>
    <row r="32" spans="1:3" ht="13.5">
      <c r="A32" s="3108"/>
      <c r="B32" s="3107"/>
      <c r="C32" s="1994" t="s">
        <v>1687</v>
      </c>
    </row>
    <row r="33" spans="1:3" ht="13.5">
      <c r="A33" s="3108"/>
      <c r="B33" s="3107"/>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43262</v>
      </c>
      <c r="C2" s="1016" t="s">
        <v>826</v>
      </c>
      <c r="D2" s="1016"/>
    </row>
    <row r="3" spans="1:6" ht="24" customHeight="1">
      <c r="A3" s="1017" t="s">
        <v>827</v>
      </c>
      <c r="B3" s="1018" t="s">
        <v>828</v>
      </c>
      <c r="C3" s="2334" t="s">
        <v>829</v>
      </c>
      <c r="D3" s="2337" t="s">
        <v>830</v>
      </c>
      <c r="E3" s="1019" t="s">
        <v>831</v>
      </c>
      <c r="F3" s="1018" t="s">
        <v>829</v>
      </c>
    </row>
    <row r="4" spans="1:6" ht="24" customHeight="1">
      <c r="A4" s="1696" t="s">
        <v>832</v>
      </c>
      <c r="B4" s="1019">
        <f ca="1">IF(C4&lt;B2,"已过期",1119970066)</f>
        <v>1119970066</v>
      </c>
      <c r="C4" s="2335">
        <v>43849</v>
      </c>
      <c r="D4" s="2338" t="s">
        <v>832</v>
      </c>
      <c r="E4" s="1019">
        <f ca="1">IF(F4&lt;B2,"已过期",96010014)</f>
        <v>96010014</v>
      </c>
      <c r="F4" s="1027">
        <v>47118</v>
      </c>
    </row>
    <row r="5" spans="1:6" ht="24" customHeight="1">
      <c r="A5" s="1696" t="s">
        <v>833</v>
      </c>
      <c r="B5" s="1019">
        <f ca="1">IF(C5&lt;B2,"已过期",1119970074)</f>
        <v>1119970074</v>
      </c>
      <c r="C5" s="2335">
        <v>43849</v>
      </c>
      <c r="D5" s="2338" t="s">
        <v>833</v>
      </c>
      <c r="E5" s="1019">
        <f ca="1">IF(F5&lt;B2,"已过期",2002110027)</f>
        <v>2002110027</v>
      </c>
      <c r="F5" s="1027">
        <v>46752</v>
      </c>
    </row>
    <row r="6" spans="1:6" ht="24" customHeight="1">
      <c r="A6" s="1696" t="s">
        <v>834</v>
      </c>
      <c r="B6" s="1019">
        <f ca="1">IF(C6&lt;B2,"已过期",1119970111)</f>
        <v>1119970111</v>
      </c>
      <c r="C6" s="2335">
        <v>43849</v>
      </c>
      <c r="D6" s="2338" t="s">
        <v>834</v>
      </c>
      <c r="E6" s="1019">
        <f ca="1">IF(F6&lt;B2,"已过期",94010078)</f>
        <v>94010078</v>
      </c>
      <c r="F6" s="1027">
        <v>46387</v>
      </c>
    </row>
    <row r="7" spans="1:6" ht="24" customHeight="1">
      <c r="A7" s="1696" t="s">
        <v>835</v>
      </c>
      <c r="B7" s="1019">
        <f ca="1">IF(C7&lt;B2,"已过期",1120050019)</f>
        <v>1120050019</v>
      </c>
      <c r="C7" s="2335">
        <v>43359</v>
      </c>
      <c r="D7" s="2338" t="s">
        <v>835</v>
      </c>
      <c r="E7" s="1019">
        <f ca="1">IF(F7&lt;B2,"已过期",2002110030)</f>
        <v>2002110030</v>
      </c>
      <c r="F7" s="1027">
        <v>46387</v>
      </c>
    </row>
    <row r="8" spans="1:6" ht="24" customHeight="1">
      <c r="A8" s="1696" t="s">
        <v>836</v>
      </c>
      <c r="B8" s="1019">
        <f ca="1">IF(C8&lt;B2,"已过期",1120000080)</f>
        <v>1120000080</v>
      </c>
      <c r="C8" s="2335">
        <v>43849</v>
      </c>
      <c r="D8" s="2338" t="s">
        <v>836</v>
      </c>
      <c r="E8" s="1019">
        <f ca="1">IF(F8&lt;B2,"已过期",2000110082)</f>
        <v>2000110082</v>
      </c>
      <c r="F8" s="1027">
        <v>46387</v>
      </c>
    </row>
    <row r="9" spans="1:6" ht="24" customHeight="1">
      <c r="A9" s="1696" t="s">
        <v>837</v>
      </c>
      <c r="B9" s="1019">
        <f ca="1">IF(C9&lt;B2,"已过期",1419970001)</f>
        <v>1419970001</v>
      </c>
      <c r="C9" s="2335">
        <v>43867</v>
      </c>
      <c r="D9" s="2338" t="s">
        <v>837</v>
      </c>
      <c r="E9" s="1019">
        <f ca="1">IF(F9&lt;B2,"已过期",2002110125)</f>
        <v>2002110125</v>
      </c>
      <c r="F9" s="1027">
        <v>47118</v>
      </c>
    </row>
    <row r="10" spans="1:6" ht="24" customHeight="1">
      <c r="A10" s="1696" t="s">
        <v>838</v>
      </c>
      <c r="B10" s="1019">
        <f ca="1">IF(C10&lt;B2,"已过期",1120060040)</f>
        <v>1120060040</v>
      </c>
      <c r="C10" s="2335">
        <v>43483</v>
      </c>
      <c r="D10" s="2338" t="s">
        <v>838</v>
      </c>
      <c r="E10" s="1019">
        <f ca="1">IF(F10&lt;B2,"已过期",2004110096)</f>
        <v>2004110096</v>
      </c>
      <c r="F10" s="1027">
        <v>47118</v>
      </c>
    </row>
    <row r="11" spans="1:6" ht="24" customHeight="1">
      <c r="A11" s="1696" t="s">
        <v>839</v>
      </c>
      <c r="B11" s="1019">
        <f ca="1">IF(C11&lt;B2,"已过期",1120100036)</f>
        <v>1120100036</v>
      </c>
      <c r="C11" s="2335">
        <v>43622</v>
      </c>
      <c r="D11" s="2338" t="s">
        <v>839</v>
      </c>
      <c r="E11" s="1019">
        <f ca="1">IF(F11&lt;B2,"已过期",2010110070)</f>
        <v>2010110070</v>
      </c>
      <c r="F11" s="1027">
        <v>47907</v>
      </c>
    </row>
    <row r="12" spans="1:6" ht="24" customHeight="1">
      <c r="A12" s="1696"/>
      <c r="B12" s="1019"/>
      <c r="C12" s="2335"/>
      <c r="D12" s="2338"/>
      <c r="E12" s="1019"/>
      <c r="F12" s="1019"/>
    </row>
    <row r="13" spans="1:6" ht="24" customHeight="1">
      <c r="A13" s="1696" t="s">
        <v>840</v>
      </c>
      <c r="B13" s="1019">
        <f ca="1">IF(C13&lt;B2,"已过期",1120070131)</f>
        <v>1120070131</v>
      </c>
      <c r="C13" s="2335">
        <v>43814</v>
      </c>
      <c r="D13" s="2338" t="s">
        <v>840</v>
      </c>
      <c r="E13" s="1019">
        <v>2014110011</v>
      </c>
      <c r="F13" s="1027">
        <v>49302</v>
      </c>
    </row>
    <row r="14" spans="1:6" ht="24" customHeight="1">
      <c r="A14" s="1696" t="s">
        <v>841</v>
      </c>
      <c r="B14" s="1019">
        <f ca="1">IF(C14&lt;B2,"已过期",1120130020)</f>
        <v>1120130020</v>
      </c>
      <c r="C14" s="2335">
        <v>43622</v>
      </c>
      <c r="D14" s="2338"/>
      <c r="E14" s="1019"/>
      <c r="F14" s="1019"/>
    </row>
    <row r="15" spans="1:6" ht="24" customHeight="1">
      <c r="A15" s="1697" t="s">
        <v>1149</v>
      </c>
      <c r="B15" s="1019">
        <v>1120070085</v>
      </c>
      <c r="C15" s="2335">
        <v>43814</v>
      </c>
      <c r="D15" s="2339" t="s">
        <v>1149</v>
      </c>
      <c r="E15" s="1019">
        <v>2004110128</v>
      </c>
      <c r="F15" s="1020">
        <v>47118</v>
      </c>
    </row>
    <row r="16" spans="1:6" ht="24" customHeight="1">
      <c r="A16" s="1696" t="s">
        <v>842</v>
      </c>
      <c r="B16" s="1019">
        <f ca="1">IF(C16&lt;B2,"已过期",1120140022)</f>
        <v>1120140022</v>
      </c>
      <c r="C16" s="2335">
        <v>44029</v>
      </c>
      <c r="D16" s="2338" t="s">
        <v>842</v>
      </c>
      <c r="E16" s="1019">
        <f ca="1">IF(F16&lt;B2,"已过期",2008110059)</f>
        <v>2008110059</v>
      </c>
      <c r="F16" s="1027">
        <v>47177</v>
      </c>
    </row>
    <row r="17" spans="1:7" ht="24" customHeight="1">
      <c r="A17" s="1696"/>
      <c r="B17" s="1019"/>
      <c r="C17" s="2335"/>
      <c r="D17" s="2338"/>
      <c r="E17" s="1019"/>
      <c r="F17" s="1027"/>
    </row>
    <row r="18" spans="1:7" ht="24" customHeight="1">
      <c r="A18" s="1696"/>
      <c r="B18" s="1019"/>
      <c r="C18" s="2335"/>
      <c r="D18" s="2338"/>
      <c r="E18" s="1019"/>
      <c r="F18" s="1027"/>
    </row>
    <row r="19" spans="1:7" ht="24" customHeight="1">
      <c r="A19" s="1696"/>
      <c r="B19" s="1019"/>
      <c r="C19" s="2335"/>
      <c r="D19" s="2338"/>
      <c r="E19" s="1019"/>
      <c r="F19" s="1019"/>
    </row>
    <row r="20" spans="1:7" ht="24" customHeight="1">
      <c r="A20" s="1696"/>
      <c r="B20" s="1019"/>
      <c r="C20" s="2335"/>
      <c r="D20" s="2338"/>
      <c r="E20" s="1019"/>
      <c r="F20" s="1019"/>
    </row>
    <row r="21" spans="1:7" ht="24" customHeight="1">
      <c r="A21" s="1696"/>
      <c r="B21" s="1019"/>
      <c r="C21" s="2335"/>
      <c r="D21" s="2338" t="s">
        <v>843</v>
      </c>
      <c r="E21" s="1019">
        <f ca="1">IF(F21&lt;B2,"已过期",2011110090)</f>
        <v>2011110090</v>
      </c>
      <c r="F21" s="1027">
        <v>48302</v>
      </c>
    </row>
    <row r="22" spans="1:7" ht="24" customHeight="1">
      <c r="A22" s="1696" t="s">
        <v>844</v>
      </c>
      <c r="B22" s="1019">
        <f ca="1">IF(C22&lt;B2,"已过期",1120020033)</f>
        <v>1120020033</v>
      </c>
      <c r="C22" s="2335">
        <v>43304</v>
      </c>
      <c r="D22" s="2338" t="s">
        <v>844</v>
      </c>
      <c r="E22" s="1019">
        <f ca="1">IF(F22&lt;B2,"已过期",2000110137)</f>
        <v>2000110137</v>
      </c>
      <c r="F22" s="1027">
        <v>46387</v>
      </c>
    </row>
    <row r="23" spans="1:7" ht="24" customHeight="1">
      <c r="A23" s="1696" t="s">
        <v>845</v>
      </c>
      <c r="B23" s="1019">
        <f ca="1">IF(C23&lt;B2,"已过期",1120130048)</f>
        <v>1120130048</v>
      </c>
      <c r="C23" s="2335">
        <v>43686</v>
      </c>
      <c r="D23" s="2338"/>
      <c r="E23" s="1019"/>
      <c r="F23" s="1019"/>
    </row>
    <row r="24" spans="1:7" s="1021" customFormat="1" ht="24" customHeight="1">
      <c r="A24" s="1697" t="s">
        <v>1333</v>
      </c>
      <c r="B24" s="1697" t="s">
        <v>1333</v>
      </c>
      <c r="C24" s="2336" t="s">
        <v>1333</v>
      </c>
      <c r="D24" s="2339" t="s">
        <v>1333</v>
      </c>
      <c r="E24" s="1697" t="s">
        <v>1333</v>
      </c>
      <c r="F24" s="1697" t="s">
        <v>1333</v>
      </c>
    </row>
    <row r="25" spans="1:7" ht="24" customHeight="1">
      <c r="A25" s="3112" t="s">
        <v>846</v>
      </c>
      <c r="B25" s="3112"/>
      <c r="C25" s="3112"/>
      <c r="D25" s="3112"/>
      <c r="E25" s="3112"/>
      <c r="F25" s="3112"/>
      <c r="G25" s="3112"/>
    </row>
    <row r="26" spans="1:7" s="1022" customFormat="1" ht="24" customHeight="1">
      <c r="A26" s="3113" t="s">
        <v>847</v>
      </c>
      <c r="B26" s="3113"/>
      <c r="C26" s="3114"/>
      <c r="D26" s="3115" t="s">
        <v>848</v>
      </c>
      <c r="E26" s="3113"/>
      <c r="F26" s="3113"/>
    </row>
    <row r="27" spans="1:7" s="1024" customFormat="1" ht="24" customHeight="1">
      <c r="A27" s="1023" t="s">
        <v>849</v>
      </c>
      <c r="B27" s="1018" t="s">
        <v>850</v>
      </c>
      <c r="C27" s="2334" t="s">
        <v>851</v>
      </c>
      <c r="D27" s="2342" t="s">
        <v>849</v>
      </c>
      <c r="E27" s="1018" t="s">
        <v>850</v>
      </c>
      <c r="F27" s="1018" t="s">
        <v>851</v>
      </c>
    </row>
    <row r="28" spans="1:7" s="1024" customFormat="1" ht="24" customHeight="1">
      <c r="A28" s="1025" t="s">
        <v>852</v>
      </c>
      <c r="B28" s="1026" t="s">
        <v>853</v>
      </c>
      <c r="C28" s="2340">
        <v>43725</v>
      </c>
      <c r="D28" s="2343" t="s">
        <v>854</v>
      </c>
      <c r="E28" s="1025" t="s">
        <v>855</v>
      </c>
      <c r="F28" s="1055">
        <v>44377</v>
      </c>
    </row>
    <row r="29" spans="1:7" s="1024" customFormat="1" ht="24" customHeight="1">
      <c r="A29" s="1025"/>
      <c r="B29" s="1025"/>
      <c r="C29" s="2341"/>
      <c r="D29" s="2343"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2018-06-11T02:09:49Z</dcterms:modified>
</cp:coreProperties>
</file>