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L52" i="15"/>
  <c r="J52"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D37" i="69" s="1"/>
  <c r="C37" i="69" s="1"/>
  <c r="C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6" i="68"/>
  <c r="C7" i="68" s="1"/>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D8" i="74" s="1"/>
  <c r="B3" i="74"/>
  <c r="B2" i="74"/>
  <c r="B1" i="74"/>
  <c r="C24" i="20"/>
  <c r="C22" i="20"/>
  <c r="C21" i="20"/>
  <c r="G20" i="20"/>
  <c r="C20" i="20"/>
  <c r="G19" i="20"/>
  <c r="G18" i="20"/>
  <c r="C18" i="20"/>
  <c r="C17" i="20"/>
  <c r="G16" i="20"/>
  <c r="C16" i="20"/>
  <c r="G15" i="20"/>
  <c r="C15" i="20"/>
  <c r="B52" i="1"/>
  <c r="B43" i="1"/>
  <c r="C42" i="1"/>
  <c r="B41" i="1"/>
  <c r="B31" i="1"/>
  <c r="B24" i="1"/>
  <c r="B23" i="1"/>
  <c r="B22" i="1"/>
  <c r="U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7" i="73"/>
  <c r="F6" i="73"/>
  <c r="F5" i="73"/>
  <c r="F4" i="73"/>
  <c r="F3" i="73"/>
  <c r="E13" i="76"/>
  <c r="E12" i="76"/>
  <c r="E11" i="76"/>
  <c r="E10" i="76"/>
  <c r="E9" i="76"/>
  <c r="E8" i="76"/>
  <c r="E7" i="76"/>
  <c r="E6" i="76"/>
  <c r="D2" i="33"/>
  <c r="C76" i="67"/>
  <c r="F43" i="67"/>
  <c r="F42" i="67"/>
  <c r="F40" i="67"/>
  <c r="G1" i="73"/>
  <c r="B12" i="76"/>
  <c r="B10" i="76"/>
  <c r="B8" i="76"/>
  <c r="B6" i="76"/>
  <c r="D2" i="36"/>
  <c r="D2" i="35"/>
  <c r="D2" i="37"/>
  <c r="D2" i="34"/>
  <c r="L47" i="67"/>
  <c r="F41" i="67"/>
  <c r="F38" i="67"/>
  <c r="F36" i="67"/>
  <c r="M29" i="67"/>
  <c r="M27" i="67"/>
  <c r="M26" i="67"/>
  <c r="F26" i="67"/>
  <c r="M23" i="67"/>
  <c r="M21" i="67"/>
  <c r="F16" i="67"/>
  <c r="J15" i="67"/>
  <c r="F13" i="67"/>
  <c r="M9" i="67"/>
  <c r="M8" i="67"/>
  <c r="M6" i="67"/>
  <c r="F6" i="67"/>
  <c r="B11" i="76"/>
  <c r="B7" i="76"/>
  <c r="D2" i="21"/>
  <c r="L48" i="67"/>
  <c r="F35" i="67"/>
  <c r="M28" i="67"/>
  <c r="M24" i="67"/>
  <c r="F9" i="67"/>
  <c r="F7" i="67"/>
  <c r="C76" i="15"/>
  <c r="L48" i="15"/>
  <c r="L47" i="15"/>
  <c r="F43" i="15"/>
  <c r="F42" i="15"/>
  <c r="F40" i="15"/>
  <c r="F38" i="15"/>
  <c r="F37" i="15"/>
  <c r="F36" i="15"/>
  <c r="M28" i="15"/>
  <c r="M24" i="15"/>
  <c r="M22" i="15"/>
  <c r="F16" i="15"/>
  <c r="J15" i="15"/>
  <c r="C14" i="15"/>
  <c r="F13" i="15"/>
  <c r="M9" i="15"/>
  <c r="M8" i="15"/>
  <c r="M6" i="15"/>
  <c r="F6" i="15"/>
  <c r="C36" i="68"/>
  <c r="D10" i="68"/>
  <c r="F20" i="31"/>
  <c r="B13" i="76"/>
  <c r="B9" i="76"/>
  <c r="F37" i="67"/>
  <c r="M22" i="67"/>
  <c r="F8" i="67"/>
  <c r="F41" i="15"/>
  <c r="F35" i="15"/>
  <c r="C33" i="15"/>
  <c r="M29" i="15"/>
  <c r="M26" i="15"/>
  <c r="F26" i="15"/>
  <c r="M23" i="15"/>
  <c r="M21" i="15"/>
  <c r="F9" i="15"/>
  <c r="F8" i="15"/>
  <c r="F7" i="15"/>
  <c r="F27" i="68"/>
  <c r="AO12" i="1"/>
  <c r="AO10" i="1"/>
  <c r="AO8" i="1"/>
  <c r="E2" i="69"/>
  <c r="C34" i="68"/>
  <c r="D9" i="68"/>
  <c r="E2" i="68"/>
  <c r="AO13" i="1"/>
  <c r="AO11" i="1"/>
  <c r="AO9" i="1"/>
  <c r="AO7" i="1"/>
  <c r="R16" i="1" l="1"/>
  <c r="C5" i="68"/>
  <c r="C14" i="12"/>
  <c r="B7" i="70"/>
  <c r="B9" i="70"/>
  <c r="B11" i="70"/>
  <c r="B13" i="70"/>
  <c r="C9" i="68"/>
  <c r="B29" i="1" s="1"/>
  <c r="C18" i="12" s="1"/>
  <c r="D19" i="68"/>
  <c r="D37" i="68" s="1"/>
  <c r="C37" i="68" s="1"/>
  <c r="C35" i="68"/>
  <c r="C38" i="68"/>
  <c r="B8" i="70"/>
  <c r="B10" i="70"/>
  <c r="B12" i="70"/>
  <c r="F45" i="68"/>
  <c r="C47" i="68"/>
  <c r="D45" i="68" s="1"/>
  <c r="C29" i="68"/>
  <c r="D27" i="68" s="1"/>
  <c r="F50" i="15"/>
  <c r="M7" i="15"/>
  <c r="F51" i="15"/>
  <c r="C49" i="15" s="1"/>
  <c r="J20" i="15"/>
  <c r="C27" i="15"/>
  <c r="F63" i="15"/>
  <c r="C62" i="15" s="1"/>
  <c r="C34" i="15"/>
  <c r="F69" i="15"/>
  <c r="F51" i="67"/>
  <c r="F65" i="67"/>
  <c r="B20" i="31"/>
  <c r="B21" i="31" s="1"/>
  <c r="C10" i="68"/>
  <c r="C6" i="15"/>
  <c r="J6" i="15"/>
  <c r="C18" i="15"/>
  <c r="C15" i="15"/>
  <c r="F64" i="15"/>
  <c r="F65" i="15"/>
  <c r="F66" i="15"/>
  <c r="F68" i="15"/>
  <c r="F71" i="15"/>
  <c r="M59" i="15"/>
  <c r="L59" i="15"/>
  <c r="L58" i="15"/>
  <c r="N59" i="15"/>
  <c r="L60" i="15"/>
  <c r="J57" i="15"/>
  <c r="J55" i="15" s="1"/>
  <c r="J58" i="15" s="1"/>
  <c r="Q50" i="15" s="1"/>
  <c r="J59" i="15"/>
  <c r="J60" i="15"/>
  <c r="Q48" i="15" s="1"/>
  <c r="J53" i="15"/>
  <c r="Q71" i="15"/>
  <c r="M7" i="67"/>
  <c r="F50" i="67"/>
  <c r="F63" i="67"/>
  <c r="C62" i="67" s="1"/>
  <c r="C34" i="67"/>
  <c r="J57" i="67"/>
  <c r="J55" i="67" s="1"/>
  <c r="J58" i="67" s="1"/>
  <c r="Q50" i="67" s="1"/>
  <c r="I54" i="67"/>
  <c r="J53" i="67"/>
  <c r="L56" i="67"/>
  <c r="B2" i="21"/>
  <c r="B3" i="21" s="1"/>
  <c r="C6" i="67"/>
  <c r="J6" i="67"/>
  <c r="J20" i="67"/>
  <c r="C27" i="67"/>
  <c r="F64" i="67"/>
  <c r="F66" i="67"/>
  <c r="F69" i="67"/>
  <c r="M59" i="67"/>
  <c r="N59" i="67"/>
  <c r="L59" i="67"/>
  <c r="L58" i="67"/>
  <c r="B2" i="34"/>
  <c r="B3" i="34" s="1"/>
  <c r="B2" i="37"/>
  <c r="B3" i="37" s="1"/>
  <c r="B2" i="35"/>
  <c r="B3" i="35" s="1"/>
  <c r="B2" i="36"/>
  <c r="B3" i="36" s="1"/>
  <c r="B2" i="76"/>
  <c r="B40" i="1"/>
  <c r="F68" i="67"/>
  <c r="F70" i="67"/>
  <c r="F71" i="67"/>
  <c r="Q71" i="67"/>
  <c r="B2" i="33"/>
  <c r="B3" i="33" s="1"/>
  <c r="E2" i="76"/>
  <c r="I1" i="73"/>
  <c r="B39" i="1" s="1"/>
  <c r="F15" i="49"/>
  <c r="H15" i="49" s="1"/>
  <c r="C8" i="74"/>
  <c r="C8" i="69"/>
  <c r="C5"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20" i="68"/>
  <c r="C28" i="68" s="1"/>
  <c r="C27" i="68" s="1"/>
  <c r="C19" i="69"/>
  <c r="C38" i="69"/>
  <c r="C33" i="69" s="1"/>
  <c r="C15" i="12"/>
  <c r="C16" i="12" s="1"/>
  <c r="G36" i="43"/>
  <c r="I36" i="43" s="1"/>
  <c r="E36" i="43"/>
  <c r="C29" i="69"/>
  <c r="D27" i="69" s="1"/>
  <c r="F45" i="69"/>
  <c r="C20" i="11"/>
  <c r="C28" i="11"/>
  <c r="C27" i="11" s="1"/>
  <c r="C16" i="15"/>
  <c r="C17" i="15"/>
  <c r="C17" i="67"/>
  <c r="C16" i="67"/>
  <c r="C14" i="67"/>
  <c r="C21" i="12" l="1"/>
  <c r="C33" i="68"/>
  <c r="C18" i="67"/>
  <c r="C15" i="67"/>
  <c r="C19" i="15"/>
  <c r="C22" i="12"/>
  <c r="C30" i="12" s="1"/>
  <c r="C28" i="12" s="1"/>
  <c r="D10" i="52"/>
  <c r="D125" i="9"/>
  <c r="D11" i="52" s="1"/>
  <c r="H14" i="74"/>
  <c r="B7" i="74" s="1"/>
  <c r="C20" i="69"/>
  <c r="C28" i="69" s="1"/>
  <c r="C27" i="69" s="1"/>
  <c r="M11" i="67"/>
  <c r="J10" i="67" s="1"/>
  <c r="F11" i="67"/>
  <c r="M11" i="15"/>
  <c r="F11" i="15"/>
  <c r="C53" i="15" s="1"/>
  <c r="C48" i="15" s="1"/>
  <c r="F22" i="11"/>
  <c r="F24" i="15"/>
  <c r="C24" i="15" s="1"/>
  <c r="F22" i="69"/>
  <c r="C24" i="69" s="1"/>
  <c r="F24" i="67"/>
  <c r="C24" i="67" s="1"/>
  <c r="F25" i="12"/>
  <c r="C26" i="12" s="1"/>
  <c r="D25" i="12" s="1"/>
  <c r="F22" i="68"/>
  <c r="C25" i="68" s="1"/>
  <c r="Q73" i="67"/>
  <c r="Q60" i="67"/>
  <c r="C32" i="67"/>
  <c r="Q52" i="15"/>
  <c r="F1" i="15"/>
  <c r="L56" i="15"/>
  <c r="Q57" i="15"/>
  <c r="Q66" i="15"/>
  <c r="Q73" i="15"/>
  <c r="Q60" i="15"/>
  <c r="C32" i="15"/>
  <c r="C31" i="15" s="1"/>
  <c r="C49" i="67"/>
  <c r="C42" i="69"/>
  <c r="C39" i="69"/>
  <c r="B3" i="76"/>
  <c r="Q74" i="67"/>
  <c r="Q61" i="67"/>
  <c r="J18" i="67"/>
  <c r="J5" i="67"/>
  <c r="Q52" i="67"/>
  <c r="F1" i="67"/>
  <c r="Q74" i="15"/>
  <c r="Q61" i="15"/>
  <c r="J18" i="15"/>
  <c r="J17" i="15" s="1"/>
  <c r="J10" i="15"/>
  <c r="J5" i="15" s="1"/>
  <c r="C39" i="68"/>
  <c r="AE6" i="1"/>
  <c r="C43" i="69" l="1"/>
  <c r="C41" i="69" s="1"/>
  <c r="C19" i="67"/>
  <c r="C42" i="68"/>
  <c r="C43" i="68"/>
  <c r="C41" i="68" s="1"/>
  <c r="C25" i="69"/>
  <c r="AG6" i="1"/>
  <c r="J24" i="15"/>
  <c r="C20" i="67"/>
  <c r="C23" i="67" s="1"/>
  <c r="C46" i="68"/>
  <c r="C45" i="68" s="1"/>
  <c r="C10" i="15"/>
  <c r="C5" i="15" s="1"/>
  <c r="C44" i="69"/>
  <c r="D41" i="69" s="1"/>
  <c r="F41" i="69"/>
  <c r="C26" i="69"/>
  <c r="D22" i="69" s="1"/>
  <c r="C43" i="11"/>
  <c r="C44" i="11"/>
  <c r="D41" i="11" s="1"/>
  <c r="C42" i="11"/>
  <c r="C41" i="11" s="1"/>
  <c r="C26" i="11"/>
  <c r="D22" i="11" s="1"/>
  <c r="C24" i="11"/>
  <c r="C23" i="11"/>
  <c r="C23" i="69"/>
  <c r="C25" i="11"/>
  <c r="C27" i="12"/>
  <c r="C25" i="12" s="1"/>
  <c r="C32" i="12" s="1"/>
  <c r="B2" i="12" s="1"/>
  <c r="B3" i="12" s="1"/>
  <c r="J24" i="67"/>
  <c r="J26" i="67"/>
  <c r="J29" i="67" s="1"/>
  <c r="C46" i="69"/>
  <c r="C45" i="69" s="1"/>
  <c r="C66" i="15"/>
  <c r="C60" i="15"/>
  <c r="C26" i="68"/>
  <c r="D22" i="68" s="1"/>
  <c r="C44" i="68"/>
  <c r="D41" i="68" s="1"/>
  <c r="F41" i="68"/>
  <c r="C24" i="68"/>
  <c r="C23" i="68"/>
  <c r="C53" i="67"/>
  <c r="C48" i="67" s="1"/>
  <c r="C10" i="67"/>
  <c r="C5" i="67" s="1"/>
  <c r="C7" i="74"/>
  <c r="D7" i="74"/>
  <c r="C20" i="15"/>
  <c r="C26" i="15" s="1"/>
  <c r="M27" i="15"/>
  <c r="C49" i="11" l="1"/>
  <c r="C51" i="11" s="1"/>
  <c r="C23" i="15"/>
  <c r="C22" i="68"/>
  <c r="C31" i="68" s="1"/>
  <c r="C22" i="69"/>
  <c r="C31" i="69" s="1"/>
  <c r="C49" i="69"/>
  <c r="C51" i="69" s="1"/>
  <c r="C49" i="68"/>
  <c r="C51" i="68" s="1"/>
  <c r="C26" i="67"/>
  <c r="C29" i="67" s="1"/>
  <c r="C60" i="67"/>
  <c r="C66" i="67"/>
  <c r="H44" i="68"/>
  <c r="C29" i="15"/>
  <c r="C22" i="11"/>
  <c r="C31" i="11" s="1"/>
  <c r="C52" i="11" s="1"/>
  <c r="B2" i="11" s="1"/>
  <c r="B3" i="11" s="1"/>
  <c r="C38" i="15"/>
  <c r="C38" i="67"/>
  <c r="C52" i="68" l="1"/>
  <c r="B2" i="68" s="1"/>
  <c r="C52" i="69"/>
  <c r="B2" i="69" s="1"/>
  <c r="B3" i="69" s="1"/>
  <c r="C36" i="67"/>
  <c r="C33" i="67"/>
  <c r="C31" i="67" s="1"/>
  <c r="J14" i="67"/>
  <c r="J13" i="67" s="1"/>
  <c r="J23" i="67" s="1"/>
  <c r="J59" i="67"/>
  <c r="J60" i="67" s="1"/>
  <c r="Q48" i="67" s="1"/>
  <c r="Q49" i="67"/>
  <c r="C57" i="67"/>
  <c r="C61" i="67" s="1"/>
  <c r="C59" i="67" s="1"/>
  <c r="J19" i="67"/>
  <c r="J17" i="67" s="1"/>
  <c r="C13" i="67"/>
  <c r="Q70" i="67" s="1"/>
  <c r="C57" i="15"/>
  <c r="Q49" i="15"/>
  <c r="C36" i="15"/>
  <c r="J14" i="15"/>
  <c r="C13" i="15"/>
  <c r="C64" i="67"/>
  <c r="C56" i="11"/>
  <c r="C57" i="11" s="1"/>
  <c r="L46" i="67"/>
  <c r="J22" i="67"/>
  <c r="C57" i="68"/>
  <c r="C56" i="68" s="1"/>
  <c r="C19" i="9"/>
  <c r="B3" i="68"/>
  <c r="D35" i="9"/>
  <c r="D34" i="9"/>
  <c r="C20" i="9"/>
  <c r="C56" i="67" l="1"/>
  <c r="C65" i="67" s="1"/>
  <c r="C102" i="9"/>
  <c r="C21" i="9"/>
  <c r="C75" i="67"/>
  <c r="C37" i="67"/>
  <c r="C30" i="67" s="1"/>
  <c r="C39" i="67" s="1"/>
  <c r="C57" i="69"/>
  <c r="C56" i="69" s="1"/>
  <c r="J16" i="67"/>
  <c r="J25" i="67" s="1"/>
  <c r="C58" i="67"/>
  <c r="C67" i="67" s="1"/>
  <c r="C68" i="67" s="1"/>
  <c r="C71" i="67" s="1"/>
  <c r="C103" i="9"/>
  <c r="C64" i="15"/>
  <c r="C61" i="15"/>
  <c r="C59" i="15" s="1"/>
  <c r="J22" i="15"/>
  <c r="J13" i="15"/>
  <c r="J23" i="15" s="1"/>
  <c r="C75" i="15"/>
  <c r="Q70" i="15"/>
  <c r="C56" i="15"/>
  <c r="C65" i="15" s="1"/>
  <c r="C37" i="15"/>
  <c r="C30" i="15" s="1"/>
  <c r="L51" i="67"/>
  <c r="Q69" i="67" l="1"/>
  <c r="Q68" i="67" s="1"/>
  <c r="C40" i="67"/>
  <c r="C80" i="67"/>
  <c r="C79" i="67" s="1"/>
  <c r="Q67" i="67"/>
  <c r="L57" i="67"/>
  <c r="L60" i="67" s="1"/>
  <c r="H35" i="15"/>
  <c r="C39" i="15"/>
  <c r="C80" i="15" s="1"/>
  <c r="C79" i="15" s="1"/>
  <c r="Q65" i="67"/>
  <c r="Q56" i="67"/>
  <c r="Q47" i="67"/>
  <c r="Q53" i="67" s="1"/>
  <c r="D2" i="67"/>
  <c r="C43" i="67"/>
  <c r="C83" i="67"/>
  <c r="C82" i="67" s="1"/>
  <c r="C45" i="67"/>
  <c r="C46" i="67" s="1"/>
  <c r="J16" i="15"/>
  <c r="J25" i="15" s="1"/>
  <c r="J26" i="15" s="1"/>
  <c r="J29" i="15" s="1"/>
  <c r="C58" i="15"/>
  <c r="C67" i="15" s="1"/>
  <c r="C68" i="15" s="1"/>
  <c r="B3" i="67" l="1"/>
  <c r="B2" i="67"/>
  <c r="C71" i="15"/>
  <c r="Q69" i="15"/>
  <c r="Q68" i="15" s="1"/>
  <c r="H39" i="15"/>
  <c r="C40" i="15"/>
  <c r="C46" i="15" s="1"/>
  <c r="Q57" i="67"/>
  <c r="Q62" i="67" s="1"/>
  <c r="Q66" i="67"/>
  <c r="Q75" i="67" s="1"/>
  <c r="L51" i="15"/>
  <c r="Q67" i="15" l="1"/>
  <c r="L57" i="15"/>
  <c r="Q65" i="15"/>
  <c r="Q75" i="15" s="1"/>
  <c r="Q56" i="15"/>
  <c r="Q62" i="15" s="1"/>
  <c r="Q47" i="15"/>
  <c r="Q53" i="15" s="1"/>
  <c r="C43" i="15"/>
  <c r="B2" i="15"/>
  <c r="C83" i="15"/>
  <c r="C82" i="15" s="1"/>
  <c r="AO6" i="1"/>
  <c r="D19" i="9"/>
  <c r="D21" i="9" l="1"/>
  <c r="D102" i="9"/>
  <c r="D22" i="9"/>
  <c r="G19" i="9"/>
  <c r="B6" i="70"/>
  <c r="B2" i="70" s="1"/>
  <c r="B3" i="70" s="1"/>
  <c r="B3" i="15"/>
  <c r="D20" i="9"/>
  <c r="D103" i="9" l="1"/>
  <c r="G20" i="9"/>
  <c r="C32" i="9"/>
  <c r="G21" i="9"/>
  <c r="C35" i="9" l="1"/>
  <c r="F118" i="9" s="1"/>
  <c r="H118" i="9"/>
  <c r="I118" i="9" l="1"/>
  <c r="C104" i="9"/>
  <c r="H101" i="9"/>
  <c r="H4" i="52"/>
  <c r="H119" i="9"/>
  <c r="H5" i="52" s="1"/>
  <c r="D14" i="74"/>
  <c r="F119" i="9"/>
  <c r="F5" i="52" s="1"/>
  <c r="B53" i="72" s="1"/>
  <c r="G118" i="9"/>
  <c r="G4" i="52" s="1"/>
  <c r="B52" i="72" s="1"/>
  <c r="F4" i="52"/>
  <c r="B51" i="72" s="1"/>
  <c r="C34" i="9"/>
  <c r="D118" i="9" s="1"/>
  <c r="H107" i="9" l="1"/>
  <c r="D45" i="9"/>
  <c r="D5" i="53"/>
  <c r="M48" i="9"/>
  <c r="D119" i="9"/>
  <c r="D5" i="52" s="1"/>
  <c r="B49" i="72" s="1"/>
  <c r="D4" i="52"/>
  <c r="B47" i="72" s="1"/>
  <c r="E14" i="74"/>
  <c r="F14" i="74"/>
  <c r="B5" i="74"/>
  <c r="E118" i="9"/>
  <c r="E4" i="52" s="1"/>
  <c r="B48" i="72" s="1"/>
  <c r="C105" i="9"/>
  <c r="H102" i="9"/>
  <c r="D7" i="53" s="1"/>
  <c r="B21" i="72" s="1"/>
  <c r="I4" i="52"/>
  <c r="C78" i="9" l="1"/>
  <c r="C73" i="9" s="1"/>
  <c r="C72" i="9"/>
  <c r="D52" i="9"/>
  <c r="C93" i="9"/>
  <c r="C86" i="9" s="1"/>
  <c r="C85" i="9"/>
  <c r="C95" i="9" s="1"/>
  <c r="C64" i="9"/>
  <c r="C63" i="9" s="1"/>
  <c r="C67" i="9" s="1"/>
  <c r="D55" i="9"/>
  <c r="M53" i="9" s="1"/>
  <c r="D53" i="9"/>
  <c r="C5" i="74"/>
  <c r="D5" i="74"/>
  <c r="B20" i="72"/>
  <c r="D6" i="53"/>
  <c r="B22" i="72" s="1"/>
  <c r="H108" i="9"/>
  <c r="D15" i="53" s="1"/>
  <c r="B31" i="72" s="1"/>
  <c r="D13" i="53"/>
  <c r="D122" i="9"/>
  <c r="M49" i="9"/>
  <c r="L66" i="9" l="1"/>
  <c r="M66" i="9" s="1"/>
  <c r="L65" i="9"/>
  <c r="M65" i="9" s="1"/>
  <c r="L64" i="9"/>
  <c r="M64" i="9" s="1"/>
  <c r="L68" i="9"/>
  <c r="M68" i="9" s="1"/>
  <c r="L63" i="9"/>
  <c r="M63" i="9" s="1"/>
  <c r="L67" i="9"/>
  <c r="M67" i="9" s="1"/>
  <c r="B30" i="72"/>
  <c r="D14" i="53"/>
  <c r="B32" i="72" s="1"/>
  <c r="D59" i="9"/>
  <c r="M55" i="9" s="1"/>
  <c r="C68" i="9"/>
  <c r="D54" i="9" s="1"/>
  <c r="C79" i="9"/>
  <c r="D123" i="9"/>
  <c r="D9" i="52" s="1"/>
  <c r="G14" i="74"/>
  <c r="B6" i="74" s="1"/>
  <c r="D8" i="52"/>
  <c r="C96" i="9"/>
  <c r="E96" i="9" s="1"/>
  <c r="E97" i="9" s="1"/>
  <c r="C97" i="9" l="1"/>
  <c r="D58" i="9" s="1"/>
  <c r="D56" i="9" s="1"/>
  <c r="M54" i="9" s="1"/>
  <c r="N57" i="9" s="1"/>
  <c r="N58" i="9" s="1"/>
  <c r="M69" i="9"/>
  <c r="N69" i="9" s="1"/>
  <c r="D6" i="74"/>
  <c r="C6" i="74"/>
  <c r="C80" i="9"/>
  <c r="E80" i="9" s="1"/>
  <c r="E81" i="9" s="1"/>
  <c r="N59" i="9" l="1"/>
  <c r="N61" i="9" s="1"/>
  <c r="P57" i="9"/>
  <c r="C8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<sst xmlns="http://schemas.openxmlformats.org/spreadsheetml/2006/main" count="7426" uniqueCount="2626">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</sst>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yyyy/m/d;@"/>
    <numFmt numFmtId="181" formatCode="0_ "/>
    <numFmt numFmtId="182" formatCode="0.00_ "/>
    <numFmt numFmtId="183" formatCode="yyyy&quot;年&quot;m&quot;月&quot;d&quot;日&quot;;@"/>
    <numFmt numFmtId="184" formatCode="0.0_ "/>
    <numFmt numFmtId="185" formatCode="0.0%"/>
    <numFmt numFmtId="186" formatCode="0.0000%"/>
    <numFmt numFmtId="187" formatCode="0_);[Red]\(0\)"/>
    <numFmt numFmtId="188" formatCode="0.000_ "/>
    <numFmt numFmtId="189" formatCode="0.0000_ "/>
    <numFmt numFmtId="190" formatCode="0.0_);[Red]\(0.0\)"/>
    <numFmt numFmtId="191" formatCode="0.00_);[Red]\(0.00\)"/>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804]General"/>
    <numFmt numFmtId="199" formatCode="[DBNum1][$-804]General"/>
    <numFmt numFmtId="200"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8" fillId="0" borderId="0"/>
    <xf numFmtId="9" fontId="84" fillId="0" borderId="0" applyFont="0" applyFill="0" applyBorder="0" applyAlignment="0" applyProtection="0">
      <alignment vertical="center"/>
    </xf>
    <xf numFmtId="0" fontId="105" fillId="0" borderId="0">
      <alignment vertical="center"/>
    </xf>
    <xf numFmtId="0" fontId="105" fillId="0" borderId="0">
      <alignment vertical="center"/>
    </xf>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xf numFmtId="0" fontId="208" fillId="0" borderId="0"/>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0"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1"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2"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1"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1"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1" fontId="30" fillId="0" borderId="1" xfId="11" applyNumberFormat="1" applyFont="1" applyFill="1" applyBorder="1" applyAlignment="1" applyProtection="1">
      <alignment horizontal="center"/>
      <protection locked="0"/>
    </xf>
    <xf numFmtId="182"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1"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1"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1"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1"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1"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2"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5"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6"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6" fillId="9" borderId="0" xfId="4" applyNumberFormat="1" applyFont="1" applyFill="1" applyAlignment="1">
      <alignment horizontal="left" vertical="center"/>
    </xf>
    <xf numFmtId="187"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5" fontId="6" fillId="0" borderId="75" xfId="4" applyNumberFormat="1" applyFont="1" applyBorder="1" applyAlignment="1">
      <alignment horizontal="left" vertical="center"/>
    </xf>
    <xf numFmtId="185"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84"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75"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8" fontId="43" fillId="0" borderId="0" xfId="4" applyNumberFormat="1" applyFont="1" applyAlignment="1">
      <alignment horizontal="left" vertical="center"/>
    </xf>
    <xf numFmtId="188" fontId="43" fillId="0" borderId="75" xfId="4" applyNumberFormat="1" applyFont="1" applyBorder="1" applyAlignment="1">
      <alignment horizontal="left" vertical="center"/>
    </xf>
    <xf numFmtId="184" fontId="6" fillId="0" borderId="21" xfId="4" applyNumberFormat="1" applyFont="1" applyBorder="1" applyAlignment="1">
      <alignment horizontal="left" vertical="center"/>
    </xf>
    <xf numFmtId="184"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82"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82"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64"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9" fontId="30" fillId="2" borderId="64" xfId="0" applyNumberFormat="1" applyFont="1" applyFill="1" applyBorder="1" applyAlignment="1" applyProtection="1">
      <alignment horizontal="center" vertical="center" wrapText="1"/>
    </xf>
    <xf numFmtId="18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2"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1" fontId="43" fillId="0" borderId="1" xfId="10" applyNumberFormat="1" applyFont="1" applyFill="1" applyBorder="1" applyAlignment="1" applyProtection="1">
      <alignment horizontal="center" vertical="center"/>
      <protection locked="0"/>
    </xf>
    <xf numFmtId="181" fontId="43" fillId="2" borderId="1" xfId="10" applyNumberFormat="1" applyFont="1" applyFill="1" applyBorder="1" applyAlignment="1" applyProtection="1">
      <alignment horizontal="center" vertical="center"/>
    </xf>
    <xf numFmtId="189"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5"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5"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7"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7"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7" fontId="29" fillId="2" borderId="117" xfId="13" applyNumberFormat="1" applyFont="1" applyFill="1" applyBorder="1" applyAlignment="1">
      <alignment horizontal="left" vertical="center"/>
    </xf>
    <xf numFmtId="187"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7"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5"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7" fontId="30" fillId="2" borderId="1" xfId="13" applyNumberFormat="1" applyFont="1" applyFill="1" applyBorder="1" applyAlignment="1">
      <alignment horizontal="left" vertical="center"/>
    </xf>
    <xf numFmtId="185"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1" fontId="30" fillId="0" borderId="1" xfId="13" applyNumberFormat="1" applyFont="1" applyFill="1" applyBorder="1" applyAlignment="1" applyProtection="1">
      <alignment horizontal="left" vertical="center"/>
      <protection locked="0"/>
    </xf>
    <xf numFmtId="185" fontId="30" fillId="2" borderId="4" xfId="13" applyNumberFormat="1" applyFont="1" applyFill="1" applyBorder="1" applyAlignment="1">
      <alignment horizontal="right" vertical="center"/>
    </xf>
    <xf numFmtId="181" fontId="30" fillId="0" borderId="1" xfId="13" applyNumberFormat="1" applyFont="1" applyFill="1" applyBorder="1" applyAlignment="1" applyProtection="1">
      <alignment horizontal="left" vertical="center"/>
      <protection locked="0"/>
    </xf>
    <xf numFmtId="187"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7" fontId="29" fillId="2" borderId="13" xfId="13" applyNumberFormat="1" applyFont="1" applyFill="1" applyBorder="1" applyAlignment="1">
      <alignment horizontal="left" vertical="center"/>
    </xf>
    <xf numFmtId="185"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7" fontId="29" fillId="2" borderId="96" xfId="13" applyNumberFormat="1" applyFont="1" applyFill="1" applyBorder="1" applyAlignment="1">
      <alignment horizontal="left" vertical="center"/>
    </xf>
    <xf numFmtId="185"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7" fontId="30" fillId="2" borderId="2" xfId="13" applyNumberFormat="1" applyFont="1" applyFill="1" applyBorder="1" applyAlignment="1">
      <alignment horizontal="left" vertical="center"/>
    </xf>
    <xf numFmtId="187" fontId="30" fillId="2" borderId="142" xfId="13" applyNumberFormat="1" applyFont="1" applyFill="1" applyBorder="1" applyAlignment="1">
      <alignment horizontal="left" vertical="center"/>
    </xf>
    <xf numFmtId="187"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7" fontId="30" fillId="2" borderId="2" xfId="13" applyNumberFormat="1" applyFont="1" applyFill="1" applyBorder="1" applyAlignment="1">
      <alignment horizontal="right" vertical="center"/>
    </xf>
    <xf numFmtId="185" fontId="30" fillId="0" borderId="142" xfId="13" applyNumberFormat="1" applyFont="1" applyFill="1" applyBorder="1" applyAlignment="1" applyProtection="1">
      <alignment horizontal="right" vertical="center"/>
      <protection locked="0"/>
    </xf>
    <xf numFmtId="185"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5"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5" fontId="30" fillId="2" borderId="142" xfId="13" applyNumberFormat="1" applyFont="1" applyFill="1" applyBorder="1" applyAlignment="1">
      <alignment horizontal="right" vertical="center"/>
    </xf>
    <xf numFmtId="185"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5" fontId="30" fillId="0" borderId="2" xfId="13" applyNumberFormat="1" applyFont="1" applyFill="1" applyBorder="1" applyAlignment="1" applyProtection="1">
      <alignment horizontal="left" vertical="center"/>
      <protection locked="0"/>
    </xf>
    <xf numFmtId="185" fontId="30" fillId="0" borderId="142" xfId="13" applyNumberFormat="1" applyFont="1" applyFill="1" applyBorder="1" applyAlignment="1" applyProtection="1">
      <alignment horizontal="left" vertical="center"/>
      <protection locked="0"/>
    </xf>
    <xf numFmtId="185" fontId="30" fillId="0" borderId="4" xfId="13" applyNumberFormat="1" applyFont="1" applyFill="1" applyBorder="1" applyAlignment="1" applyProtection="1">
      <alignment horizontal="left" vertical="center"/>
      <protection locked="0"/>
    </xf>
    <xf numFmtId="191"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1" fontId="30" fillId="0" borderId="33" xfId="13" applyNumberFormat="1" applyFont="1" applyFill="1" applyBorder="1" applyAlignment="1" applyProtection="1">
      <alignment horizontal="left" vertical="center"/>
      <protection locked="0"/>
    </xf>
    <xf numFmtId="191" fontId="30" fillId="0" borderId="143" xfId="13" applyNumberFormat="1" applyFont="1" applyFill="1" applyBorder="1" applyAlignment="1" applyProtection="1">
      <alignment horizontal="left" vertical="center"/>
      <protection locked="0"/>
    </xf>
    <xf numFmtId="191" fontId="30" fillId="0" borderId="62" xfId="13" applyNumberFormat="1" applyFont="1" applyFill="1" applyBorder="1" applyAlignment="1" applyProtection="1">
      <alignment horizontal="left" vertical="center"/>
      <protection locked="0"/>
    </xf>
    <xf numFmtId="191"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7"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7"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1"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1" fontId="29" fillId="2" borderId="1" xfId="13" applyNumberFormat="1" applyFont="1" applyFill="1" applyBorder="1" applyAlignment="1" applyProtection="1">
      <alignment horizontal="left" vertical="center"/>
      <protection locked="0"/>
    </xf>
    <xf numFmtId="181"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5"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1"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185"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5" fontId="36" fillId="15" borderId="11" xfId="0" applyNumberFormat="1" applyFont="1" applyFill="1" applyBorder="1" applyAlignment="1" applyProtection="1">
      <alignment horizontal="center" vertical="center"/>
    </xf>
    <xf numFmtId="182"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5"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5"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5"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81"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81"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4"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5"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5"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208" fillId="11" borderId="0" xfId="16" applyFill="1" applyBorder="1" applyAlignment="1" applyProtection="1">
      <alignment horizontal="left"/>
      <protection locked="0"/>
    </xf>
    <xf numFmtId="0" fontId="208"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208"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208"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8"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11" applyNumberFormat="1" applyFont="1" applyFill="1" applyBorder="1" applyAlignment="1" applyProtection="1">
      <alignment horizontal="left" vertical="center"/>
    </xf>
    <xf numFmtId="181" fontId="61" fillId="2" borderId="1" xfId="11" applyNumberFormat="1" applyFont="1" applyFill="1" applyBorder="1" applyAlignment="1" applyProtection="1">
      <alignment vertical="center"/>
    </xf>
    <xf numFmtId="181" fontId="61" fillId="7" borderId="2" xfId="11" applyNumberFormat="1" applyFont="1" applyFill="1" applyBorder="1" applyAlignment="1" applyProtection="1">
      <alignment vertical="center"/>
      <protection locked="0"/>
    </xf>
    <xf numFmtId="181" fontId="36" fillId="2" borderId="10" xfId="11"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2" fontId="55" fillId="2" borderId="1" xfId="11" applyNumberFormat="1" applyFont="1" applyFill="1" applyBorder="1" applyAlignment="1" applyProtection="1">
      <alignment horizontal="center" vertical="center"/>
    </xf>
    <xf numFmtId="188" fontId="55" fillId="2" borderId="1" xfId="11"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1" fontId="61" fillId="2" borderId="10" xfId="11" applyNumberFormat="1" applyFont="1" applyFill="1" applyBorder="1" applyAlignment="1" applyProtection="1">
      <alignment horizontal="left" vertical="center" wrapText="1"/>
      <protection locked="0"/>
    </xf>
    <xf numFmtId="181" fontId="61" fillId="2" borderId="2" xfId="11"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5"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1" fontId="55" fillId="2" borderId="7" xfId="11" applyNumberFormat="1" applyFont="1" applyFill="1" applyBorder="1" applyAlignment="1" applyProtection="1">
      <alignment vertical="center" wrapText="1"/>
    </xf>
    <xf numFmtId="191" fontId="55"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1" fontId="55" fillId="2" borderId="10" xfId="11" applyNumberFormat="1" applyFont="1" applyFill="1" applyBorder="1" applyAlignment="1" applyProtection="1">
      <alignment vertical="center" wrapText="1"/>
    </xf>
    <xf numFmtId="191"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11" applyNumberFormat="1" applyFont="1" applyFill="1" applyBorder="1" applyAlignment="1" applyProtection="1">
      <alignment vertical="center" wrapText="1"/>
    </xf>
    <xf numFmtId="191" fontId="55" fillId="2" borderId="11" xfId="11" applyNumberFormat="1" applyFont="1" applyFill="1" applyBorder="1" applyAlignment="1" applyProtection="1">
      <alignment horizontal="center" vertical="center"/>
    </xf>
    <xf numFmtId="191" fontId="55" fillId="2" borderId="12" xfId="11" applyNumberFormat="1" applyFont="1" applyFill="1" applyBorder="1" applyAlignment="1" applyProtection="1">
      <alignment vertical="center" wrapText="1"/>
    </xf>
    <xf numFmtId="191"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182" fontId="61" fillId="11" borderId="0" xfId="0" applyNumberFormat="1" applyFont="1" applyFill="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6" borderId="11"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4"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2"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center" vertical="center"/>
    </xf>
    <xf numFmtId="181" fontId="36" fillId="13"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36" fillId="0" borderId="1" xfId="11" applyNumberFormat="1" applyFont="1" applyFill="1" applyBorder="1" applyAlignment="1" applyProtection="1">
      <alignment horizontal="center" vertical="center"/>
      <protection locked="0"/>
    </xf>
    <xf numFmtId="181"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1"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11"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Fill="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185"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1" applyNumberFormat="1" applyFont="1" applyFill="1" applyBorder="1" applyAlignment="1" applyProtection="1">
      <alignment horizontal="center" vertical="center"/>
    </xf>
    <xf numFmtId="182"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6" borderId="1" xfId="0" applyNumberFormat="1" applyFont="1" applyFill="1" applyBorder="1" applyAlignment="1" applyProtection="1">
      <alignment horizontal="center"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4" fontId="61" fillId="6" borderId="1" xfId="0" applyNumberFormat="1" applyFont="1" applyFill="1" applyBorder="1" applyAlignment="1" applyProtection="1">
      <alignment horizontal="center" vertical="center"/>
      <protection locked="0"/>
    </xf>
    <xf numFmtId="185"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1"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1"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11" applyNumberFormat="1" applyFont="1" applyFill="1" applyBorder="1" applyAlignment="1" applyProtection="1">
      <alignment horizontal="center" vertical="center"/>
    </xf>
    <xf numFmtId="191" fontId="56" fillId="2" borderId="38" xfId="11" applyNumberFormat="1" applyFont="1" applyFill="1" applyBorder="1" applyAlignment="1" applyProtection="1">
      <alignment horizontal="center" vertical="center"/>
    </xf>
    <xf numFmtId="191"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87" fillId="0" borderId="1" xfId="11"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11" applyNumberFormat="1" applyFont="1" applyFill="1" applyBorder="1" applyAlignment="1" applyProtection="1">
      <alignment vertical="center"/>
      <protection locked="0" hidden="1"/>
    </xf>
    <xf numFmtId="181"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11"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1"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0" fontId="110" fillId="0" borderId="0" xfId="14" applyFont="1" applyAlignment="1">
      <alignment horizontal="left" vertical="center"/>
    </xf>
    <xf numFmtId="0" fontId="111" fillId="0" borderId="0" xfId="14" applyFont="1" applyAlignment="1">
      <alignment horizontal="left" vertical="center"/>
    </xf>
    <xf numFmtId="14" fontId="111" fillId="0" borderId="0" xfId="14" applyNumberFormat="1" applyFont="1" applyAlignment="1">
      <alignment horizontal="left" vertical="center"/>
    </xf>
    <xf numFmtId="0" fontId="112" fillId="0" borderId="0" xfId="14" applyFont="1" applyAlignment="1">
      <alignment horizontal="left" vertical="center"/>
    </xf>
    <xf numFmtId="0" fontId="113" fillId="3" borderId="15" xfId="14" applyFont="1" applyFill="1" applyBorder="1" applyAlignment="1">
      <alignment horizontal="left" vertical="center"/>
    </xf>
    <xf numFmtId="0" fontId="114" fillId="0" borderId="1" xfId="14" applyFont="1" applyBorder="1" applyAlignment="1">
      <alignment horizontal="left" vertical="center"/>
    </xf>
    <xf numFmtId="0" fontId="114" fillId="0" borderId="2" xfId="14" applyFont="1" applyBorder="1" applyAlignment="1">
      <alignment horizontal="left" vertical="center"/>
    </xf>
    <xf numFmtId="0" fontId="113" fillId="3" borderId="157" xfId="14" applyFont="1" applyFill="1" applyBorder="1" applyAlignment="1">
      <alignment horizontal="left" vertical="center"/>
    </xf>
    <xf numFmtId="0" fontId="114" fillId="0" borderId="1" xfId="14" applyFont="1" applyFill="1" applyBorder="1" applyAlignment="1">
      <alignment horizontal="left" vertical="center"/>
    </xf>
    <xf numFmtId="196" fontId="114" fillId="0" borderId="1" xfId="14" applyNumberFormat="1" applyFont="1" applyFill="1" applyBorder="1" applyAlignment="1">
      <alignment horizontal="left" vertical="center"/>
    </xf>
    <xf numFmtId="196" fontId="115" fillId="0" borderId="2" xfId="14" applyNumberFormat="1" applyFont="1" applyFill="1" applyBorder="1" applyAlignment="1">
      <alignment horizontal="left" vertical="center"/>
    </xf>
    <xf numFmtId="0" fontId="114" fillId="0" borderId="158" xfId="14" applyFont="1" applyFill="1" applyBorder="1" applyAlignment="1">
      <alignment horizontal="left" vertical="center"/>
    </xf>
    <xf numFmtId="183" fontId="114" fillId="0" borderId="1" xfId="14" applyNumberFormat="1" applyFont="1" applyFill="1" applyBorder="1" applyAlignment="1">
      <alignment horizontal="left" vertical="center"/>
    </xf>
    <xf numFmtId="0" fontId="115" fillId="0" borderId="1" xfId="14" applyFont="1" applyFill="1" applyBorder="1" applyAlignment="1">
      <alignment horizontal="left" vertical="center"/>
    </xf>
    <xf numFmtId="196" fontId="114" fillId="0" borderId="2" xfId="14" applyNumberFormat="1" applyFont="1" applyFill="1" applyBorder="1" applyAlignment="1">
      <alignment horizontal="left" vertical="center"/>
    </xf>
    <xf numFmtId="0" fontId="115" fillId="0" borderId="0" xfId="14" applyFont="1" applyFill="1" applyAlignment="1">
      <alignment horizontal="left" vertical="center"/>
    </xf>
    <xf numFmtId="0" fontId="113" fillId="0" borderId="1" xfId="14" applyFont="1" applyFill="1" applyBorder="1" applyAlignment="1">
      <alignment horizontal="left" vertical="center"/>
    </xf>
    <xf numFmtId="0" fontId="111" fillId="0" borderId="1" xfId="14" applyFont="1" applyBorder="1" applyAlignment="1">
      <alignment horizontal="left" vertical="center"/>
    </xf>
    <xf numFmtId="183" fontId="114" fillId="0" borderId="2" xfId="14" applyNumberFormat="1" applyFont="1" applyFill="1" applyBorder="1" applyAlignment="1">
      <alignment horizontal="left" vertical="center"/>
    </xf>
    <xf numFmtId="0" fontId="111" fillId="0" borderId="158" xfId="14" applyFont="1" applyBorder="1" applyAlignment="1">
      <alignment horizontal="left" vertical="center"/>
    </xf>
    <xf numFmtId="0" fontId="116" fillId="0" borderId="1" xfId="14" applyFont="1" applyBorder="1" applyAlignment="1">
      <alignment horizontal="left" vertical="center"/>
    </xf>
    <xf numFmtId="183" fontId="116" fillId="0" borderId="1" xfId="0" applyNumberFormat="1" applyFont="1" applyFill="1" applyBorder="1" applyAlignment="1">
      <alignment horizontal="left" vertical="center"/>
    </xf>
    <xf numFmtId="14" fontId="111" fillId="0" borderId="1" xfId="14" applyNumberFormat="1" applyFont="1" applyBorder="1" applyAlignment="1">
      <alignment horizontal="left" vertical="center"/>
    </xf>
    <xf numFmtId="14" fontId="111" fillId="0" borderId="2" xfId="14" applyNumberFormat="1" applyFont="1" applyBorder="1" applyAlignment="1">
      <alignment horizontal="left" vertical="center"/>
    </xf>
    <xf numFmtId="14" fontId="108" fillId="0" borderId="0" xfId="14" applyNumberFormat="1" applyFont="1" applyAlignment="1">
      <alignment horizontal="left" vertical="center"/>
    </xf>
    <xf numFmtId="14" fontId="108" fillId="0" borderId="159" xfId="14" applyNumberFormat="1" applyFont="1" applyBorder="1" applyAlignment="1">
      <alignment horizontal="left" vertical="center"/>
    </xf>
    <xf numFmtId="0" fontId="108" fillId="0" borderId="0" xfId="14" applyFont="1" applyBorder="1" applyAlignment="1">
      <alignment horizontal="left" vertical="center"/>
    </xf>
    <xf numFmtId="0" fontId="117" fillId="0" borderId="0" xfId="14"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5" applyFont="1">
      <alignment vertical="center"/>
    </xf>
    <xf numFmtId="0" fontId="124" fillId="0" borderId="0" xfId="15" applyFont="1" applyProtection="1">
      <alignment vertical="center"/>
    </xf>
    <xf numFmtId="0" fontId="47" fillId="0" borderId="0" xfId="15" applyFont="1" applyProtection="1">
      <alignment vertical="center"/>
    </xf>
    <xf numFmtId="0" fontId="124"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0"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6" fillId="0" borderId="0" xfId="15"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4" applyFont="1">
      <alignment vertical="center"/>
    </xf>
    <xf numFmtId="0" fontId="208" fillId="0" borderId="0" xfId="14">
      <alignment vertical="center"/>
    </xf>
    <xf numFmtId="0" fontId="135" fillId="0" borderId="0" xfId="14" applyFont="1" applyAlignment="1">
      <alignment vertical="top" wrapText="1"/>
    </xf>
    <xf numFmtId="0" fontId="136" fillId="0" borderId="0" xfId="14"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200"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4" applyFont="1" applyAlignment="1" applyProtection="1">
      <alignment horizontal="left" vertical="top" wrapText="1"/>
    </xf>
    <xf numFmtId="0" fontId="126" fillId="0" borderId="0" xfId="15" applyFont="1" applyAlignment="1" applyProtection="1">
      <alignment horizontal="left" vertical="center" wrapText="1"/>
    </xf>
    <xf numFmtId="0" fontId="124" fillId="0" borderId="0" xfId="15" applyFont="1" applyAlignment="1" applyProtection="1">
      <alignment horizontal="center" vertical="center"/>
    </xf>
    <xf numFmtId="0" fontId="124" fillId="0" borderId="5" xfId="15" applyFont="1" applyBorder="1" applyAlignment="1" applyProtection="1">
      <alignment horizontal="center" vertical="center"/>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8" fontId="76" fillId="0" borderId="2" xfId="0" applyNumberFormat="1" applyFont="1" applyFill="1" applyBorder="1" applyAlignment="1" applyProtection="1">
      <alignment horizontal="center" vertical="center" wrapText="1"/>
    </xf>
    <xf numFmtId="198" fontId="76" fillId="0" borderId="3" xfId="0" applyNumberFormat="1" applyFont="1" applyFill="1" applyBorder="1" applyAlignment="1" applyProtection="1">
      <alignment horizontal="center" vertical="center" wrapText="1"/>
    </xf>
    <xf numFmtId="19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29" fillId="0" borderId="0" xfId="0" applyNumberFormat="1" applyFont="1" applyAlignment="1" applyProtection="1">
      <alignment horizontal="right" vertical="center"/>
      <protection locked="0"/>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3" fillId="3" borderId="1" xfId="14" applyFont="1" applyFill="1" applyBorder="1" applyAlignment="1">
      <alignment horizontal="left" vertical="center"/>
    </xf>
    <xf numFmtId="0" fontId="114" fillId="0" borderId="1" xfId="14" applyFont="1" applyBorder="1" applyAlignment="1">
      <alignment horizontal="left" vertical="center"/>
    </xf>
    <xf numFmtId="0" fontId="114"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6"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8" fontId="61" fillId="2" borderId="2" xfId="0" applyNumberFormat="1" applyFont="1" applyFill="1" applyBorder="1" applyAlignment="1" applyProtection="1">
      <alignment horizontal="left" vertical="center" wrapText="1"/>
    </xf>
    <xf numFmtId="19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8"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182880"/>
          <a:ext cx="8308340" cy="491617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303520"/>
          <a:ext cx="8041640" cy="728345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801600"/>
          <a:ext cx="7045325" cy="281876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727680"/>
          <a:ext cx="9987915" cy="1548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16753</v>
          </cell>
        </row>
        <row r="34">
          <cell r="E34">
            <v>4189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估价对象为北京市房地产，为所有。根据《国有土地使用证》[]，估价对象（分摊）出让国有建设用地使用权面积为0平方米，建筑面积为16452.33平方米。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估价对象为北京市房地产,属开发建设的居住项目，该项目尚在开发建设中。根据《国有土地使用证》[]，估价对象（分摊）出让国有建设用地使用权面积为0平方米，规划建筑面积为16452.33平方米。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8022</v>
      </c>
    </row>
    <row r="21" spans="1:2" s="3212" customFormat="1">
      <c r="A21" s="3220" t="s">
        <v>21</v>
      </c>
      <c r="B21" s="3221">
        <f ca="1">'预评函-2'!D7</f>
        <v>4876</v>
      </c>
    </row>
    <row r="22" spans="1:2" s="3212" customFormat="1">
      <c r="A22" s="3220" t="s">
        <v>22</v>
      </c>
      <c r="B22" s="3221" t="str">
        <f ca="1">'预评函-2'!D6</f>
        <v>捌仟零贰拾贰万元整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8022</v>
      </c>
    </row>
    <row r="31" spans="1:2" s="3212" customFormat="1">
      <c r="A31" s="3220" t="s">
        <v>31</v>
      </c>
      <c r="B31" s="3221">
        <f ca="1">'预评函-2'!D15</f>
        <v>4876</v>
      </c>
    </row>
    <row r="32" spans="1:2" s="3212" customFormat="1">
      <c r="A32" s="3220" t="s">
        <v>32</v>
      </c>
      <c r="B32" s="3221" t="str">
        <f ca="1">'预评函-2'!D14</f>
        <v>捌仟零贰拾贰万元整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16452.330000000002</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5559</v>
      </c>
    </row>
    <row r="48" spans="1:2" s="3212" customFormat="1">
      <c r="A48" s="3220" t="s">
        <v>48</v>
      </c>
      <c r="B48" s="3221">
        <f ca="1">'预评函-3'!E4</f>
        <v>3379</v>
      </c>
    </row>
    <row r="49" spans="1:2" s="3212" customFormat="1">
      <c r="A49" s="3220" t="s">
        <v>49</v>
      </c>
      <c r="B49" s="3221" t="str">
        <f ca="1">'预评函-3'!D5</f>
        <v>伍仟伍佰伍拾玖万元整</v>
      </c>
    </row>
    <row r="50" spans="1:2" s="3212" customFormat="1">
      <c r="A50" s="3220" t="s">
        <v>50</v>
      </c>
      <c r="B50" s="3221" t="str">
        <f>'预评函-3'!F2</f>
        <v>在建建筑物价值</v>
      </c>
    </row>
    <row r="51" spans="1:2" s="3212" customFormat="1">
      <c r="A51" s="3220" t="s">
        <v>51</v>
      </c>
      <c r="B51" s="3221">
        <f ca="1">'预评函-3'!F4</f>
        <v>2463</v>
      </c>
    </row>
    <row r="52" spans="1:2" s="3212" customFormat="1">
      <c r="A52" s="3220" t="s">
        <v>52</v>
      </c>
      <c r="B52" s="3221">
        <f ca="1">'预评函-3'!G4</f>
        <v>1497</v>
      </c>
    </row>
    <row r="53" spans="1:2" s="3212" customFormat="1">
      <c r="A53" s="3220" t="s">
        <v>53</v>
      </c>
      <c r="B53" s="3221" t="str">
        <f ca="1">'预评函-3'!F5</f>
        <v>贰仟肆佰陆拾叁万元整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7" t="s">
        <v>339</v>
      </c>
      <c r="E8" s="2984" t="s">
        <v>322</v>
      </c>
      <c r="F8" s="2985"/>
      <c r="G8" s="2966"/>
      <c r="H8" s="2966"/>
      <c r="I8" s="2966"/>
      <c r="J8" s="2552"/>
      <c r="K8" s="3066"/>
      <c r="L8" s="3063"/>
      <c r="M8" s="3063"/>
      <c r="N8" s="2552"/>
      <c r="O8" s="3064"/>
      <c r="P8" s="2552"/>
      <c r="Q8" s="2552"/>
      <c r="R8" s="2552"/>
    </row>
    <row r="9" spans="1:28">
      <c r="A9" s="2986" t="s">
        <v>340</v>
      </c>
      <c r="B9" s="2987" t="s">
        <v>322</v>
      </c>
      <c r="C9" s="2988"/>
      <c r="D9" s="3298"/>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74"/>
      <c r="C16" s="3275"/>
      <c r="D16" s="3276"/>
      <c r="E16" s="3012" t="s">
        <v>359</v>
      </c>
      <c r="F16" s="3277"/>
      <c r="G16" s="3278"/>
      <c r="H16" s="3278"/>
      <c r="I16" s="3279"/>
      <c r="J16" s="2552"/>
      <c r="K16" s="3069"/>
      <c r="L16" s="3070"/>
      <c r="M16" s="3070"/>
      <c r="N16" s="2553"/>
      <c r="O16" s="3070"/>
      <c r="P16" s="2553"/>
      <c r="Q16" s="2552"/>
      <c r="R16" s="2552"/>
    </row>
    <row r="17" spans="1:28">
      <c r="A17" s="1828" t="s">
        <v>360</v>
      </c>
      <c r="B17" s="1817" t="s">
        <v>361</v>
      </c>
      <c r="C17" s="296">
        <f>'数据-汇总表'!E3</f>
        <v>16452.330000000002</v>
      </c>
      <c r="D17" s="1871" t="s">
        <v>362</v>
      </c>
      <c r="E17" s="3280" t="s">
        <v>363</v>
      </c>
      <c r="F17" s="3281"/>
      <c r="G17" s="3281"/>
      <c r="H17" s="3281"/>
      <c r="I17" s="3282"/>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83" t="s">
        <v>366</v>
      </c>
      <c r="F18" s="3284"/>
      <c r="G18" s="3284"/>
      <c r="H18" s="3284"/>
      <c r="I18" s="3285"/>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86" t="s">
        <v>371</v>
      </c>
      <c r="C20" s="3287"/>
      <c r="D20" s="3288" t="s">
        <v>372</v>
      </c>
      <c r="E20" s="3289"/>
      <c r="F20" s="3021" t="s">
        <v>373</v>
      </c>
      <c r="G20" s="2674"/>
      <c r="H20" s="2674"/>
      <c r="I20" s="2674"/>
      <c r="J20" s="2552"/>
      <c r="K20" s="3299"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99"/>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99"/>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93"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93"/>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93"/>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94"/>
      <c r="B30" s="1817" t="s">
        <v>391</v>
      </c>
      <c r="C30" s="3290"/>
      <c r="D30" s="3291"/>
      <c r="E30" s="2674"/>
      <c r="F30" s="2674"/>
      <c r="G30" s="2674"/>
      <c r="H30" s="2674"/>
      <c r="I30" s="2674"/>
      <c r="J30" s="2552"/>
      <c r="K30" s="3065"/>
      <c r="L30" s="3063"/>
      <c r="M30" s="3063"/>
      <c r="N30" s="2552"/>
      <c r="O30" s="3064"/>
      <c r="P30" s="2552"/>
      <c r="Q30" s="2552"/>
      <c r="R30" s="2552"/>
      <c r="S30" s="2552"/>
      <c r="T30" s="2552"/>
      <c r="U30" s="2552"/>
      <c r="V30" s="2552"/>
    </row>
    <row r="31" spans="1:28">
      <c r="A31" s="3295"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96"/>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96"/>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300" t="s">
        <v>401</v>
      </c>
      <c r="T34" s="3084" t="str">
        <f>NUMBERSTRING(7-K34,1)&amp;"通"</f>
        <v>七通</v>
      </c>
      <c r="U34" s="2552"/>
      <c r="V34" s="2552"/>
    </row>
    <row r="35" spans="1:30">
      <c r="A35" s="3048"/>
      <c r="B35" s="3292" t="s">
        <v>402</v>
      </c>
      <c r="C35" s="3292"/>
      <c r="D35" s="3292"/>
      <c r="E35" s="3292"/>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300"/>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16452.330000000002</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16452.330000000002</v>
      </c>
      <c r="H5" s="2876">
        <f t="shared" ref="H5:AT5" si="0">SUM(H13:H656)</f>
        <v>16452.330000000002</v>
      </c>
      <c r="I5" s="2876">
        <f t="shared" si="0"/>
        <v>16452.330000000002</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16452.330000000002</v>
      </c>
      <c r="BA5" s="2936">
        <f t="shared" si="1"/>
        <v>16452.330000000002</v>
      </c>
      <c r="BB5" s="2936">
        <f t="shared" si="1"/>
        <v>16452.330000000002</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16452.330000000002</v>
      </c>
      <c r="H13" s="2879">
        <f>SUMIF(I$12:AB$12,"总值",I13:AB13)</f>
        <v>16452.330000000002</v>
      </c>
      <c r="I13" s="2907">
        <v>16452.330000000002</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16452.330000000002</v>
      </c>
      <c r="BA13" s="2876">
        <f>SUM(BB13:BK13)</f>
        <v>16452.330000000002</v>
      </c>
      <c r="BB13" s="2876">
        <f>IF($D13="是",I13-J13,0)</f>
        <v>16452.330000000002</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03" t="s">
        <v>489</v>
      </c>
      <c r="B2" s="3303"/>
      <c r="C2" s="3303"/>
      <c r="D2" s="2109" t="s">
        <v>490</v>
      </c>
      <c r="E2" s="2774" t="s">
        <v>491</v>
      </c>
      <c r="F2" s="2775"/>
      <c r="G2" s="2776"/>
      <c r="H2" s="2777"/>
      <c r="I2" s="2423" t="s">
        <v>492</v>
      </c>
      <c r="J2" s="2775"/>
      <c r="K2" s="2775"/>
      <c r="L2" s="2775"/>
      <c r="M2" s="2775"/>
      <c r="N2" s="1246"/>
      <c r="O2" s="2775"/>
      <c r="P2" s="2775"/>
    </row>
    <row r="3" spans="1:16" ht="15">
      <c r="A3" s="3304" t="s">
        <v>493</v>
      </c>
      <c r="B3" s="3304"/>
      <c r="C3" s="3304"/>
      <c r="D3" s="2778">
        <f>'数据-基础表'!AY6</f>
        <v>0</v>
      </c>
      <c r="E3" s="2778">
        <f>'数据-基础表'!AZ5</f>
        <v>16452.330000000002</v>
      </c>
      <c r="F3" s="2775"/>
      <c r="G3" s="2779"/>
      <c r="H3" s="2223" t="s">
        <v>494</v>
      </c>
      <c r="I3" s="2839" t="e">
        <f>ROUND('数据-基础表'!B3/'数据-基础表'!A3,2)</f>
        <v>#DIV/0!</v>
      </c>
      <c r="J3" s="2775"/>
      <c r="K3" s="2775"/>
      <c r="L3" s="2775"/>
      <c r="M3" s="2775"/>
      <c r="N3" s="1246"/>
      <c r="O3" s="2775"/>
      <c r="P3" s="2775"/>
    </row>
    <row r="4" spans="1:16" ht="15">
      <c r="A4" s="3305"/>
      <c r="B4" s="3306"/>
      <c r="C4" s="3307"/>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08" t="s">
        <v>498</v>
      </c>
      <c r="C5" s="3308"/>
      <c r="D5" s="2784">
        <f>ROUND($D$3*E5/$E$3,2)</f>
        <v>0</v>
      </c>
      <c r="E5" s="2785">
        <f>SUMIF('数据-基础表'!$11:$11,"住宅",'数据-基础表'!$5:$5)</f>
        <v>16452.330000000002</v>
      </c>
      <c r="F5" s="2775"/>
      <c r="G5" s="2779"/>
      <c r="H5" s="2223" t="s">
        <v>494</v>
      </c>
      <c r="I5" s="2839" t="e">
        <f>ROUND(E31/D31,2)</f>
        <v>#DIV/0!</v>
      </c>
      <c r="J5" s="2775"/>
      <c r="K5" s="2775"/>
      <c r="L5" s="2775"/>
      <c r="M5" s="2775"/>
      <c r="N5" s="2775"/>
      <c r="O5" s="2775"/>
      <c r="P5" s="2775"/>
    </row>
    <row r="6" spans="1:16">
      <c r="A6" s="2786"/>
      <c r="B6" s="3308" t="s">
        <v>499</v>
      </c>
      <c r="C6" s="3308"/>
      <c r="D6" s="2784">
        <f>ROUND($D$3*E6/$E$3,2)</f>
        <v>0</v>
      </c>
      <c r="E6" s="2785">
        <f>E3-E5</f>
        <v>0</v>
      </c>
      <c r="F6" s="2775"/>
      <c r="G6" s="2787" t="s">
        <v>500</v>
      </c>
      <c r="H6" s="2788" t="s">
        <v>496</v>
      </c>
      <c r="I6" s="2840" t="e">
        <f>ROUND(F31/D31,2)</f>
        <v>#DIV/0!</v>
      </c>
      <c r="J6" s="2775"/>
      <c r="K6" s="2775"/>
      <c r="L6" s="2775"/>
      <c r="M6" s="2775"/>
      <c r="N6" s="2775"/>
      <c r="O6" s="2775"/>
      <c r="P6" s="2775"/>
    </row>
    <row r="7" spans="1:16" ht="15">
      <c r="A7" s="3309"/>
      <c r="B7" s="3310"/>
      <c r="C7" s="3311"/>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16452.330000000002</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16452.330000000002</v>
      </c>
      <c r="F16" s="2775"/>
      <c r="G16" s="2794"/>
      <c r="H16" s="2799" t="s">
        <v>514</v>
      </c>
      <c r="I16" s="2842"/>
      <c r="J16" s="2271"/>
      <c r="K16" s="3312" t="s">
        <v>514</v>
      </c>
      <c r="L16" s="3313"/>
      <c r="M16" s="3313"/>
      <c r="N16" s="3313"/>
      <c r="O16" s="3313"/>
      <c r="P16" s="3314"/>
    </row>
    <row r="17" spans="1:19" ht="15">
      <c r="A17" s="2730" t="s">
        <v>515</v>
      </c>
      <c r="B17" s="2800" t="s">
        <v>516</v>
      </c>
      <c r="C17" s="2729" t="s">
        <v>517</v>
      </c>
      <c r="D17" s="2801" t="s">
        <v>490</v>
      </c>
      <c r="E17" s="2802" t="s">
        <v>491</v>
      </c>
      <c r="F17" s="2803"/>
      <c r="G17" s="2804"/>
      <c r="H17" s="2805" t="s">
        <v>518</v>
      </c>
      <c r="I17" s="2843" t="s">
        <v>519</v>
      </c>
      <c r="J17" s="2271"/>
      <c r="K17" s="3315" t="s">
        <v>520</v>
      </c>
      <c r="L17" s="3316"/>
      <c r="M17" s="3317"/>
      <c r="N17" s="3315" t="s">
        <v>521</v>
      </c>
      <c r="O17" s="3316"/>
      <c r="P17" s="3317"/>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16452.330000000002</v>
      </c>
      <c r="F19" s="2815">
        <f>'数据-基础表'!I13</f>
        <v>16452.330000000002</v>
      </c>
      <c r="G19" s="2816"/>
      <c r="H19" s="2719">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16452.330000000002</v>
      </c>
    </row>
    <row r="20" spans="1:19">
      <c r="A20" s="2817"/>
      <c r="B20" s="2792" t="s">
        <v>530</v>
      </c>
      <c r="C20" s="2818"/>
      <c r="D20" s="2784">
        <f t="shared" ref="D20:D26" si="6">ROUND($D$3*E20/$E$3,2)</f>
        <v>0</v>
      </c>
      <c r="E20" s="2814">
        <f t="shared" si="1"/>
        <v>0</v>
      </c>
      <c r="F20" s="2815"/>
      <c r="G20" s="2816"/>
      <c r="H20" s="2719">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19">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19">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19">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19">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16452.330000000002</v>
      </c>
      <c r="F27" s="2823">
        <f>IF(SUM(F19:F26)=E8,SUM(F19:F26),"地上面积有误")</f>
        <v>16452.330000000002</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16452.330000000002</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16452.330000000002</v>
      </c>
      <c r="F31" s="2834">
        <f>F27+F30</f>
        <v>16452.330000000002</v>
      </c>
      <c r="G31" s="2835">
        <f>G27+G30</f>
        <v>0</v>
      </c>
      <c r="H31" s="2775"/>
      <c r="I31" s="2775"/>
      <c r="J31" s="2775"/>
      <c r="K31" s="2775"/>
      <c r="L31" s="2775"/>
      <c r="M31" s="2775"/>
      <c r="N31" s="2775"/>
      <c r="O31" s="2775"/>
      <c r="P31" s="2775"/>
    </row>
    <row r="32" spans="1:19">
      <c r="A32" s="2836"/>
      <c r="B32" s="2836" t="s">
        <v>536</v>
      </c>
      <c r="C32" s="2836"/>
      <c r="D32" s="2836"/>
      <c r="E32" s="2837">
        <f>SUMIF(C19:C26,"*住宅*",E19:E26)</f>
        <v>16452.330000000002</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T25" sqref="T25"/>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16452.330000000002</v>
      </c>
      <c r="L6" s="2686">
        <v>3500</v>
      </c>
      <c r="M6" s="2687">
        <f t="shared" ref="M6:M14" si="0">ROUND(K6*L6/10000,0)</f>
        <v>5758</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0</v>
      </c>
      <c r="W6" s="2711">
        <v>0</v>
      </c>
      <c r="X6" s="2712"/>
      <c r="Y6" s="2732">
        <f>N6</f>
        <v>0.89</v>
      </c>
      <c r="Z6" s="2733">
        <v>16.899999999999999</v>
      </c>
      <c r="AA6" s="2597">
        <v>1.4999999999999999E-2</v>
      </c>
      <c r="AB6" s="2734">
        <v>0.05</v>
      </c>
      <c r="AC6" s="2712"/>
      <c r="AD6" s="2735">
        <f>ROUND(1-(2024-N18)/60,2)</f>
        <v>0.85</v>
      </c>
      <c r="AE6" s="2736">
        <f ca="1">IF(AN6="",0,SUMIF(INDIRECT("'"&amp;AN6&amp;"'"&amp;"!E:E"),$AE$5,INDIRECT("'"&amp;AN6&amp;"'"&amp;"!F:F")))</f>
        <v>70</v>
      </c>
      <c r="AF6" s="2209">
        <v>1.4</v>
      </c>
      <c r="AG6" s="1556">
        <f ca="1">IF(AF6="",0,AE6-AF6)</f>
        <v>68.599999999999994</v>
      </c>
      <c r="AH6" s="2717"/>
      <c r="AI6" s="2746">
        <v>12</v>
      </c>
      <c r="AJ6" s="2747"/>
      <c r="AK6" s="2748">
        <v>0.01</v>
      </c>
      <c r="AL6" s="2749">
        <v>1.5E-3</v>
      </c>
      <c r="AM6" s="2750">
        <v>1.4999999999999999E-2</v>
      </c>
      <c r="AN6" s="2751" t="s">
        <v>580</v>
      </c>
      <c r="AO6" s="1131">
        <f ca="1">SUMIF(INDIRECT("'"&amp;AN6&amp;"'"&amp;"!A:A"),"总价",INDIRECT("'"&amp;AN6&amp;"'"&amp;"!B:B"))</f>
        <v>6645</v>
      </c>
      <c r="AP6" s="2768">
        <f>IF(C6="住宅",K6*L6,0)</f>
        <v>57583155</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5"/>
      <c r="AE7" s="2736">
        <f t="shared" ref="AE7:AE13" ca="1" si="6">IF(AN7="",0,SUMIF(INDIRECT("'"&amp;AN7&amp;"'"&amp;"!E:E"),$AE$5,INDIRECT("'"&amp;AN7&amp;"'"&amp;"!F:F")))</f>
        <v>0</v>
      </c>
      <c r="AF7" s="2209"/>
      <c r="AG7" s="1556">
        <f t="shared" ref="AG7:AG13" si="7">IF(AF7="",0,AE7-AF7)</f>
        <v>0</v>
      </c>
      <c r="AH7" s="2717"/>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7"/>
      <c r="Z8" s="2733"/>
      <c r="AA8" s="2597"/>
      <c r="AB8" s="2597"/>
      <c r="AC8" s="2712"/>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5"/>
      <c r="AE9" s="2736">
        <f t="shared" ca="1" si="6"/>
        <v>0</v>
      </c>
      <c r="AF9" s="2209"/>
      <c r="AG9" s="1556">
        <f t="shared" si="7"/>
        <v>0</v>
      </c>
      <c r="AH9" s="2717"/>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5"/>
      <c r="AE10" s="2736">
        <f t="shared" ca="1" si="6"/>
        <v>0</v>
      </c>
      <c r="AF10" s="2209"/>
      <c r="AG10" s="1556">
        <f t="shared" si="7"/>
        <v>0</v>
      </c>
      <c r="AH10" s="2717"/>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8"/>
      <c r="AA11" s="2597"/>
      <c r="AB11" s="2597"/>
      <c r="AC11" s="2712"/>
      <c r="AD11" s="2735"/>
      <c r="AE11" s="2736">
        <f t="shared" ca="1" si="6"/>
        <v>0</v>
      </c>
      <c r="AF11" s="2209"/>
      <c r="AG11" s="1556">
        <f t="shared" si="7"/>
        <v>0</v>
      </c>
      <c r="AH11" s="2717"/>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8"/>
      <c r="AA12" s="2597"/>
      <c r="AB12" s="2597"/>
      <c r="AC12" s="2712"/>
      <c r="AD12" s="2735"/>
      <c r="AE12" s="2736">
        <f t="shared" ca="1" si="6"/>
        <v>0</v>
      </c>
      <c r="AF12" s="2209"/>
      <c r="AG12" s="1556">
        <f t="shared" si="7"/>
        <v>0</v>
      </c>
      <c r="AH12" s="2717"/>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5"/>
      <c r="AE13" s="2736">
        <f t="shared" ca="1" si="6"/>
        <v>0</v>
      </c>
      <c r="AF13" s="2209"/>
      <c r="AG13" s="1556">
        <f t="shared" si="7"/>
        <v>0</v>
      </c>
      <c r="AH13" s="2717"/>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9"/>
      <c r="Z14" s="2740"/>
      <c r="AA14" s="2741"/>
      <c r="AB14" s="2741"/>
      <c r="AC14" s="2712"/>
      <c r="AD14" s="2721"/>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9"/>
      <c r="Z15" s="2740"/>
      <c r="AA15" s="2741"/>
      <c r="AB15" s="2741"/>
      <c r="AC15" s="2712"/>
      <c r="AD15" s="2721"/>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16452.330000000002</v>
      </c>
      <c r="L16" s="2697">
        <f>ROUND(M16*10000/SUM(K6:K14),0)</f>
        <v>3500</v>
      </c>
      <c r="M16" s="2697">
        <f>SUM(M6:M14)</f>
        <v>5758</v>
      </c>
      <c r="N16" s="2698">
        <f>ROUND(SUMPRODUCT(M6:M14,N6:N14)/M16,3)</f>
        <v>0.89</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2"/>
      <c r="Z16" s="2743"/>
      <c r="AA16" s="2727"/>
      <c r="AB16" s="2727"/>
      <c r="AC16" s="2728"/>
      <c r="AD16" s="2728"/>
      <c r="AE16" s="2726"/>
      <c r="AF16" s="2727"/>
      <c r="AG16" s="2742"/>
      <c r="AH16" s="2726"/>
      <c r="AI16" s="2743"/>
      <c r="AJ16" s="2743"/>
      <c r="AK16" s="2727"/>
      <c r="AL16" s="2727"/>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U6*1.015^50</f>
        <v>35.578596908266199</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16452.330000000002</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8022</v>
      </c>
      <c r="C5" s="2481">
        <f ca="1">ROUND(B5*10000/$B$1,0)</f>
        <v>4876</v>
      </c>
      <c r="D5" s="2481" t="e">
        <f ca="1">ROUND(B5*10000/$B$2,0)</f>
        <v>#DIV/0!</v>
      </c>
      <c r="E5" s="2482"/>
      <c r="F5" s="2483"/>
      <c r="G5" s="2483"/>
      <c r="H5" s="2484"/>
      <c r="I5" s="2484"/>
      <c r="J5" s="2484"/>
      <c r="K5" s="2484"/>
    </row>
    <row r="6" spans="1:11">
      <c r="A6" s="2481" t="s">
        <v>681</v>
      </c>
      <c r="B6" s="2481">
        <f ca="1">SUM(G14:G23)</f>
        <v>8022</v>
      </c>
      <c r="C6" s="2481">
        <f ca="1">ROUND(B6*10000/$B$1,0)</f>
        <v>4876</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16452.330000000002</v>
      </c>
      <c r="C14" s="2490">
        <f>结果表!C118</f>
        <v>0</v>
      </c>
      <c r="D14" s="2490">
        <f ca="1">结果表!H118</f>
        <v>8022</v>
      </c>
      <c r="E14" s="2490">
        <f ca="1">ROUND(D14*10000/B14,0)</f>
        <v>4876</v>
      </c>
      <c r="F14" s="2490" t="e">
        <f ca="1">ROUND(D14*10000/C14,0)</f>
        <v>#DIV/0!</v>
      </c>
      <c r="G14" s="2490">
        <f ca="1">结果表!D122</f>
        <v>8022</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693</v>
      </c>
      <c r="B16" s="2491"/>
      <c r="C16" s="2491"/>
      <c r="D16" s="2491"/>
      <c r="E16" s="2490" t="e">
        <f t="shared" si="0"/>
        <v>#DIV/0!</v>
      </c>
      <c r="F16" s="2490" t="e">
        <f t="shared" si="1"/>
        <v>#DIV/0!</v>
      </c>
      <c r="G16" s="2492"/>
      <c r="H16" s="2492"/>
      <c r="I16" s="2491"/>
      <c r="J16" s="2484"/>
      <c r="K16" s="2484"/>
    </row>
    <row r="17" spans="1:11">
      <c r="A17" s="2489" t="s">
        <v>694</v>
      </c>
      <c r="B17" s="2491"/>
      <c r="C17" s="2491"/>
      <c r="D17" s="2491"/>
      <c r="E17" s="2490" t="e">
        <f t="shared" si="0"/>
        <v>#DIV/0!</v>
      </c>
      <c r="F17" s="2490" t="e">
        <f t="shared" si="1"/>
        <v>#DIV/0!</v>
      </c>
      <c r="G17" s="2492"/>
      <c r="H17" s="2492"/>
      <c r="I17" s="2491"/>
      <c r="J17" s="2484"/>
      <c r="K17" s="2484"/>
    </row>
    <row r="18" spans="1:11">
      <c r="A18" s="2489" t="s">
        <v>695</v>
      </c>
      <c r="B18" s="2491"/>
      <c r="C18" s="2491"/>
      <c r="D18" s="2491"/>
      <c r="E18" s="2490" t="e">
        <f t="shared" si="0"/>
        <v>#DIV/0!</v>
      </c>
      <c r="F18" s="2490" t="e">
        <f t="shared" si="1"/>
        <v>#DIV/0!</v>
      </c>
      <c r="G18" s="2491"/>
      <c r="H18" s="2491"/>
      <c r="I18" s="2491"/>
      <c r="J18" s="2484"/>
      <c r="K18" s="2484"/>
    </row>
    <row r="19" spans="1:11">
      <c r="A19" s="2489" t="s">
        <v>696</v>
      </c>
      <c r="B19" s="2491"/>
      <c r="C19" s="2491"/>
      <c r="D19" s="2491"/>
      <c r="E19" s="2490" t="e">
        <f t="shared" si="0"/>
        <v>#DIV/0!</v>
      </c>
      <c r="F19" s="2490" t="e">
        <f t="shared" si="1"/>
        <v>#DIV/0!</v>
      </c>
      <c r="G19" s="2491"/>
      <c r="H19" s="2491"/>
      <c r="I19" s="2491"/>
      <c r="J19" s="2484"/>
      <c r="K19" s="2484"/>
    </row>
    <row r="20" spans="1:11">
      <c r="A20" s="2489" t="s">
        <v>697</v>
      </c>
      <c r="B20" s="2491"/>
      <c r="C20" s="2491"/>
      <c r="D20" s="2491"/>
      <c r="E20" s="2490" t="e">
        <f t="shared" si="0"/>
        <v>#DIV/0!</v>
      </c>
      <c r="F20" s="2490" t="e">
        <f t="shared" si="1"/>
        <v>#DIV/0!</v>
      </c>
      <c r="G20" s="2491"/>
      <c r="H20" s="2491"/>
      <c r="I20" s="2491"/>
      <c r="J20" s="2484"/>
      <c r="K20" s="2484"/>
    </row>
    <row r="21" spans="1:11">
      <c r="A21" s="2489" t="s">
        <v>698</v>
      </c>
      <c r="B21" s="2491"/>
      <c r="C21" s="2491"/>
      <c r="D21" s="2491"/>
      <c r="E21" s="2490" t="e">
        <f t="shared" si="0"/>
        <v>#DIV/0!</v>
      </c>
      <c r="F21" s="2490" t="e">
        <f t="shared" si="1"/>
        <v>#DIV/0!</v>
      </c>
      <c r="G21" s="2491"/>
      <c r="H21" s="2491"/>
      <c r="I21" s="2491"/>
      <c r="J21" s="2484"/>
      <c r="K21" s="2484"/>
    </row>
    <row r="22" spans="1:11">
      <c r="A22" s="2489" t="s">
        <v>699</v>
      </c>
      <c r="B22" s="2491"/>
      <c r="C22" s="2491"/>
      <c r="D22" s="2491"/>
      <c r="E22" s="2490" t="e">
        <f t="shared" si="0"/>
        <v>#DIV/0!</v>
      </c>
      <c r="F22" s="2490" t="e">
        <f t="shared" si="1"/>
        <v>#DIV/0!</v>
      </c>
      <c r="G22" s="2491"/>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6" zoomScale="90" zoomScaleNormal="100" workbookViewId="0">
      <selection activeCell="G37" sqref="G37"/>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20" t="str">
        <f>项目基本情况!S2</f>
        <v>北京市房地产</v>
      </c>
      <c r="B2" s="3321"/>
      <c r="C2" s="3321"/>
      <c r="D2" s="3321"/>
      <c r="E2" s="3321"/>
      <c r="F2" s="3321"/>
      <c r="G2" s="3321"/>
      <c r="H2" s="3321"/>
      <c r="I2" s="3322"/>
    </row>
    <row r="3" spans="1:12" ht="12.75">
      <c r="A3" s="3323" t="s">
        <v>703</v>
      </c>
      <c r="B3" s="3324"/>
      <c r="C3" s="3324"/>
      <c r="D3" s="3324"/>
      <c r="E3" s="3324"/>
      <c r="F3" s="3324"/>
      <c r="G3" s="3324"/>
      <c r="H3" s="3324"/>
      <c r="I3" s="3324"/>
    </row>
    <row r="4" spans="1:12" ht="14.25">
      <c r="A4" s="2203" t="s">
        <v>704</v>
      </c>
      <c r="B4" s="2204" t="s">
        <v>705</v>
      </c>
      <c r="C4" s="2205" t="s">
        <v>706</v>
      </c>
      <c r="D4" s="2205" t="s">
        <v>580</v>
      </c>
      <c r="E4" s="3325" t="s">
        <v>707</v>
      </c>
      <c r="F4" s="3326"/>
      <c r="G4" s="3326"/>
      <c r="H4" s="3326"/>
      <c r="I4" s="332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9" t="s">
        <v>708</v>
      </c>
      <c r="B5" s="3398">
        <v>25</v>
      </c>
      <c r="C5" s="3401"/>
      <c r="D5" s="3404"/>
      <c r="E5" s="1857" t="s">
        <v>709</v>
      </c>
      <c r="F5" s="2210"/>
      <c r="G5" s="2210"/>
      <c r="H5" s="2210"/>
      <c r="I5" s="2072"/>
    </row>
    <row r="6" spans="1:12" ht="12.75">
      <c r="A6" s="3379"/>
      <c r="B6" s="3398"/>
      <c r="C6" s="3402"/>
      <c r="D6" s="3404"/>
      <c r="E6" s="1857" t="s">
        <v>710</v>
      </c>
      <c r="F6" s="2210"/>
      <c r="G6" s="2210"/>
      <c r="H6" s="2210"/>
      <c r="I6" s="2072"/>
    </row>
    <row r="7" spans="1:12" ht="12.75">
      <c r="A7" s="3379"/>
      <c r="B7" s="3398"/>
      <c r="C7" s="3403"/>
      <c r="D7" s="3404"/>
      <c r="E7" s="1857" t="s">
        <v>711</v>
      </c>
      <c r="F7" s="2210"/>
      <c r="G7" s="2210"/>
      <c r="H7" s="2210"/>
      <c r="I7" s="2072"/>
    </row>
    <row r="8" spans="1:12" ht="12.75">
      <c r="A8" s="3379" t="s">
        <v>712</v>
      </c>
      <c r="B8" s="3398">
        <v>15</v>
      </c>
      <c r="C8" s="3401"/>
      <c r="D8" s="3404"/>
      <c r="E8" s="1857" t="s">
        <v>713</v>
      </c>
      <c r="F8" s="2210"/>
      <c r="G8" s="2210"/>
      <c r="H8" s="2210"/>
      <c r="I8" s="2072"/>
    </row>
    <row r="9" spans="1:12" ht="12.75">
      <c r="A9" s="3379"/>
      <c r="B9" s="3398"/>
      <c r="C9" s="3403"/>
      <c r="D9" s="3404"/>
      <c r="E9" s="1857" t="s">
        <v>714</v>
      </c>
      <c r="F9" s="2210"/>
      <c r="G9" s="2210"/>
      <c r="H9" s="2210"/>
      <c r="I9" s="2072"/>
    </row>
    <row r="10" spans="1:12" ht="12.75">
      <c r="A10" s="3379" t="s">
        <v>715</v>
      </c>
      <c r="B10" s="3398">
        <v>15</v>
      </c>
      <c r="C10" s="3401"/>
      <c r="D10" s="3404"/>
      <c r="E10" s="1857" t="s">
        <v>716</v>
      </c>
      <c r="F10" s="2210"/>
      <c r="G10" s="2210"/>
      <c r="H10" s="2210"/>
      <c r="I10" s="2072"/>
    </row>
    <row r="11" spans="1:12" ht="12.75">
      <c r="A11" s="3379"/>
      <c r="B11" s="3398"/>
      <c r="C11" s="3403"/>
      <c r="D11" s="3404"/>
      <c r="E11" s="1857" t="s">
        <v>717</v>
      </c>
      <c r="F11" s="2210"/>
      <c r="G11" s="2210"/>
      <c r="H11" s="2210"/>
      <c r="I11" s="2072"/>
    </row>
    <row r="12" spans="1:12" ht="12.75">
      <c r="A12" s="3379" t="s">
        <v>718</v>
      </c>
      <c r="B12" s="3398">
        <v>15</v>
      </c>
      <c r="C12" s="3401"/>
      <c r="D12" s="3404"/>
      <c r="E12" s="1857" t="s">
        <v>719</v>
      </c>
      <c r="F12" s="2210"/>
      <c r="G12" s="2210"/>
      <c r="H12" s="2210"/>
      <c r="I12" s="2072"/>
    </row>
    <row r="13" spans="1:12" ht="12.75">
      <c r="A13" s="3379"/>
      <c r="B13" s="3398"/>
      <c r="C13" s="3403"/>
      <c r="D13" s="3404"/>
      <c r="E13" s="1857" t="s">
        <v>720</v>
      </c>
      <c r="F13" s="2210"/>
      <c r="G13" s="2210"/>
      <c r="H13" s="2210"/>
      <c r="I13" s="2072"/>
    </row>
    <row r="14" spans="1:12" ht="12.75">
      <c r="A14" s="3379" t="s">
        <v>721</v>
      </c>
      <c r="B14" s="3398">
        <v>30</v>
      </c>
      <c r="C14" s="3401">
        <v>1</v>
      </c>
      <c r="D14" s="3404">
        <v>9</v>
      </c>
      <c r="E14" s="1857" t="s">
        <v>722</v>
      </c>
      <c r="F14" s="2210"/>
      <c r="G14" s="2210"/>
      <c r="H14" s="2210"/>
      <c r="I14" s="2072"/>
    </row>
    <row r="15" spans="1:12" ht="12.75">
      <c r="A15" s="3379"/>
      <c r="B15" s="3398"/>
      <c r="C15" s="3402"/>
      <c r="D15" s="3404"/>
      <c r="E15" s="1857" t="s">
        <v>723</v>
      </c>
      <c r="F15" s="2210"/>
      <c r="G15" s="2210"/>
      <c r="H15" s="2210"/>
      <c r="I15" s="2072"/>
    </row>
    <row r="16" spans="1:12" ht="12.75">
      <c r="A16" s="3379"/>
      <c r="B16" s="3398"/>
      <c r="C16" s="3403"/>
      <c r="D16" s="3404"/>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328" t="s">
        <v>729</v>
      </c>
      <c r="F18" s="3329"/>
      <c r="G18" s="3329"/>
      <c r="H18" s="3329"/>
      <c r="I18" s="3329"/>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17" t="s">
        <v>730</v>
      </c>
      <c r="B19" s="2218" t="s">
        <v>731</v>
      </c>
      <c r="C19" s="2219">
        <f ca="1">SUMIF(INDIRECT("'"&amp;C4&amp;"'"&amp;"!A:A"),结果表!B19,INDIRECT("'"&amp;C4&amp;"'"&amp;"!B:B"))</f>
        <v>20413</v>
      </c>
      <c r="D19" s="1268">
        <f ca="1">SUMIF(INDIRECT("'"&amp;D4&amp;"'"&amp;"!A:A"),结果表!B19,INDIRECT("'"&amp;D4&amp;"'"&amp;"!B:B"))</f>
        <v>6645</v>
      </c>
      <c r="E19" s="2217" t="s">
        <v>732</v>
      </c>
      <c r="F19" s="2218" t="s">
        <v>731</v>
      </c>
      <c r="G19" s="2220">
        <f ca="1">ROUND(C19*$C$18+D19*$D$18,0)</f>
        <v>8022</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12407</v>
      </c>
      <c r="D20" s="1556">
        <f ca="1">SUMIF(INDIRECT("'"&amp;D4&amp;"'"&amp;"!A:A"),结果表!B20,INDIRECT("'"&amp;D4&amp;"'"&amp;"!B:B"))</f>
        <v>4039</v>
      </c>
      <c r="E20" s="2222"/>
      <c r="F20" s="2223" t="s">
        <v>734</v>
      </c>
      <c r="G20" s="2224">
        <f ca="1">ROUND(C20*$C$18+D20*$D$18,0)</f>
        <v>4876</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2.0719337848006019</v>
      </c>
      <c r="E22" s="282"/>
      <c r="F22" s="282"/>
      <c r="G22" s="282"/>
      <c r="H22" s="282"/>
      <c r="I22" s="282"/>
    </row>
    <row r="23" spans="1:36" ht="12.75">
      <c r="A23" s="2198"/>
      <c r="B23" s="2198"/>
      <c r="C23" s="2198"/>
      <c r="D23" s="2198"/>
      <c r="E23" s="282"/>
      <c r="F23" s="282"/>
      <c r="G23" s="282"/>
      <c r="H23" s="282"/>
      <c r="I23" s="282"/>
    </row>
    <row r="24" spans="1:36" ht="14.25">
      <c r="A24" s="3391" t="s">
        <v>738</v>
      </c>
      <c r="B24" s="2218" t="s">
        <v>731</v>
      </c>
      <c r="C24" s="2220">
        <f>IF(B30=0,0,D30)</f>
        <v>0</v>
      </c>
      <c r="D24" s="2234"/>
      <c r="E24" s="282"/>
      <c r="F24" s="282"/>
      <c r="G24" s="282"/>
      <c r="H24" s="282"/>
      <c r="I24" s="282"/>
    </row>
    <row r="25" spans="1:36" ht="14.25">
      <c r="A25" s="3392"/>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8022</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5559</v>
      </c>
      <c r="D34" s="2255">
        <f ca="1">IF(C33="自定义",ROUND(C34/C32,3),IF(C33="收益比率",SUMIF(INDIRECT("'"&amp;D33&amp;"'"&amp;"!b:b"),"土地收益比率",INDIRECT("'"&amp;D33&amp;"'"&amp;"!c:c")),SUMIF(INDIRECT("'"&amp;D33&amp;"'"&amp;"!b:b"),"土地成本比率",INDIRECT("'"&amp;D33&amp;"'"&amp;"!c:c"))))</f>
        <v>0.69300000000000006</v>
      </c>
      <c r="E34" s="2256" t="s">
        <v>752</v>
      </c>
      <c r="F34" s="2257"/>
      <c r="G34" s="282"/>
      <c r="H34" s="282"/>
      <c r="I34" s="282"/>
    </row>
    <row r="35" spans="1:15" ht="15">
      <c r="A35" s="2258"/>
      <c r="B35" s="2259" t="s">
        <v>753</v>
      </c>
      <c r="C35" s="2260">
        <f ca="1">IF(C33="自定义",F35,ROUND(C32*D35,0))</f>
        <v>2463</v>
      </c>
      <c r="D35" s="2261">
        <f ca="1">IF(C33="自定义",ROUND(C35/C32,3),IF(C33="收益比率",SUMIF(INDIRECT("'"&amp;D33&amp;"'"&amp;"!b:b"),"建筑物收益比率",INDIRECT("'"&amp;D33&amp;"'"&amp;"!c:c")),SUMIF(INDIRECT("'"&amp;D33&amp;"'"&amp;"!b:b"),"建筑物成本比率",INDIRECT("'"&amp;D33&amp;"'"&amp;"!c:c"))))</f>
        <v>0.307</v>
      </c>
      <c r="E35" s="2262" t="s">
        <v>754</v>
      </c>
      <c r="F35" s="2263"/>
      <c r="G35" s="282"/>
      <c r="H35" s="282"/>
      <c r="I35" s="282"/>
    </row>
    <row r="36" spans="1:15" ht="15">
      <c r="A36" s="3393" t="s">
        <v>755</v>
      </c>
      <c r="B36" s="2264" t="s">
        <v>756</v>
      </c>
      <c r="C36" s="2265"/>
      <c r="D36" s="2266"/>
      <c r="E36" s="2267"/>
      <c r="F36" s="2268"/>
      <c r="G36" s="282"/>
      <c r="H36" s="282"/>
      <c r="I36" s="282"/>
    </row>
    <row r="37" spans="1:15" ht="15">
      <c r="A37" s="3394"/>
      <c r="B37" s="2269" t="s">
        <v>757</v>
      </c>
      <c r="C37" s="2270"/>
      <c r="D37" s="2271"/>
      <c r="E37" s="2271"/>
      <c r="F37" s="2268"/>
      <c r="G37" s="282"/>
      <c r="H37" s="282"/>
      <c r="I37" s="282"/>
    </row>
    <row r="38" spans="1:15" ht="15">
      <c r="A38" s="3395"/>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330" t="s">
        <v>766</v>
      </c>
      <c r="B45" s="3331"/>
      <c r="C45" s="3332"/>
      <c r="D45" s="1816">
        <f ca="1">ROUND(H101*F45,0)</f>
        <v>8022</v>
      </c>
      <c r="E45" s="2290" t="s">
        <v>767</v>
      </c>
      <c r="F45" s="2291">
        <v>1</v>
      </c>
      <c r="G45" s="2292" t="s">
        <v>768</v>
      </c>
      <c r="H45" s="282"/>
      <c r="I45" s="282"/>
      <c r="J45" s="3333" t="s">
        <v>769</v>
      </c>
      <c r="K45" s="3333"/>
      <c r="L45" s="3333"/>
      <c r="M45" s="3333"/>
      <c r="N45" s="3333"/>
      <c r="O45" s="3333"/>
    </row>
    <row r="46" spans="1:15" ht="14.25" customHeight="1">
      <c r="A46" s="3334" t="s">
        <v>770</v>
      </c>
      <c r="B46" s="3335"/>
      <c r="C46" s="3335"/>
      <c r="D46" s="3335"/>
      <c r="E46" s="3335"/>
      <c r="F46" s="3335"/>
      <c r="G46" s="3336"/>
      <c r="H46" s="2293"/>
      <c r="I46" s="283"/>
      <c r="J46" s="2343">
        <v>1</v>
      </c>
      <c r="K46" s="3337" t="s">
        <v>771</v>
      </c>
      <c r="L46" s="3337"/>
      <c r="M46" s="3338"/>
      <c r="N46" s="3338"/>
      <c r="O46" s="3338"/>
    </row>
    <row r="47" spans="1:15" ht="12" customHeight="1">
      <c r="A47" s="2294" t="s">
        <v>772</v>
      </c>
      <c r="B47" s="2295"/>
      <c r="C47" s="2296"/>
      <c r="D47" s="1867" t="s">
        <v>773</v>
      </c>
      <c r="E47" s="1817" t="s">
        <v>774</v>
      </c>
      <c r="F47" s="2297" t="s">
        <v>775</v>
      </c>
      <c r="G47" s="2298" t="s">
        <v>776</v>
      </c>
      <c r="H47" s="2299"/>
      <c r="I47" s="283"/>
      <c r="J47" s="2343">
        <v>2</v>
      </c>
      <c r="K47" s="3337" t="s">
        <v>777</v>
      </c>
      <c r="L47" s="3337"/>
      <c r="M47" s="3339">
        <f>'数据-取费表'!B2</f>
        <v>44778</v>
      </c>
      <c r="N47" s="3339"/>
      <c r="O47" s="3339"/>
    </row>
    <row r="48" spans="1:15" ht="25.5">
      <c r="A48" s="3340" t="s">
        <v>778</v>
      </c>
      <c r="B48" s="3341"/>
      <c r="C48" s="3341"/>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37" t="s">
        <v>780</v>
      </c>
      <c r="L48" s="3337"/>
      <c r="M48" s="3342">
        <f ca="1">H101</f>
        <v>8022</v>
      </c>
      <c r="N48" s="3342"/>
      <c r="O48" s="3342"/>
    </row>
    <row r="49" spans="1:35" ht="25.5" customHeight="1">
      <c r="A49" s="2300" t="s">
        <v>781</v>
      </c>
      <c r="B49" s="3343" t="s">
        <v>782</v>
      </c>
      <c r="C49" s="3343"/>
      <c r="D49" s="2304">
        <v>0</v>
      </c>
      <c r="E49" s="1877" t="s">
        <v>783</v>
      </c>
      <c r="F49" s="2305" t="s">
        <v>124</v>
      </c>
      <c r="G49" s="3405"/>
      <c r="H49" s="2306" t="s">
        <v>784</v>
      </c>
      <c r="I49" s="2345"/>
      <c r="J49" s="2343">
        <v>4</v>
      </c>
      <c r="K49" s="3337" t="str">
        <f>IF(项目基本情况!E8="房地产抵押价值","房地产抵押价值","抵押担保权已注销时的房地产抵押价值")</f>
        <v>房地产抵押价值</v>
      </c>
      <c r="L49" s="3337"/>
      <c r="M49" s="3342">
        <f ca="1">IF(项目基本情况!E8="房地产抵押价值",H107,H109)</f>
        <v>8022</v>
      </c>
      <c r="N49" s="3342"/>
      <c r="O49" s="3342"/>
    </row>
    <row r="50" spans="1:35" ht="25.5" customHeight="1">
      <c r="A50" s="2307"/>
      <c r="B50" s="3343" t="s">
        <v>785</v>
      </c>
      <c r="C50" s="3343"/>
      <c r="D50" s="2308"/>
      <c r="E50" s="1892"/>
      <c r="F50" s="2305"/>
      <c r="G50" s="3406"/>
      <c r="H50" s="2309" t="s">
        <v>786</v>
      </c>
      <c r="I50" s="2345"/>
      <c r="J50" s="3333" t="s">
        <v>787</v>
      </c>
      <c r="K50" s="3333"/>
      <c r="L50" s="3333"/>
      <c r="M50" s="3333"/>
      <c r="N50" s="3333"/>
      <c r="O50" s="3333"/>
    </row>
    <row r="51" spans="1:35" ht="20.45" customHeight="1">
      <c r="A51" s="2310"/>
      <c r="B51" s="3343" t="s">
        <v>788</v>
      </c>
      <c r="C51" s="3343"/>
      <c r="D51" s="1867"/>
      <c r="E51" s="1881"/>
      <c r="F51" s="2305"/>
      <c r="G51" s="3407"/>
      <c r="H51" s="2309" t="s">
        <v>789</v>
      </c>
      <c r="I51" s="2345"/>
      <c r="J51" s="2344" t="s">
        <v>790</v>
      </c>
      <c r="K51" s="3337" t="s">
        <v>791</v>
      </c>
      <c r="L51" s="3337"/>
      <c r="M51" s="2344" t="s">
        <v>792</v>
      </c>
      <c r="N51" s="2344" t="s">
        <v>793</v>
      </c>
      <c r="O51" s="2344" t="s">
        <v>794</v>
      </c>
    </row>
    <row r="52" spans="1:35" ht="24" customHeight="1">
      <c r="A52" s="2311" t="s">
        <v>795</v>
      </c>
      <c r="B52" s="3343" t="s">
        <v>796</v>
      </c>
      <c r="C52" s="3343"/>
      <c r="D52" s="1867">
        <f ca="1">ROUND(D45*'数据-取费表'!B41/(1+'数据-取费表'!C42),0)</f>
        <v>0</v>
      </c>
      <c r="E52" s="1871" t="s">
        <v>797</v>
      </c>
      <c r="F52" s="2312">
        <f>'数据-取费表'!B41</f>
        <v>0</v>
      </c>
      <c r="G52" s="2313"/>
      <c r="H52" s="1985"/>
      <c r="I52" s="2346"/>
      <c r="J52" s="2343">
        <v>1</v>
      </c>
      <c r="K52" s="3344" t="s">
        <v>798</v>
      </c>
      <c r="L52" s="3344"/>
      <c r="M52" s="2347" t="b">
        <f>D48</f>
        <v>0</v>
      </c>
      <c r="N52" s="2343" t="str">
        <f>E48</f>
        <v>销售额×税（费）率</v>
      </c>
      <c r="O52" s="2348">
        <f>F48</f>
        <v>0</v>
      </c>
    </row>
    <row r="53" spans="1:35" ht="12" customHeight="1">
      <c r="A53" s="2311" t="s">
        <v>799</v>
      </c>
      <c r="B53" s="3345" t="s">
        <v>800</v>
      </c>
      <c r="C53" s="3346"/>
      <c r="D53" s="1867">
        <f ca="1">ROUND(D45*'数据-取费表'!B41/(1+'数据-取费表'!C42),0)</f>
        <v>0</v>
      </c>
      <c r="E53" s="1871" t="s">
        <v>797</v>
      </c>
      <c r="F53" s="2312">
        <f>'数据-取费表'!B41</f>
        <v>0</v>
      </c>
      <c r="G53" s="2313"/>
      <c r="H53" s="1985"/>
      <c r="I53" s="2346"/>
      <c r="J53" s="2343">
        <v>2</v>
      </c>
      <c r="K53" s="3344" t="s">
        <v>801</v>
      </c>
      <c r="L53" s="3344"/>
      <c r="M53" s="2347">
        <f t="shared" ref="M53:O54" ca="1" si="0">D55</f>
        <v>0</v>
      </c>
      <c r="N53" s="2343" t="str">
        <f t="shared" si="0"/>
        <v>销售额×税（费）率</v>
      </c>
      <c r="O53" s="2348" t="str">
        <f t="shared" si="0"/>
        <v>免征</v>
      </c>
    </row>
    <row r="54" spans="1:35" ht="12" customHeight="1">
      <c r="A54" s="2311" t="s">
        <v>802</v>
      </c>
      <c r="B54" s="3345" t="s">
        <v>803</v>
      </c>
      <c r="C54" s="3346"/>
      <c r="D54" s="1867">
        <f ca="1">C68</f>
        <v>0</v>
      </c>
      <c r="E54" s="1881" t="s">
        <v>804</v>
      </c>
      <c r="F54" s="2312">
        <f>'数据-取费表'!B41</f>
        <v>0</v>
      </c>
      <c r="G54" s="2313"/>
      <c r="H54" s="2314"/>
      <c r="I54" s="2346"/>
      <c r="J54" s="2343">
        <v>3</v>
      </c>
      <c r="K54" s="3344" t="s">
        <v>805</v>
      </c>
      <c r="L54" s="3344"/>
      <c r="M54" s="2347" t="e">
        <f t="shared" ca="1" si="0"/>
        <v>#DIV/0!</v>
      </c>
      <c r="N54" s="2343" t="str">
        <f t="shared" si="0"/>
        <v>增值额×税（费）率</v>
      </c>
      <c r="O54" s="2349" t="str">
        <f t="shared" si="0"/>
        <v>免征</v>
      </c>
    </row>
    <row r="55" spans="1:35" ht="24" customHeight="1">
      <c r="A55" s="3347" t="s">
        <v>806</v>
      </c>
      <c r="B55" s="3341"/>
      <c r="C55" s="3341"/>
      <c r="D55" s="1970">
        <f ca="1">IF(H55="个人住宅",0,ROUND(D45*I55,0))</f>
        <v>0</v>
      </c>
      <c r="E55" s="1871" t="s">
        <v>807</v>
      </c>
      <c r="F55" s="2312" t="str">
        <f>IF(H55="正常",I55,"免征")</f>
        <v>免征</v>
      </c>
      <c r="G55" s="2313"/>
      <c r="H55" s="2303"/>
      <c r="I55" s="2350">
        <f>'数据-取费表'!B49</f>
        <v>0</v>
      </c>
      <c r="J55" s="2343">
        <f>IF(H59="非个人房产","",4)</f>
        <v>4</v>
      </c>
      <c r="K55" s="3344" t="str">
        <f>IF(H59="非个人房产","——","个人所得税")</f>
        <v>个人所得税</v>
      </c>
      <c r="L55" s="3344"/>
      <c r="M55" s="2351">
        <f ca="1">D59</f>
        <v>80</v>
      </c>
      <c r="N55" s="635" t="str">
        <f>E59</f>
        <v>差额计税</v>
      </c>
      <c r="O55" s="2352">
        <f>F59</f>
        <v>0.01</v>
      </c>
    </row>
    <row r="56" spans="1:35" ht="24.75">
      <c r="A56" s="3347" t="s">
        <v>808</v>
      </c>
      <c r="B56" s="3341"/>
      <c r="C56" s="3341"/>
      <c r="D56" s="1970" t="e">
        <f ca="1">IF(H56="个人住宅",D57,D58)</f>
        <v>#DIV/0!</v>
      </c>
      <c r="E56" s="1871" t="s">
        <v>809</v>
      </c>
      <c r="F56" s="2312" t="str">
        <f>IF(H56="正常",F58,"免征")</f>
        <v>免征</v>
      </c>
      <c r="G56" s="2315" t="s">
        <v>810</v>
      </c>
      <c r="H56" s="2316"/>
      <c r="I56" s="2325"/>
      <c r="J56" s="2343" t="str">
        <f>IF(项目基本情况!K6="上海银行",IF(J55="",4,J55+1),"")</f>
        <v/>
      </c>
      <c r="K56" s="3348" t="str">
        <f>IF(项目基本情况!K6="上海银行","其他处置费用","")</f>
        <v/>
      </c>
      <c r="L56" s="3349"/>
      <c r="M56" s="2347" t="str">
        <f>IF(项目基本情况!K6="上海银行",M69,"")</f>
        <v/>
      </c>
      <c r="N56" s="3348" t="str">
        <f>IF(项目基本情况!K6="上海银行","包含处置中涉及的律师、诉讼、拍卖、评估等费用","")</f>
        <v/>
      </c>
      <c r="O56" s="3350"/>
    </row>
    <row r="57" spans="1:35" ht="12.75">
      <c r="A57" s="2311" t="s">
        <v>781</v>
      </c>
      <c r="B57" s="3345" t="s">
        <v>811</v>
      </c>
      <c r="C57" s="3346"/>
      <c r="D57" s="2304">
        <v>0</v>
      </c>
      <c r="E57" s="1877" t="s">
        <v>783</v>
      </c>
      <c r="F57" s="1817"/>
      <c r="G57" s="2313"/>
      <c r="H57" s="2317"/>
      <c r="I57" s="2325"/>
      <c r="J57" s="3344">
        <f>IF(AND(J55="",J56=""),4,IF(项目基本情况!K6="上海银行",结果表!J56+1,结果表!J55+1))</f>
        <v>5</v>
      </c>
      <c r="K57" s="3344" t="s">
        <v>812</v>
      </c>
      <c r="L57" s="2353" t="s">
        <v>813</v>
      </c>
      <c r="M57" s="2354"/>
      <c r="N57" s="2355">
        <f ca="1">SUMIF(M52:M56,"&lt;9e307")</f>
        <v>80</v>
      </c>
      <c r="O57" s="2356"/>
      <c r="P57" s="2357">
        <f ca="1">N57/M49</f>
        <v>9.9725754176015948E-3</v>
      </c>
    </row>
    <row r="58" spans="1:35" ht="24.75">
      <c r="A58" s="2311" t="s">
        <v>795</v>
      </c>
      <c r="B58" s="3345" t="s">
        <v>814</v>
      </c>
      <c r="C58" s="3343"/>
      <c r="D58" s="1970" t="e">
        <f ca="1">IF(H58="转让取得",C81,C97)</f>
        <v>#DIV/0!</v>
      </c>
      <c r="E58" s="1871" t="s">
        <v>809</v>
      </c>
      <c r="F58" s="1817" t="s">
        <v>124</v>
      </c>
      <c r="G58" s="2313"/>
      <c r="H58" s="2316"/>
      <c r="I58" s="2325"/>
      <c r="J58" s="3344"/>
      <c r="K58" s="3344"/>
      <c r="L58" s="2353" t="s">
        <v>815</v>
      </c>
      <c r="M58" s="2358"/>
      <c r="N58" s="2359" t="str">
        <f ca="1">NUMBERSTRING(INT(N57*10000),2)&amp;"元整"</f>
        <v>捌拾万元整</v>
      </c>
      <c r="O58" s="2360"/>
    </row>
    <row r="59" spans="1:35" ht="24">
      <c r="A59" s="3351" t="s">
        <v>816</v>
      </c>
      <c r="B59" s="3352"/>
      <c r="C59" s="3352"/>
      <c r="D59" s="2318">
        <f ca="1">IF(H59="非个人房产","——",IF(H59="个人住宅（满五唯一有凭证）",0,IF(H59="个人其他（无凭证）",ROUND(D45*F59,0),ROUND(C67*F59,0))))</f>
        <v>80</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408">
        <f>J57+1</f>
        <v>6</v>
      </c>
      <c r="K59" s="3344" t="s">
        <v>818</v>
      </c>
      <c r="L59" s="2343" t="s">
        <v>813</v>
      </c>
      <c r="M59" s="2362"/>
      <c r="N59" s="2363">
        <f ca="1">M49-N57</f>
        <v>7942</v>
      </c>
      <c r="O59" s="2364"/>
    </row>
    <row r="60" spans="1:35" ht="12" customHeight="1">
      <c r="A60" s="2323"/>
      <c r="B60" s="2198"/>
      <c r="C60" s="2198"/>
      <c r="D60" s="2198"/>
      <c r="E60" s="2324"/>
      <c r="F60" s="2325"/>
      <c r="G60" s="2325"/>
      <c r="H60" s="2326"/>
      <c r="I60" s="282"/>
      <c r="J60" s="3409"/>
      <c r="K60" s="3344"/>
      <c r="L60" s="2353" t="s">
        <v>815</v>
      </c>
      <c r="M60" s="2358"/>
      <c r="N60" s="2359" t="str">
        <f ca="1">NUMBERSTRING(INT(N59*10000),2)&amp;"元整"</f>
        <v>柒仟玖佰肆拾贰万元整</v>
      </c>
      <c r="O60" s="2360"/>
    </row>
    <row r="61" spans="1:35" ht="12.75">
      <c r="A61" s="3353" t="s">
        <v>819</v>
      </c>
      <c r="B61" s="3353"/>
      <c r="C61" s="3353"/>
      <c r="D61" s="3353"/>
      <c r="E61" s="3353"/>
      <c r="F61" s="2325"/>
      <c r="G61" s="2325"/>
      <c r="H61" s="2326"/>
      <c r="I61" s="282"/>
      <c r="J61" s="2343">
        <f>J59+1</f>
        <v>7</v>
      </c>
      <c r="K61" s="3344" t="s">
        <v>820</v>
      </c>
      <c r="L61" s="3344"/>
      <c r="M61" s="2365"/>
      <c r="N61" s="2366">
        <f ca="1">ROUND(N59*10000/'数据-汇总表'!E3,0)</f>
        <v>4827</v>
      </c>
      <c r="O61" s="2367"/>
    </row>
    <row r="62" spans="1:35" ht="12.75">
      <c r="A62" s="3354" t="s">
        <v>821</v>
      </c>
      <c r="B62" s="3355"/>
      <c r="C62" s="614"/>
      <c r="D62" s="614" t="s">
        <v>822</v>
      </c>
      <c r="E62" s="2327" t="s">
        <v>776</v>
      </c>
      <c r="F62" s="2325"/>
      <c r="G62" s="2325"/>
      <c r="H62" s="2326"/>
      <c r="I62" s="282"/>
    </row>
    <row r="63" spans="1:35" ht="12.75">
      <c r="A63" s="2328" t="s">
        <v>823</v>
      </c>
      <c r="B63" s="2329" t="s">
        <v>824</v>
      </c>
      <c r="C63" s="2330">
        <f ca="1">ROUND((C64+C65)/(1+'数据-取费表'!C42),0)</f>
        <v>8022</v>
      </c>
      <c r="D63" s="2329"/>
      <c r="E63" s="2331"/>
      <c r="F63" s="2325"/>
      <c r="G63" s="2325"/>
      <c r="H63" s="2326"/>
      <c r="I63" s="282"/>
      <c r="J63" s="3410" t="s">
        <v>825</v>
      </c>
      <c r="K63" s="2368" t="s">
        <v>826</v>
      </c>
      <c r="L63" s="2368">
        <f ca="1">IF(M49&gt;10000,M49*0.5%,IF(AND(M49&gt;1000,M49&lt;=10000),M49*1%,IF(AND(M49&gt;100,M49&lt;=1000),M49*3%,IF(AND(M49&gt;10,M49&lt;=100),M49*5%,M49*8%))))</f>
        <v>80.22</v>
      </c>
      <c r="M63" s="1817">
        <f ca="1">ROUND(L63,1)</f>
        <v>80.2</v>
      </c>
      <c r="N63" s="2369"/>
      <c r="Z63" s="2195"/>
      <c r="AI63" s="2196"/>
    </row>
    <row r="64" spans="1:35" ht="14.25" customHeight="1">
      <c r="A64" s="2332" t="s">
        <v>827</v>
      </c>
      <c r="B64" s="601" t="s">
        <v>828</v>
      </c>
      <c r="C64" s="2333">
        <f ca="1">D45</f>
        <v>8022</v>
      </c>
      <c r="D64" s="601" t="s">
        <v>124</v>
      </c>
      <c r="E64" s="2334"/>
      <c r="F64" s="2325"/>
      <c r="G64" s="2325"/>
      <c r="H64" s="2326"/>
      <c r="I64" s="282"/>
      <c r="J64" s="3410"/>
      <c r="K64" s="2368" t="s">
        <v>829</v>
      </c>
      <c r="L64" s="2368">
        <f ca="1">IF(M49&gt;2000,M49*0.5%,IF(AND(M49&gt;1000,M49&lt;=2000),M49*0.6%,IF(AND(M49&gt;500,M49&lt;=1000),M49*0.7%,IF(AND(M49&gt;200,M49&lt;=500),M49*0.8%,IF(AND(M49&gt;100,M49&lt;=200),M49*0.9%,IF(AND(M49&gt;50,M49&lt;=100),M49*1%,IF(AND(M49&gt;20,M49&lt;=50),M49*1.5%,IF(AND(M49&gt;10,M49&lt;=20),M49*2%,IF(AND(M49&gt;1,M49&lt;=10),M49*2.5%)))))))))</f>
        <v>40.11</v>
      </c>
      <c r="M64" s="1817">
        <f t="shared" ref="M64:M65" ca="1" si="1">ROUND(L64,1)</f>
        <v>40.1</v>
      </c>
      <c r="N64" s="1985" t="s">
        <v>830</v>
      </c>
      <c r="Z64" s="2195"/>
      <c r="AI64" s="2196"/>
    </row>
    <row r="65" spans="1:35" ht="14.25" customHeight="1">
      <c r="A65" s="2332" t="s">
        <v>831</v>
      </c>
      <c r="B65" s="601" t="s">
        <v>832</v>
      </c>
      <c r="C65" s="2371"/>
      <c r="D65" s="601"/>
      <c r="E65" s="2334"/>
      <c r="F65" s="2325"/>
      <c r="G65" s="2325"/>
      <c r="H65" s="2326"/>
      <c r="I65" s="282"/>
      <c r="J65" s="3410"/>
      <c r="K65" s="2368" t="s">
        <v>833</v>
      </c>
      <c r="L65" s="2368">
        <f ca="1">IF(M49&gt;1000,M49*0.1%,IF(AND(M49&gt;500,M49&lt;=1000),M49*0.5%,IF(AND(M49&gt;50,M49&lt;=500),M49*1%,IF(AND(M49&gt;1,M49&lt;=50),M49*1.5%))))</f>
        <v>8.0220000000000002</v>
      </c>
      <c r="M65" s="1817">
        <f t="shared" ca="1" si="1"/>
        <v>8</v>
      </c>
      <c r="N65" s="1985" t="s">
        <v>830</v>
      </c>
      <c r="Z65" s="2195"/>
      <c r="AI65" s="2196"/>
    </row>
    <row r="66" spans="1:35" ht="14.25" customHeight="1">
      <c r="A66" s="2328" t="s">
        <v>834</v>
      </c>
      <c r="B66" s="2372" t="s">
        <v>835</v>
      </c>
      <c r="C66" s="2373"/>
      <c r="D66" s="2372" t="s">
        <v>124</v>
      </c>
      <c r="E66" s="2374" t="s">
        <v>836</v>
      </c>
      <c r="F66" s="2325"/>
      <c r="G66" s="2325"/>
      <c r="H66" s="2326"/>
      <c r="I66" s="282"/>
      <c r="J66" s="3410"/>
      <c r="K66" s="2368" t="s">
        <v>837</v>
      </c>
      <c r="L66" s="2368">
        <f ca="1">M49*0.5%</f>
        <v>40.11</v>
      </c>
      <c r="M66" s="1817">
        <f ca="1">IF(L66&gt;0.5,0.5,ROUND(L66,0))</f>
        <v>0.5</v>
      </c>
      <c r="N66" s="1985" t="s">
        <v>838</v>
      </c>
      <c r="Z66" s="2195"/>
      <c r="AI66" s="2196"/>
    </row>
    <row r="67" spans="1:35" ht="14.25" customHeight="1">
      <c r="A67" s="2328" t="s">
        <v>839</v>
      </c>
      <c r="B67" s="2372" t="s">
        <v>840</v>
      </c>
      <c r="C67" s="2375">
        <f ca="1">C63-C66</f>
        <v>8022</v>
      </c>
      <c r="D67" s="601" t="s">
        <v>124</v>
      </c>
      <c r="E67" s="2334"/>
      <c r="F67" s="2325"/>
      <c r="G67" s="2325"/>
      <c r="H67" s="2326"/>
      <c r="I67" s="282"/>
      <c r="J67" s="3410"/>
      <c r="K67" s="2368" t="s">
        <v>841</v>
      </c>
      <c r="L67" s="2368">
        <f ca="1">IF(M49&gt;=10000,(8.25+(M49-10000)*0.01%),IF(AND(M49&gt;=8000,M49&lt;10000),(7.85+(M49-8000)*0.02%),IF(AND(M49&gt;=5000,M49&lt;8000),(6.65+(M49-5000)*0.04%),IF(AND(M49&gt;=2000,M49&lt;5000),(4.25+(PM49-2000)*0.08%),IF(AND(M49&gt;=1000,M49&lt;2000),(2.75+(M49-1000)*0.15%),IF(AND(M49&gt;=100,M49&lt;1000),(0.5+(M49-100)*0.25%),IF(AND(M49&gt;0,M49&lt;100),M49*0.5%)))))))</f>
        <v>7.8544</v>
      </c>
      <c r="M67" s="1817">
        <f ca="1">ROUND(L67*0.9,1)</f>
        <v>7.1</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410"/>
      <c r="K68" s="2368" t="s">
        <v>844</v>
      </c>
      <c r="L68" s="2368">
        <f ca="1">IF(M49&gt;10000,M49*0.5%,IF(AND(M49&gt;5000,M49&lt;=10000),M49*1%,IF(AND(M49&gt;1000,M49&lt;=5000),M49*2%,IF(AND(M49&gt;200,M49&lt;=1000),M49*3%,M49*5%))))</f>
        <v>80.22</v>
      </c>
      <c r="M68" s="1817">
        <f ca="1">ROUND(L68,1)</f>
        <v>80.2</v>
      </c>
      <c r="N68" s="2369"/>
      <c r="Z68" s="2195"/>
      <c r="AI68" s="2196"/>
    </row>
    <row r="69" spans="1:35" s="2193" customFormat="1" ht="16.5" customHeight="1">
      <c r="A69" s="2381"/>
      <c r="B69" s="2382"/>
      <c r="C69" s="2383"/>
      <c r="D69" s="752"/>
      <c r="E69" s="2384"/>
      <c r="F69" s="2324"/>
      <c r="G69" s="2324"/>
      <c r="H69" s="2284"/>
      <c r="I69" s="2198"/>
      <c r="J69" s="3410"/>
      <c r="K69" s="2368" t="s">
        <v>845</v>
      </c>
      <c r="L69" s="2368"/>
      <c r="M69" s="1817">
        <f ca="1">ROUND(SUM(M63:M68),0)</f>
        <v>216</v>
      </c>
      <c r="N69" s="2447">
        <f ca="1">M69/M49</f>
        <v>2.6925953627524309E-2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56" t="s">
        <v>846</v>
      </c>
      <c r="B70" s="3357"/>
      <c r="C70" s="3357"/>
      <c r="D70" s="3357"/>
      <c r="E70" s="3357"/>
      <c r="F70" s="3357"/>
      <c r="G70" s="3357"/>
      <c r="H70" s="3357"/>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54" t="s">
        <v>821</v>
      </c>
      <c r="B71" s="3355"/>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8022</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45" t="s">
        <v>856</v>
      </c>
      <c r="F76" s="3343"/>
      <c r="G76" s="3343"/>
      <c r="H76" s="3358"/>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9" t="s">
        <v>861</v>
      </c>
      <c r="F78" s="3360"/>
      <c r="G78" s="3360"/>
      <c r="H78" s="3361"/>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8022</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56" t="s">
        <v>866</v>
      </c>
      <c r="B83" s="3357"/>
      <c r="C83" s="3357"/>
      <c r="D83" s="3357"/>
      <c r="E83" s="3357"/>
      <c r="F83" s="3357"/>
      <c r="G83" s="3357"/>
      <c r="H83" s="3357"/>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54" t="s">
        <v>821</v>
      </c>
      <c r="B84" s="3355"/>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8022</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c>
      <c r="F90" s="2402"/>
      <c r="G90" s="3362" t="s">
        <v>874</v>
      </c>
      <c r="H90" s="3363"/>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9" t="s">
        <v>878</v>
      </c>
      <c r="F91" s="3360"/>
      <c r="G91" s="3360"/>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9" t="s">
        <v>881</v>
      </c>
      <c r="F92" s="3360"/>
      <c r="G92" s="3360"/>
      <c r="H92" s="3361"/>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9" t="s">
        <v>861</v>
      </c>
      <c r="F93" s="3360"/>
      <c r="G93" s="3360"/>
      <c r="H93" s="3361"/>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64" t="s">
        <v>886</v>
      </c>
      <c r="F94" s="3365"/>
      <c r="G94" s="3365"/>
      <c r="H94" s="3366"/>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8022</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05" t="s">
        <v>888</v>
      </c>
      <c r="B100" s="3306"/>
      <c r="C100" s="3306"/>
      <c r="D100" s="3367"/>
      <c r="E100" s="3306" t="s">
        <v>889</v>
      </c>
      <c r="F100" s="3306"/>
      <c r="G100" s="3306"/>
      <c r="H100" s="3367"/>
      <c r="I100" s="282"/>
    </row>
    <row r="101" spans="1:35" ht="18.75" customHeight="1">
      <c r="A101" s="3368" t="s">
        <v>890</v>
      </c>
      <c r="B101" s="3369"/>
      <c r="C101" s="2424" t="str">
        <f>C4</f>
        <v>成本法</v>
      </c>
      <c r="D101" s="2425" t="str">
        <f>D4</f>
        <v>收益法</v>
      </c>
      <c r="E101" s="3411" t="s">
        <v>891</v>
      </c>
      <c r="F101" s="3412"/>
      <c r="G101" s="2427" t="s">
        <v>892</v>
      </c>
      <c r="H101" s="2428">
        <f ca="1">H118</f>
        <v>8022</v>
      </c>
      <c r="I101" s="282"/>
    </row>
    <row r="102" spans="1:35" ht="18.75" customHeight="1">
      <c r="A102" s="3396" t="s">
        <v>893</v>
      </c>
      <c r="B102" s="2429" t="s">
        <v>892</v>
      </c>
      <c r="C102" s="2424">
        <f ca="1">C19</f>
        <v>20413</v>
      </c>
      <c r="D102" s="2425">
        <f ca="1">D19</f>
        <v>6645</v>
      </c>
      <c r="E102" s="3411"/>
      <c r="F102" s="3412"/>
      <c r="G102" s="2427" t="s">
        <v>99</v>
      </c>
      <c r="H102" s="2313">
        <f ca="1">I118</f>
        <v>4876</v>
      </c>
      <c r="I102" s="282"/>
    </row>
    <row r="103" spans="1:35" ht="42.75" customHeight="1">
      <c r="A103" s="3396"/>
      <c r="B103" s="2429" t="s">
        <v>99</v>
      </c>
      <c r="C103" s="2430">
        <f ca="1">C20</f>
        <v>12407</v>
      </c>
      <c r="D103" s="2431">
        <f ca="1">D20</f>
        <v>4039</v>
      </c>
      <c r="E103" s="3370" t="s">
        <v>894</v>
      </c>
      <c r="F103" s="3371"/>
      <c r="G103" s="2432" t="s">
        <v>102</v>
      </c>
      <c r="H103" s="2428">
        <f>IF(D36="正常操作",H104+H105+H106,H105+H106)</f>
        <v>0</v>
      </c>
      <c r="I103" s="282"/>
    </row>
    <row r="104" spans="1:35" ht="18.75" customHeight="1">
      <c r="A104" s="3396" t="s">
        <v>895</v>
      </c>
      <c r="B104" s="2433" t="s">
        <v>892</v>
      </c>
      <c r="C104" s="2434">
        <f ca="1">H118</f>
        <v>8022</v>
      </c>
      <c r="D104" s="2435"/>
      <c r="E104" s="2269" t="s">
        <v>896</v>
      </c>
      <c r="F104" s="2436"/>
      <c r="G104" s="2432" t="s">
        <v>102</v>
      </c>
      <c r="H104" s="2437">
        <f>IF(D36="同一抵押权人同一抵押物续贷",C36&amp;"（续贷，未扣减，详见特别提示）",C36)</f>
        <v>0</v>
      </c>
      <c r="I104" s="282"/>
    </row>
    <row r="105" spans="1:35" ht="18.75" customHeight="1">
      <c r="A105" s="3397"/>
      <c r="B105" s="2438" t="s">
        <v>99</v>
      </c>
      <c r="C105" s="2439">
        <f ca="1">I118</f>
        <v>4876</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413" t="str">
        <f>IF(项目基本情况!E8="已注销","——","3.房地产抵押价值")</f>
        <v>3.房地产抵押价值</v>
      </c>
      <c r="F107" s="3412"/>
      <c r="G107" s="2427" t="s">
        <v>892</v>
      </c>
      <c r="H107" s="2428">
        <f ca="1">IF(E107="——","——",H101-H103)</f>
        <v>8022</v>
      </c>
      <c r="I107" s="282"/>
    </row>
    <row r="108" spans="1:35" ht="18.75" customHeight="1">
      <c r="A108" s="282"/>
      <c r="B108" s="282"/>
      <c r="C108" s="282"/>
      <c r="D108" s="282"/>
      <c r="E108" s="3413"/>
      <c r="F108" s="3412"/>
      <c r="G108" s="2427" t="s">
        <v>99</v>
      </c>
      <c r="H108" s="2313">
        <f ca="1">ROUND(H107*10000/'数据-汇总表'!E3,0)</f>
        <v>4876</v>
      </c>
      <c r="I108" s="282"/>
    </row>
    <row r="109" spans="1:35" ht="18.75" customHeight="1">
      <c r="A109" s="282"/>
      <c r="B109" s="282"/>
      <c r="C109" s="282"/>
      <c r="D109" s="282"/>
      <c r="E109" s="3413" t="str">
        <f>IF(项目基本情况!E8="已注销及未注销","4.抵押担保权已注销时的房地产抵押价值",IF(项目基本情况!E8="已注销","3.抵押担保权已注销时的房地产抵押价值","——"))</f>
        <v>——</v>
      </c>
      <c r="F109" s="3412"/>
      <c r="G109" s="2427" t="s">
        <v>892</v>
      </c>
      <c r="H109" s="2443" t="str">
        <f>IF(E109="——","——",H101-H105-H106)</f>
        <v>——</v>
      </c>
      <c r="I109" s="282"/>
    </row>
    <row r="110" spans="1:35" ht="18.75" customHeight="1">
      <c r="A110" s="282"/>
      <c r="B110" s="282"/>
      <c r="C110" s="282"/>
      <c r="D110" s="282"/>
      <c r="E110" s="3413"/>
      <c r="F110" s="3412"/>
      <c r="G110" s="2427" t="s">
        <v>99</v>
      </c>
      <c r="H110" s="2313" t="str">
        <f>IF(H109="——","——",ROUND(H109*10000/'数据-汇总表'!E3,0))</f>
        <v>——</v>
      </c>
      <c r="I110" s="282"/>
    </row>
    <row r="111" spans="1:35" ht="18.75" customHeight="1">
      <c r="A111" s="282"/>
      <c r="B111" s="282"/>
      <c r="C111" s="282"/>
      <c r="D111" s="282"/>
      <c r="E111" s="3414" t="str">
        <f>IF(项目基本情况!E9="抵押净值",IF(OR(项目基本情况!E8="已注销",项目基本情况!E8="房地产抵押价值"),"4.抵押净值","5.抵押净值"),"——")</f>
        <v>——</v>
      </c>
      <c r="F111" s="3389"/>
      <c r="G111" s="2427" t="s">
        <v>892</v>
      </c>
      <c r="H111" s="2428" t="str">
        <f>IF(E111="——","——",N59)</f>
        <v>——</v>
      </c>
      <c r="I111" s="282"/>
    </row>
    <row r="112" spans="1:35" ht="18.75" customHeight="1">
      <c r="A112" s="282"/>
      <c r="B112" s="282"/>
      <c r="C112" s="282"/>
      <c r="D112" s="282"/>
      <c r="E112" s="3415"/>
      <c r="F112" s="3416"/>
      <c r="G112" s="2444" t="s">
        <v>99</v>
      </c>
      <c r="H112" s="2445" t="str">
        <f>IF(E111="——","——",N61)</f>
        <v>——</v>
      </c>
      <c r="I112" s="282"/>
    </row>
    <row r="113" spans="1:27" ht="18.75" customHeight="1">
      <c r="A113" s="282"/>
      <c r="B113" s="282"/>
      <c r="C113" s="282"/>
      <c r="D113" s="282"/>
      <c r="E113" s="3372" t="s">
        <v>898</v>
      </c>
      <c r="F113" s="3372"/>
      <c r="G113" s="3372"/>
      <c r="H113" s="3372"/>
      <c r="I113" s="282"/>
    </row>
    <row r="114" spans="1:27" ht="3.75" customHeight="1">
      <c r="A114" s="2198"/>
      <c r="B114" s="2198"/>
      <c r="C114" s="2198"/>
      <c r="D114" s="2198"/>
      <c r="E114" s="2323"/>
      <c r="F114" s="2323"/>
      <c r="G114" s="2323"/>
      <c r="H114" s="2323"/>
      <c r="I114" s="2198"/>
    </row>
    <row r="115" spans="1:27" ht="18.75" customHeight="1">
      <c r="A115" s="3373" t="s">
        <v>900</v>
      </c>
      <c r="B115" s="3374"/>
      <c r="C115" s="3374"/>
      <c r="D115" s="3374"/>
      <c r="E115" s="3374"/>
      <c r="F115" s="3374"/>
      <c r="G115" s="3374"/>
      <c r="H115" s="3374"/>
      <c r="I115" s="3375"/>
    </row>
    <row r="116" spans="1:27" ht="27" customHeight="1">
      <c r="A116" s="3379" t="s">
        <v>901</v>
      </c>
      <c r="B116" s="3399" t="s">
        <v>902</v>
      </c>
      <c r="C116" s="3399" t="s">
        <v>903</v>
      </c>
      <c r="D116" s="3376" t="s">
        <v>904</v>
      </c>
      <c r="E116" s="3377"/>
      <c r="F116" s="3378" t="s">
        <v>905</v>
      </c>
      <c r="G116" s="3378"/>
      <c r="H116" s="3379" t="s">
        <v>906</v>
      </c>
      <c r="I116" s="3379"/>
    </row>
    <row r="117" spans="1:27" ht="18.75" customHeight="1">
      <c r="A117" s="3379"/>
      <c r="B117" s="3400"/>
      <c r="C117" s="3400"/>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16452.330000000002</v>
      </c>
      <c r="C118" s="2208">
        <f>M19</f>
        <v>0</v>
      </c>
      <c r="D118" s="2208">
        <f ca="1">ROUND(IF(D32="总价",C34,E118*B118/10000),0)</f>
        <v>5559</v>
      </c>
      <c r="E118" s="2208">
        <f ca="1">ROUND(IF(C33="自定义",IF(D32="楼面单价",C34,D118*10000/B118),I118-G118),0)</f>
        <v>3379</v>
      </c>
      <c r="F118" s="2208">
        <f ca="1">ROUND(IF(D32="总价",C35,G118*B118/10000),0)</f>
        <v>2463</v>
      </c>
      <c r="G118" s="2208">
        <f ca="1">ROUND(IF(D32="楼面单价",C35,F118*10000/B118),0)</f>
        <v>1497</v>
      </c>
      <c r="H118" s="2208">
        <f ca="1">ROUND(IF(D32="总价",C32,I118*B118/10000),0)</f>
        <v>8022</v>
      </c>
      <c r="I118" s="2208">
        <f ca="1">ROUND(IF(D32="楼面单价",C32,H118*10000/B118),0)</f>
        <v>4876</v>
      </c>
    </row>
    <row r="119" spans="1:27" ht="18.75" customHeight="1">
      <c r="A119" s="3379" t="s">
        <v>908</v>
      </c>
      <c r="B119" s="3379"/>
      <c r="C119" s="3379"/>
      <c r="D119" s="3380" t="str">
        <f ca="1">NUMBERSTRING(INT(D118*10000),2)&amp;"元整"</f>
        <v>伍仟伍佰伍拾玖万元整</v>
      </c>
      <c r="E119" s="3381"/>
      <c r="F119" s="3380" t="str">
        <f ca="1">NUMBERSTRING(INT(F118*10000),2)&amp;"元整"</f>
        <v>贰仟肆佰陆拾叁万元整</v>
      </c>
      <c r="G119" s="3381"/>
      <c r="H119" s="3380" t="str">
        <f ca="1">NUMBERSTRING(INT(H118*10000),2)&amp;"元整"</f>
        <v>捌仟零贰拾贰万元整</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85" t="s">
        <v>908</v>
      </c>
      <c r="B121" s="3386"/>
      <c r="C121" s="3387"/>
      <c r="D121" s="3380" t="str">
        <f>IF(D120=0,"零元整",NUMBERSTRING(INT(D120*10000),2)&amp;"元整")</f>
        <v>零元整</v>
      </c>
      <c r="E121" s="3388"/>
      <c r="F121" s="3388"/>
      <c r="G121" s="3388"/>
      <c r="H121" s="3388"/>
      <c r="I121" s="3381"/>
      <c r="AA121" s="239"/>
    </row>
    <row r="122" spans="1:27" ht="18.75" customHeight="1">
      <c r="A122" s="3389" t="str">
        <f>IF(项目基本情况!B9="房地产市场价值","",MID(E107,3,LEN(E107)-2))</f>
        <v>房地产抵押价值</v>
      </c>
      <c r="B122" s="3389"/>
      <c r="C122" s="3389"/>
      <c r="D122" s="3382">
        <f ca="1">H107</f>
        <v>8022</v>
      </c>
      <c r="E122" s="3383"/>
      <c r="F122" s="3383"/>
      <c r="G122" s="3383"/>
      <c r="H122" s="3383"/>
      <c r="I122" s="3384"/>
      <c r="AA122" s="239"/>
    </row>
    <row r="123" spans="1:27" ht="18.75" customHeight="1">
      <c r="A123" s="3379" t="s">
        <v>908</v>
      </c>
      <c r="B123" s="3379"/>
      <c r="C123" s="3379"/>
      <c r="D123" s="3380" t="str">
        <f ca="1">NUMBERSTRING(INT(D122*10000),2)&amp;"元整"</f>
        <v>捌仟零贰拾贰万元整</v>
      </c>
      <c r="E123" s="3388"/>
      <c r="F123" s="3388"/>
      <c r="G123" s="3388"/>
      <c r="H123" s="3388"/>
      <c r="I123" s="3381"/>
      <c r="AA123" s="239"/>
    </row>
    <row r="124" spans="1:27" ht="18.75" customHeight="1">
      <c r="A124" s="3389" t="str">
        <f>IF(项目基本情况!B9="房地产市场价值","",MID(E109,3,LEN(E109)-2))</f>
        <v/>
      </c>
      <c r="B124" s="3389"/>
      <c r="C124" s="3389"/>
      <c r="D124" s="3382" t="str">
        <f>H109</f>
        <v>——</v>
      </c>
      <c r="E124" s="3383"/>
      <c r="F124" s="3383"/>
      <c r="G124" s="3383"/>
      <c r="H124" s="3383"/>
      <c r="I124" s="3384"/>
      <c r="AA124" s="239"/>
    </row>
    <row r="125" spans="1:27" ht="18.75" customHeight="1">
      <c r="A125" s="3379" t="s">
        <v>908</v>
      </c>
      <c r="B125" s="3379"/>
      <c r="C125" s="3379"/>
      <c r="D125" s="3380" t="e">
        <f>NUMBERSTRING(INT(D124*10000),2)&amp;"元整"</f>
        <v>#VALUE!</v>
      </c>
      <c r="E125" s="3388"/>
      <c r="F125" s="3388"/>
      <c r="G125" s="3388"/>
      <c r="H125" s="3388"/>
      <c r="I125" s="3381"/>
      <c r="AA125" s="239"/>
    </row>
    <row r="126" spans="1:27" ht="18.75" customHeight="1">
      <c r="A126" s="3389" t="str">
        <f>IF(项目基本情况!B9="房地产市场价值","",MID(E111,3,LEN(E111)-2))</f>
        <v/>
      </c>
      <c r="B126" s="3389"/>
      <c r="C126" s="3389"/>
      <c r="D126" s="3382" t="str">
        <f>H111</f>
        <v>——</v>
      </c>
      <c r="E126" s="3383"/>
      <c r="F126" s="3383"/>
      <c r="G126" s="3383"/>
      <c r="H126" s="3383"/>
      <c r="I126" s="3384"/>
      <c r="AA126" s="239"/>
    </row>
    <row r="127" spans="1:27" ht="18.75" customHeight="1">
      <c r="A127" s="3379" t="s">
        <v>908</v>
      </c>
      <c r="B127" s="3379"/>
      <c r="C127" s="3379"/>
      <c r="D127" s="3380" t="e">
        <f>NUMBERSTRING(INT(D126*10000),2)&amp;"元整"</f>
        <v>#VALUE!</v>
      </c>
      <c r="E127" s="3388"/>
      <c r="F127" s="3388"/>
      <c r="G127" s="3388"/>
      <c r="H127" s="3388"/>
      <c r="I127" s="3381"/>
      <c r="AA127" s="239"/>
    </row>
    <row r="128" spans="1:27" ht="21.75" customHeight="1">
      <c r="A128" s="3390" t="s">
        <v>113</v>
      </c>
      <c r="B128" s="3390"/>
      <c r="C128" s="3390"/>
      <c r="D128" s="3390"/>
      <c r="E128" s="3390"/>
      <c r="F128" s="3390"/>
      <c r="G128" s="3390"/>
      <c r="H128" s="3390"/>
      <c r="I128" s="3390"/>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I27" sqref="I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20413</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12407</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12564</v>
      </c>
      <c r="D5" s="160" t="s">
        <v>924</v>
      </c>
      <c r="E5" s="161" t="s">
        <v>925</v>
      </c>
      <c r="F5" s="161" t="s">
        <v>822</v>
      </c>
      <c r="G5" s="162"/>
    </row>
    <row r="6" spans="1:9" s="140" customFormat="1" ht="13.5" customHeight="1">
      <c r="A6" s="163" t="s">
        <v>926</v>
      </c>
      <c r="B6" s="164" t="s">
        <v>927</v>
      </c>
      <c r="C6" s="165">
        <f>[2]基准地价修正!$E$33-[2]基准地价修正!$E$34</f>
        <v>12564</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16452.330000000002</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16452.330000000002</v>
      </c>
      <c r="E19" s="160">
        <f>'数据-取费表'!B31</f>
        <v>200</v>
      </c>
      <c r="F19" s="185"/>
      <c r="G19" s="2181" t="s">
        <v>956</v>
      </c>
    </row>
    <row r="20" spans="1:8" s="140" customFormat="1" ht="13.5" customHeight="1">
      <c r="A20" s="158" t="s">
        <v>957</v>
      </c>
      <c r="B20" s="159" t="s">
        <v>958</v>
      </c>
      <c r="C20" s="186">
        <f>ROUND((C5+C19)*F20,0)</f>
        <v>251</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956</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947</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9</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384</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384</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14155</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6461</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5758</v>
      </c>
      <c r="D34" s="166"/>
      <c r="E34" s="169"/>
      <c r="F34" s="215">
        <f ca="1">IF('数据-取费表'!B24=0,1,IF(B1="",'数据-取费表'!N16,INDIRECT("'数据-取费表'!n"&amp;$G$1)))</f>
        <v>1</v>
      </c>
      <c r="G34" s="168" t="s">
        <v>987</v>
      </c>
    </row>
    <row r="35" spans="1:8" ht="13.5" customHeight="1">
      <c r="A35" s="194" t="s">
        <v>928</v>
      </c>
      <c r="B35" s="164" t="s">
        <v>988</v>
      </c>
      <c r="C35" s="169">
        <f ca="1">ROUND(C34*F35,0)</f>
        <v>173</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115</v>
      </c>
      <c r="D36" s="169"/>
      <c r="E36" s="169"/>
      <c r="F36" s="216">
        <f>'数据-取费表'!B34</f>
        <v>0.02</v>
      </c>
      <c r="G36" s="217" t="s">
        <v>991</v>
      </c>
    </row>
    <row r="37" spans="1:8" s="142" customFormat="1" ht="13.5" customHeight="1">
      <c r="A37" s="194" t="s">
        <v>972</v>
      </c>
      <c r="B37" s="164" t="s">
        <v>992</v>
      </c>
      <c r="C37" s="207">
        <f ca="1">ROUND(E37*D37*F34/10000,0)</f>
        <v>329</v>
      </c>
      <c r="D37" s="166">
        <f ca="1">D19</f>
        <v>16452.330000000002</v>
      </c>
      <c r="E37" s="207">
        <f>'数据-取费表'!B35</f>
        <v>200</v>
      </c>
      <c r="F37" s="216"/>
      <c r="G37" s="218" t="s">
        <v>993</v>
      </c>
    </row>
    <row r="38" spans="1:8" ht="13.5" customHeight="1">
      <c r="A38" s="194" t="s">
        <v>994</v>
      </c>
      <c r="B38" s="164" t="s">
        <v>858</v>
      </c>
      <c r="C38" s="169">
        <f ca="1">ROUND(C34*F38,0)</f>
        <v>86</v>
      </c>
      <c r="D38" s="169"/>
      <c r="E38" s="169"/>
      <c r="F38" s="216">
        <f>'数据-取费表'!B36</f>
        <v>1.4999999999999999E-2</v>
      </c>
      <c r="G38" s="168" t="s">
        <v>989</v>
      </c>
    </row>
    <row r="39" spans="1:8" s="140" customFormat="1" ht="13.5" customHeight="1">
      <c r="A39" s="158" t="s">
        <v>954</v>
      </c>
      <c r="B39" s="159" t="s">
        <v>958</v>
      </c>
      <c r="C39" s="186">
        <f ca="1">ROUND(C33*F20,0)</f>
        <v>129</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244</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239</v>
      </c>
      <c r="D42" s="196"/>
      <c r="E42" s="196"/>
      <c r="F42" s="197"/>
      <c r="G42" s="3417" t="s">
        <v>998</v>
      </c>
    </row>
    <row r="43" spans="1:8" ht="13.5" customHeight="1">
      <c r="A43" s="194" t="s">
        <v>928</v>
      </c>
      <c r="B43" s="164" t="s">
        <v>968</v>
      </c>
      <c r="C43" s="196">
        <f ca="1">ROUND(IF('数据-取费表'!B22&lt;=1,C39*F22*'数据-取费表'!B21/2,C39*(POWER((1+F22),'数据-取费表'!B21/2)-1)),0)</f>
        <v>5</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0.38037165556489561</v>
      </c>
    </row>
    <row r="45" spans="1:8" s="140" customFormat="1" ht="13.5" customHeight="1">
      <c r="A45" s="158" t="s">
        <v>964</v>
      </c>
      <c r="B45" s="202" t="s">
        <v>975</v>
      </c>
      <c r="C45" s="203">
        <f ca="1">C46</f>
        <v>198</v>
      </c>
      <c r="D45" s="189">
        <f ca="1">C47</f>
        <v>0</v>
      </c>
      <c r="E45" s="190" t="s">
        <v>996</v>
      </c>
      <c r="F45" s="2187">
        <f ca="1">F27</f>
        <v>0.03</v>
      </c>
      <c r="G45" s="205" t="s">
        <v>999</v>
      </c>
    </row>
    <row r="46" spans="1:8" s="140" customFormat="1" ht="13.5" customHeight="1">
      <c r="A46" s="194" t="s">
        <v>926</v>
      </c>
      <c r="B46" s="206" t="s">
        <v>1000</v>
      </c>
      <c r="C46" s="207">
        <f ca="1">ROUND((C33+C39)*F27,0)</f>
        <v>198</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7032</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6258</v>
      </c>
      <c r="D51" s="186"/>
      <c r="E51" s="186"/>
      <c r="F51" s="221"/>
      <c r="G51" s="191" t="s">
        <v>1010</v>
      </c>
    </row>
    <row r="52" spans="1:7" s="139" customFormat="1" ht="15.75">
      <c r="A52" s="222" t="s">
        <v>1011</v>
      </c>
      <c r="B52" s="223"/>
      <c r="C52" s="224">
        <f ca="1">C31+C51</f>
        <v>20413</v>
      </c>
      <c r="D52" s="223"/>
      <c r="E52" s="223"/>
      <c r="F52" s="223"/>
      <c r="G52" s="225"/>
    </row>
    <row r="55" spans="1:7" ht="15">
      <c r="B55" s="226" t="s">
        <v>1012</v>
      </c>
      <c r="C55" s="227"/>
    </row>
    <row r="56" spans="1:7">
      <c r="B56" s="228" t="s">
        <v>1013</v>
      </c>
      <c r="C56" s="230">
        <f ca="1">1-C57</f>
        <v>0.69300000000000006</v>
      </c>
    </row>
    <row r="57" spans="1:7">
      <c r="B57" s="228" t="s">
        <v>1014</v>
      </c>
      <c r="C57" s="229">
        <f ca="1">ROUND(C51/C52,3)</f>
        <v>0.307</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6630</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4030</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3290466</v>
      </c>
      <c r="D19" s="184">
        <f ca="1">D9+D10</f>
        <v>16452.330000000002</v>
      </c>
      <c r="E19" s="160">
        <f>'数据-取费表'!B31</f>
        <v>200</v>
      </c>
      <c r="F19" s="185"/>
      <c r="G19" s="2181"/>
    </row>
    <row r="20" spans="1:7" s="140" customFormat="1" ht="13.5" customHeight="1">
      <c r="A20" s="158" t="s">
        <v>957</v>
      </c>
      <c r="B20" s="159" t="s">
        <v>958</v>
      </c>
      <c r="C20" s="186">
        <f ca="1">ROUND((C5+C19)*F20,0)</f>
        <v>65809</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250434</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247999</v>
      </c>
      <c r="D24" s="196"/>
      <c r="E24" s="196"/>
      <c r="F24" s="197"/>
      <c r="G24" s="198" t="s">
        <v>969</v>
      </c>
    </row>
    <row r="25" spans="1:7" s="140" customFormat="1" ht="24">
      <c r="A25" s="194" t="s">
        <v>930</v>
      </c>
      <c r="B25" s="164" t="s">
        <v>970</v>
      </c>
      <c r="C25" s="2183">
        <f ca="1">ROUND(IF('数据-取费表'!B22&lt;=1,C20*F22*'数据-取费表'!B22/2,C20*(POWER((1+F22),'数据-取费表'!B22/2)-1)),0)</f>
        <v>2435</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100688</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100688</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3707397</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64616526</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57583155</v>
      </c>
      <c r="D34" s="166"/>
      <c r="E34" s="169"/>
      <c r="F34" s="215"/>
      <c r="G34" s="168"/>
    </row>
    <row r="35" spans="1:7" ht="13.5" customHeight="1">
      <c r="A35" s="194" t="s">
        <v>928</v>
      </c>
      <c r="B35" s="164" t="s">
        <v>988</v>
      </c>
      <c r="C35" s="169">
        <f ca="1">ROUND(C34*F35,0)</f>
        <v>1727495</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1151663</v>
      </c>
      <c r="D36" s="169"/>
      <c r="E36" s="169"/>
      <c r="F36" s="216">
        <f>'数据-取费表'!B34</f>
        <v>0.02</v>
      </c>
      <c r="G36" s="217" t="s">
        <v>991</v>
      </c>
    </row>
    <row r="37" spans="1:7" s="142" customFormat="1" ht="13.5" customHeight="1">
      <c r="A37" s="194" t="s">
        <v>972</v>
      </c>
      <c r="B37" s="164" t="s">
        <v>992</v>
      </c>
      <c r="C37" s="207">
        <f ca="1">ROUND(E37*D37,0)</f>
        <v>3290466</v>
      </c>
      <c r="D37" s="166">
        <f ca="1">D19</f>
        <v>16452.330000000002</v>
      </c>
      <c r="E37" s="207">
        <f>'数据-取费表'!B35</f>
        <v>200</v>
      </c>
      <c r="F37" s="216"/>
      <c r="G37" s="218"/>
    </row>
    <row r="38" spans="1:7" ht="13.5" customHeight="1">
      <c r="A38" s="194" t="s">
        <v>994</v>
      </c>
      <c r="B38" s="164" t="s">
        <v>858</v>
      </c>
      <c r="C38" s="169">
        <f ca="1">ROUND(C34*F38,0)</f>
        <v>863747</v>
      </c>
      <c r="D38" s="169"/>
      <c r="E38" s="169"/>
      <c r="F38" s="216">
        <f>'数据-取费表'!B36</f>
        <v>1.4999999999999999E-2</v>
      </c>
      <c r="G38" s="168" t="s">
        <v>989</v>
      </c>
    </row>
    <row r="39" spans="1:7" s="140" customFormat="1" ht="13.5" customHeight="1">
      <c r="A39" s="158" t="s">
        <v>954</v>
      </c>
      <c r="B39" s="159" t="s">
        <v>958</v>
      </c>
      <c r="C39" s="186">
        <f ca="1">ROUND(C33*F20,0)</f>
        <v>1292331</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2438627</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2390811</v>
      </c>
      <c r="D42" s="196"/>
      <c r="E42" s="196"/>
      <c r="F42" s="197"/>
      <c r="G42" s="3417" t="s">
        <v>1018</v>
      </c>
    </row>
    <row r="43" spans="1:7" ht="13.5" customHeight="1">
      <c r="A43" s="194" t="s">
        <v>928</v>
      </c>
      <c r="B43" s="164" t="s">
        <v>968</v>
      </c>
      <c r="C43" s="196">
        <f ca="1">ROUND(IF('数据-取费表'!B22&lt;=1,C39*F22*'数据-取费表'!B20/2,C39*(POWER((1+F22),'数据-取费表'!B20/2)-1)),0)</f>
        <v>47816</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1977266</v>
      </c>
      <c r="D45" s="189">
        <f ca="1">C47</f>
        <v>0</v>
      </c>
      <c r="E45" s="190" t="s">
        <v>996</v>
      </c>
      <c r="F45" s="2187">
        <f ca="1">F27</f>
        <v>0.03</v>
      </c>
      <c r="G45" s="205" t="s">
        <v>999</v>
      </c>
    </row>
    <row r="46" spans="1:7" s="140" customFormat="1" ht="13.5" customHeight="1">
      <c r="A46" s="194" t="s">
        <v>926</v>
      </c>
      <c r="B46" s="206" t="s">
        <v>1000</v>
      </c>
      <c r="C46" s="207">
        <f ca="1">ROUND((C33+C39)*F27,0)</f>
        <v>1977266</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70324750</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62589028</v>
      </c>
      <c r="D51" s="186"/>
      <c r="E51" s="186"/>
      <c r="F51" s="221"/>
      <c r="G51" s="191" t="s">
        <v>1010</v>
      </c>
    </row>
    <row r="52" spans="1:7" s="139" customFormat="1" ht="15.75">
      <c r="A52" s="222" t="s">
        <v>1011</v>
      </c>
      <c r="B52" s="223"/>
      <c r="C52" s="224">
        <f ca="1">C31+C51</f>
        <v>66296425</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16452.330000000002</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16452.330000000002</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16452.330000000002</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90" zoomScaleNormal="70" workbookViewId="0">
      <selection activeCell="F13" sqref="F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6645</v>
      </c>
      <c r="C2" s="1795" t="s">
        <v>1080</v>
      </c>
      <c r="D2" s="1795"/>
      <c r="E2" s="1797"/>
      <c r="F2" s="1798"/>
      <c r="G2" s="1799"/>
      <c r="H2" s="1800"/>
      <c r="I2" s="1800"/>
      <c r="J2" s="1800"/>
      <c r="K2" s="1958"/>
      <c r="L2" s="1800"/>
      <c r="M2" s="1800"/>
    </row>
    <row r="3" spans="1:37" ht="18" customHeight="1">
      <c r="A3" s="1801" t="s">
        <v>1081</v>
      </c>
      <c r="B3" s="1802">
        <f ca="1">IF(ISERROR(B2*10000/F43),0,ROUND(B2*10000/F43,0))</f>
        <v>4039</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335</v>
      </c>
      <c r="D5" s="1811" t="s">
        <v>1090</v>
      </c>
      <c r="E5" s="1812"/>
      <c r="F5" s="1813"/>
      <c r="G5" s="773"/>
      <c r="H5" s="1808">
        <v>1</v>
      </c>
      <c r="I5" s="1809" t="s">
        <v>1089</v>
      </c>
      <c r="J5" s="1810">
        <f ca="1">J6+J10+J12</f>
        <v>317</v>
      </c>
      <c r="K5" s="1811" t="s">
        <v>1090</v>
      </c>
      <c r="L5" s="1812"/>
      <c r="M5" s="1813"/>
    </row>
    <row r="6" spans="1:37" ht="18" customHeight="1">
      <c r="A6" s="1814" t="s">
        <v>827</v>
      </c>
      <c r="B6" s="3422" t="s">
        <v>1091</v>
      </c>
      <c r="C6" s="1815">
        <f ca="1">ROUND(F6*F8*F7*(1-F9)/10000,0)</f>
        <v>334</v>
      </c>
      <c r="D6" s="1816" t="s">
        <v>1092</v>
      </c>
      <c r="E6" s="1817" t="s">
        <v>1093</v>
      </c>
      <c r="F6" s="1818">
        <f ca="1">INDIRECT("'数据-取费表'!u"&amp;$G$1)</f>
        <v>16.899999999999999</v>
      </c>
      <c r="G6" s="773"/>
      <c r="H6" s="1814" t="s">
        <v>827</v>
      </c>
      <c r="I6" s="3422" t="s">
        <v>1091</v>
      </c>
      <c r="J6" s="1889">
        <f ca="1">ROUND(M6*M8*M7*(1-M9)/10000,0)</f>
        <v>317</v>
      </c>
      <c r="K6" s="1816" t="s">
        <v>1094</v>
      </c>
      <c r="L6" s="1817" t="s">
        <v>1093</v>
      </c>
      <c r="M6" s="1818">
        <f ca="1">INDIRECT("'数据-取费表'!z"&amp;$G$1)</f>
        <v>16.899999999999999</v>
      </c>
    </row>
    <row r="7" spans="1:37" ht="18" customHeight="1">
      <c r="A7" s="1819"/>
      <c r="B7" s="3423"/>
      <c r="C7" s="1820"/>
      <c r="D7" s="1821"/>
      <c r="E7" s="1822" t="s">
        <v>1095</v>
      </c>
      <c r="F7" s="1818">
        <f ca="1">IF(INDIRECT("'数据-取费表'!ah"&amp;$G$1)="",INDIRECT("'数据-取费表'!k"&amp;$G$1),INDIRECT("'数据-取费表'!ah"&amp;$G$1))</f>
        <v>16452.330000000002</v>
      </c>
      <c r="G7" s="773"/>
      <c r="H7" s="1823"/>
      <c r="I7" s="3423"/>
      <c r="J7" s="1824"/>
      <c r="K7" s="1821"/>
      <c r="L7" s="1817" t="s">
        <v>1095</v>
      </c>
      <c r="M7" s="1818">
        <f ca="1">F7</f>
        <v>16452.330000000002</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v>
      </c>
      <c r="G9" s="773"/>
      <c r="H9" s="1823"/>
      <c r="I9" s="3424"/>
      <c r="J9" s="1824"/>
      <c r="K9" s="1821"/>
      <c r="L9" s="1828" t="s">
        <v>1097</v>
      </c>
      <c r="M9" s="2074">
        <f ca="1">INDIRECT("'数据-取费表'!ab"&amp;$G$1)</f>
        <v>0.05</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6258</v>
      </c>
      <c r="D13" s="1844" t="s">
        <v>1107</v>
      </c>
      <c r="E13" s="1844" t="s">
        <v>1108</v>
      </c>
      <c r="F13" s="1845">
        <f ca="1">INDIRECT("'数据-取费表'!y"&amp;$G$1)</f>
        <v>0.89</v>
      </c>
      <c r="G13" s="773"/>
      <c r="H13" s="1841">
        <v>2</v>
      </c>
      <c r="I13" s="1842" t="s">
        <v>1106</v>
      </c>
      <c r="J13" s="1967">
        <f ca="1">ROUND(J14*J15,0)</f>
        <v>5977</v>
      </c>
      <c r="K13" s="1867" t="s">
        <v>1107</v>
      </c>
      <c r="L13" s="1968"/>
      <c r="M13" s="1969"/>
    </row>
    <row r="14" spans="1:37" ht="18" customHeight="1">
      <c r="A14" s="1846" t="s">
        <v>850</v>
      </c>
      <c r="B14" s="1817" t="s">
        <v>1109</v>
      </c>
      <c r="C14" s="1847">
        <f ca="1">INDIRECT("'数据-取费表'!m"&amp;$G$1)+INDIRECT("'数据-取费表'!t"&amp;$G$1)</f>
        <v>5758</v>
      </c>
      <c r="D14" s="1848" t="s">
        <v>1110</v>
      </c>
      <c r="E14" s="1849"/>
      <c r="F14" s="1850"/>
      <c r="G14" s="773"/>
      <c r="H14" s="1846" t="s">
        <v>827</v>
      </c>
      <c r="I14" s="1817" t="s">
        <v>1111</v>
      </c>
      <c r="J14" s="293">
        <f ca="1">C29</f>
        <v>7032</v>
      </c>
      <c r="K14" s="1970"/>
      <c r="L14" s="1971"/>
      <c r="M14" s="1972"/>
    </row>
    <row r="15" spans="1:37" s="1785" customFormat="1" ht="18" customHeight="1">
      <c r="A15" s="1846" t="s">
        <v>854</v>
      </c>
      <c r="B15" s="1817" t="s">
        <v>1038</v>
      </c>
      <c r="C15" s="293">
        <f ca="1">ROUND(C14*F15,0)</f>
        <v>173</v>
      </c>
      <c r="D15" s="1851" t="s">
        <v>1112</v>
      </c>
      <c r="E15" s="1851" t="s">
        <v>1113</v>
      </c>
      <c r="F15" s="1852">
        <f>'数据-取费表'!B33</f>
        <v>0.03</v>
      </c>
      <c r="G15" s="1853"/>
      <c r="H15" s="1854" t="s">
        <v>831</v>
      </c>
      <c r="I15" s="1839" t="s">
        <v>1108</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115</v>
      </c>
      <c r="D16" s="1817" t="s">
        <v>1112</v>
      </c>
      <c r="E16" s="1817" t="s">
        <v>1113</v>
      </c>
      <c r="F16" s="1855">
        <f ca="1">IF(INDIRECT("'数据-取费表'!c"&amp;$G$1)="住宅",'数据-取费表'!B34,0)</f>
        <v>0.02</v>
      </c>
      <c r="G16" s="773"/>
      <c r="H16" s="1841" t="s">
        <v>1114</v>
      </c>
      <c r="I16" s="1842" t="s">
        <v>1115</v>
      </c>
      <c r="J16" s="1843">
        <f ca="1">ROUND(J17+J22+J23+J24,0)</f>
        <v>84</v>
      </c>
      <c r="K16" s="1867" t="s">
        <v>1116</v>
      </c>
      <c r="L16" s="1868"/>
      <c r="M16" s="1813"/>
    </row>
    <row r="17" spans="1:37" s="1785" customFormat="1" ht="18" customHeight="1">
      <c r="A17" s="1846" t="s">
        <v>1117</v>
      </c>
      <c r="B17" s="1817" t="s">
        <v>1118</v>
      </c>
      <c r="C17" s="293">
        <f ca="1">ROUND(F17*(F43+INDIRECT("'数据-取费表'!S"&amp;$G$1))/10000,0)</f>
        <v>329</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86</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6461</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129</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70.3</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244</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9</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4.8</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233</v>
      </c>
      <c r="K25" s="1886" t="s">
        <v>1154</v>
      </c>
      <c r="L25" s="1887"/>
      <c r="M25" s="1888"/>
    </row>
    <row r="26" spans="1:37">
      <c r="A26" s="1846" t="s">
        <v>850</v>
      </c>
      <c r="B26" s="1817" t="s">
        <v>1155</v>
      </c>
      <c r="C26" s="293">
        <f ca="1">ROUND((C19+C20)*F26,0)</f>
        <v>198</v>
      </c>
      <c r="D26" s="1858" t="s">
        <v>1156</v>
      </c>
      <c r="E26" s="1828" t="s">
        <v>1157</v>
      </c>
      <c r="F26" s="1825">
        <f ca="1">INDIRECT("'数据-取费表'!q"&amp;$G$1)</f>
        <v>0.03</v>
      </c>
      <c r="G26" s="773"/>
      <c r="H26" s="1808" t="s">
        <v>1158</v>
      </c>
      <c r="I26" s="1809" t="s">
        <v>1159</v>
      </c>
      <c r="J26" s="1889">
        <f ca="1">IF(J5&lt;&gt;0,ROUND(J25*(1-((1+M28)/(1+M26))^M27)/(M26-M28),0),0)</f>
        <v>6714</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68.599999999999994</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1.4999999999999999E-2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7032</v>
      </c>
      <c r="D29" s="1864"/>
      <c r="E29" s="1839"/>
      <c r="F29" s="1865"/>
      <c r="G29" s="1853"/>
      <c r="H29" s="1866" t="s">
        <v>1170</v>
      </c>
      <c r="I29" s="1896" t="s">
        <v>1171</v>
      </c>
      <c r="J29" s="1897">
        <f ca="1">ROUND(J26/(1+F40)^F41,0)</f>
        <v>6313</v>
      </c>
      <c r="K29" s="1898" t="s">
        <v>1172</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85</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4.305367892166843</v>
      </c>
      <c r="I35" s="1977"/>
      <c r="J35" s="1978"/>
      <c r="K35" s="1982"/>
      <c r="L35" s="1875"/>
      <c r="M35" s="1875"/>
    </row>
    <row r="36" spans="1:18" ht="18" customHeight="1">
      <c r="A36" s="1882" t="s">
        <v>831</v>
      </c>
      <c r="B36" s="1817" t="s">
        <v>1141</v>
      </c>
      <c r="C36" s="293">
        <f ca="1">ROUND(C29*F36,1)</f>
        <v>70.3</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9.4</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5</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250</v>
      </c>
      <c r="D39" s="1886" t="s">
        <v>1154</v>
      </c>
      <c r="E39" s="1887"/>
      <c r="F39" s="1888"/>
      <c r="G39" s="773"/>
      <c r="H39" s="1875">
        <f ca="1">C39/F7</f>
        <v>1.5195416090000625E-2</v>
      </c>
      <c r="I39" s="1977"/>
      <c r="J39" s="1978"/>
      <c r="K39" s="1986"/>
      <c r="L39" s="1875"/>
      <c r="M39" s="1875"/>
    </row>
    <row r="40" spans="1:18" ht="18" customHeight="1">
      <c r="A40" s="1808" t="s">
        <v>1158</v>
      </c>
      <c r="B40" s="1809" t="s">
        <v>1176</v>
      </c>
      <c r="C40" s="1889">
        <f ca="1">ROUND(C39*(1-((1+F42)/(1+F40))^F41)/(F40-F42),0)</f>
        <v>332</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f ca="1">ROUND(C40*10000/F43,0)</f>
        <v>202</v>
      </c>
      <c r="D43" s="1898" t="s">
        <v>1178</v>
      </c>
      <c r="E43" s="1899" t="s">
        <v>1179</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6645</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7032</v>
      </c>
      <c r="R49" s="2039" t="s">
        <v>1191</v>
      </c>
    </row>
    <row r="50" spans="1:18" s="773" customFormat="1">
      <c r="A50" s="1924"/>
      <c r="B50" s="1925"/>
      <c r="C50" s="2070"/>
      <c r="D50" s="1927"/>
      <c r="E50" s="1928" t="s">
        <v>1095</v>
      </c>
      <c r="F50" s="1929">
        <f ca="1">F7</f>
        <v>16452.330000000002</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-2745</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6645</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6258</v>
      </c>
      <c r="D56" s="1939"/>
      <c r="E56" s="1940"/>
      <c r="F56" s="1936"/>
      <c r="I56" s="2026" t="s">
        <v>1227</v>
      </c>
      <c r="J56" s="2027" t="s">
        <v>1228</v>
      </c>
      <c r="K56" s="834" t="s">
        <v>1229</v>
      </c>
      <c r="L56" s="2004">
        <f ca="1">IF(L48&lt;J51,"——",L48-J53)</f>
        <v>0</v>
      </c>
      <c r="O56" s="2000" t="s">
        <v>933</v>
      </c>
      <c r="P56" s="2001" t="s">
        <v>1190</v>
      </c>
      <c r="Q56" s="2039">
        <f ca="1">C40+J29</f>
        <v>6645</v>
      </c>
      <c r="R56" s="2039" t="s">
        <v>1191</v>
      </c>
    </row>
    <row r="57" spans="1:18" s="773" customFormat="1" ht="24">
      <c r="A57" s="1941"/>
      <c r="B57" s="1942" t="s">
        <v>1169</v>
      </c>
      <c r="C57" s="196">
        <f ca="1">C29</f>
        <v>7032</v>
      </c>
      <c r="D57" s="1943"/>
      <c r="E57" s="1944"/>
      <c r="F57" s="1945"/>
      <c r="I57" s="2028" t="s">
        <v>1230</v>
      </c>
      <c r="J57" s="2029" t="str">
        <f ca="1">IF(OR(M47="住宅",J51&lt;L48,J56="是"),"——",J51-L48)</f>
        <v>——</v>
      </c>
      <c r="K57" s="834" t="s">
        <v>1231</v>
      </c>
      <c r="L57" s="2004">
        <f ca="1">IF(L48&lt;J51,"——",IF(L55="比较法",L49,IF(L55="基准地价",L50,L51)))</f>
        <v>-2745</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6645</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70.3</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9.4</v>
      </c>
      <c r="D65" s="1950" t="s">
        <v>1146</v>
      </c>
      <c r="E65" s="1942" t="s">
        <v>1113</v>
      </c>
      <c r="F65" s="1884">
        <f t="shared" ca="1" si="0"/>
        <v>1.5E-3</v>
      </c>
      <c r="I65" s="2034" t="s">
        <v>1253</v>
      </c>
      <c r="J65" s="2035">
        <v>40</v>
      </c>
      <c r="K65" s="2035">
        <v>30</v>
      </c>
      <c r="L65" s="2035">
        <v>50</v>
      </c>
      <c r="M65" s="2037">
        <v>0.02</v>
      </c>
      <c r="O65" s="2000" t="s">
        <v>933</v>
      </c>
      <c r="P65" s="2001" t="s">
        <v>1190</v>
      </c>
      <c r="Q65" s="2039">
        <f ca="1">C40+J29</f>
        <v>6645</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-2745</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-125</v>
      </c>
      <c r="R68" s="2039" t="s">
        <v>1256</v>
      </c>
    </row>
    <row r="69" spans="1:18" s="773" customFormat="1">
      <c r="A69" s="2046"/>
      <c r="B69" s="2047"/>
      <c r="C69" s="1824"/>
      <c r="D69" s="2048" t="s">
        <v>1164</v>
      </c>
      <c r="E69" s="1942" t="s">
        <v>1165</v>
      </c>
      <c r="F69" s="1893">
        <f ca="1">F41</f>
        <v>1.4</v>
      </c>
      <c r="O69" s="2007" t="s">
        <v>1257</v>
      </c>
      <c r="P69" s="2062" t="s">
        <v>1258</v>
      </c>
      <c r="Q69" s="2039">
        <f ca="1">C39</f>
        <v>250</v>
      </c>
      <c r="R69" s="2039" t="s">
        <v>1191</v>
      </c>
    </row>
    <row r="70" spans="1:18" s="773" customFormat="1">
      <c r="A70" s="2049"/>
      <c r="B70" s="2050"/>
      <c r="C70" s="1843"/>
      <c r="D70" s="1954"/>
      <c r="E70" s="1942" t="s">
        <v>1168</v>
      </c>
      <c r="F70" s="1932"/>
      <c r="O70" s="2007" t="s">
        <v>1259</v>
      </c>
      <c r="P70" s="2062" t="s">
        <v>1260</v>
      </c>
      <c r="Q70" s="2039">
        <f ca="1">C13</f>
        <v>6258</v>
      </c>
      <c r="R70" s="2039" t="s">
        <v>1191</v>
      </c>
    </row>
    <row r="71" spans="1:18" s="773" customFormat="1">
      <c r="A71" s="2051" t="s">
        <v>1170</v>
      </c>
      <c r="B71" s="2052" t="s">
        <v>1177</v>
      </c>
      <c r="C71" s="1897" t="e">
        <f ca="1">ROUND(C68*10000/F71,0)</f>
        <v>#VALUE!</v>
      </c>
      <c r="D71" s="2053" t="s">
        <v>1178</v>
      </c>
      <c r="E71" s="2054" t="s">
        <v>1179</v>
      </c>
      <c r="F71" s="1900">
        <f ca="1">F43</f>
        <v>16452.330000000002</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375</v>
      </c>
      <c r="D75" s="773"/>
      <c r="E75" s="773"/>
      <c r="F75" s="773"/>
      <c r="K75" s="1987"/>
      <c r="L75" s="773"/>
      <c r="O75" s="2000" t="s">
        <v>1040</v>
      </c>
      <c r="P75" s="2001" t="s">
        <v>1221</v>
      </c>
      <c r="Q75" s="2039">
        <f ca="1">Q65+Q66</f>
        <v>6645</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-0.5</v>
      </c>
    </row>
    <row r="80" spans="1:18">
      <c r="B80" s="2056" t="s">
        <v>1270</v>
      </c>
      <c r="C80" s="229">
        <f ca="1">ROUND(C75/C39,3)</f>
        <v>1.5</v>
      </c>
    </row>
    <row r="81" spans="2:3">
      <c r="B81" s="226" t="s">
        <v>1271</v>
      </c>
      <c r="C81" s="196"/>
    </row>
    <row r="82" spans="2:3">
      <c r="B82" s="228" t="s">
        <v>1013</v>
      </c>
      <c r="C82" s="230">
        <f ca="1">1-C83</f>
        <v>-17.849</v>
      </c>
    </row>
    <row r="83" spans="2:3">
      <c r="B83" s="228" t="s">
        <v>1014</v>
      </c>
      <c r="C83" s="229">
        <f ca="1">ROUND(C13/C40,3)</f>
        <v>18.849</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25" t="s">
        <v>1285</v>
      </c>
      <c r="K2" s="3426"/>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27" t="s">
        <v>1293</v>
      </c>
      <c r="K3" s="3428"/>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27" t="s">
        <v>1294</v>
      </c>
      <c r="K4" s="3428"/>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29" t="s">
        <v>1298</v>
      </c>
      <c r="B6" s="3430"/>
      <c r="C6" s="3431"/>
      <c r="D6" s="1635"/>
      <c r="E6" s="1636"/>
      <c r="F6" s="1637"/>
      <c r="G6" s="1638"/>
      <c r="H6" s="1627"/>
      <c r="I6" s="1723"/>
      <c r="J6" s="3438">
        <v>1</v>
      </c>
      <c r="K6" s="3441"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38"/>
      <c r="K7" s="3442"/>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2" t="s">
        <v>1312</v>
      </c>
      <c r="C8" s="3433"/>
      <c r="D8" s="1649" t="s">
        <v>1313</v>
      </c>
      <c r="E8" s="1650" t="s">
        <v>1314</v>
      </c>
      <c r="F8" s="1651" t="s">
        <v>1315</v>
      </c>
      <c r="G8" s="1652"/>
      <c r="H8" s="1627"/>
      <c r="I8" s="1723"/>
      <c r="J8" s="3438"/>
      <c r="K8" s="3442"/>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2" t="s">
        <v>1318</v>
      </c>
      <c r="C9" s="3433"/>
      <c r="D9" s="1649">
        <f>ROUND(D6*E9,0)</f>
        <v>0</v>
      </c>
      <c r="E9" s="1653"/>
      <c r="F9" s="1654" t="s">
        <v>1319</v>
      </c>
      <c r="G9" s="1638"/>
      <c r="H9" s="1627"/>
      <c r="I9" s="1723"/>
      <c r="J9" s="3438"/>
      <c r="K9" s="3442"/>
      <c r="L9" s="1733" t="s">
        <v>1320</v>
      </c>
      <c r="M9" s="1734"/>
      <c r="N9" s="1631"/>
      <c r="O9" s="1735"/>
      <c r="P9" s="1735"/>
      <c r="Q9" s="1664">
        <v>365</v>
      </c>
      <c r="R9" s="1769">
        <f t="shared" si="0"/>
        <v>0</v>
      </c>
      <c r="S9" s="1762"/>
      <c r="T9" s="1762"/>
      <c r="U9" s="1762"/>
      <c r="V9" s="1723"/>
    </row>
    <row r="10" spans="1:22" s="1609" customFormat="1" ht="13.15" customHeight="1">
      <c r="A10" s="1646">
        <v>2</v>
      </c>
      <c r="B10" s="3432" t="s">
        <v>1321</v>
      </c>
      <c r="C10" s="3433"/>
      <c r="D10" s="1649">
        <f>ROUND(D6*E10,0)</f>
        <v>0</v>
      </c>
      <c r="E10" s="1653"/>
      <c r="F10" s="1654" t="s">
        <v>1322</v>
      </c>
      <c r="G10" s="1638"/>
      <c r="H10" s="1627"/>
      <c r="I10" s="1723"/>
      <c r="J10" s="3438"/>
      <c r="K10" s="3442"/>
      <c r="L10" s="1733" t="s">
        <v>1323</v>
      </c>
      <c r="M10" s="1734"/>
      <c r="N10" s="1631"/>
      <c r="O10" s="1735"/>
      <c r="P10" s="1735"/>
      <c r="Q10" s="1664">
        <v>365</v>
      </c>
      <c r="R10" s="1769">
        <f t="shared" si="0"/>
        <v>0</v>
      </c>
      <c r="S10" s="1762"/>
      <c r="T10" s="1762"/>
      <c r="U10" s="1762"/>
      <c r="V10" s="1723"/>
    </row>
    <row r="11" spans="1:22" s="1609" customFormat="1" ht="13.15" customHeight="1">
      <c r="A11" s="1646">
        <v>3</v>
      </c>
      <c r="B11" s="3432" t="s">
        <v>1324</v>
      </c>
      <c r="C11" s="3433"/>
      <c r="D11" s="1649">
        <f>D12+D14+D15+D16</f>
        <v>0</v>
      </c>
      <c r="E11" s="1655" t="e">
        <f>D11/D6</f>
        <v>#DIV/0!</v>
      </c>
      <c r="F11" s="1651"/>
      <c r="G11" s="1652"/>
      <c r="H11" s="1627"/>
      <c r="I11" s="1723"/>
      <c r="J11" s="3438"/>
      <c r="K11" s="3442"/>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4" t="s">
        <v>1327</v>
      </c>
      <c r="C12" s="3435"/>
      <c r="D12" s="1659">
        <f>ROUND(D13*1.2%*(1-30%),0)</f>
        <v>0</v>
      </c>
      <c r="E12" s="1660">
        <v>1.2E-2</v>
      </c>
      <c r="F12" s="1651" t="s">
        <v>1328</v>
      </c>
      <c r="G12" s="1652"/>
      <c r="H12" s="1627"/>
      <c r="I12" s="1723"/>
      <c r="J12" s="3438"/>
      <c r="K12" s="3442"/>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38"/>
      <c r="K13" s="3442"/>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4" t="s">
        <v>1333</v>
      </c>
      <c r="C14" s="3435"/>
      <c r="D14" s="1659">
        <f>ROUND(E14*B5/10000,0)</f>
        <v>0</v>
      </c>
      <c r="E14" s="1664"/>
      <c r="F14" s="1651" t="s">
        <v>1334</v>
      </c>
      <c r="G14" s="1652"/>
      <c r="H14" s="1627"/>
      <c r="I14" s="1723"/>
      <c r="J14" s="3438"/>
      <c r="K14" s="3443"/>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4" t="s">
        <v>1337</v>
      </c>
      <c r="C15" s="3435"/>
      <c r="D15" s="1659">
        <f>ROUND(D6*E15,0)</f>
        <v>0</v>
      </c>
      <c r="E15" s="1660">
        <v>5.5E-2</v>
      </c>
      <c r="F15" s="1651" t="s">
        <v>1338</v>
      </c>
      <c r="G15" s="1638"/>
      <c r="H15" s="1627"/>
      <c r="I15" s="1723"/>
      <c r="J15" s="3438">
        <v>2</v>
      </c>
      <c r="K15" s="3441"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4" t="s">
        <v>1345</v>
      </c>
      <c r="C16" s="3435"/>
      <c r="D16" s="1665">
        <f>D6*E16</f>
        <v>0</v>
      </c>
      <c r="E16" s="1666"/>
      <c r="F16" s="1654" t="s">
        <v>1346</v>
      </c>
      <c r="G16" s="1638"/>
      <c r="H16" s="1627"/>
      <c r="I16" s="1723"/>
      <c r="J16" s="3438"/>
      <c r="K16" s="3442"/>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6" t="s">
        <v>1348</v>
      </c>
      <c r="C17" s="3437"/>
      <c r="D17" s="1668">
        <f>ROUND(D6*E17,0)</f>
        <v>0</v>
      </c>
      <c r="E17" s="1669"/>
      <c r="F17" s="1670" t="s">
        <v>1349</v>
      </c>
      <c r="G17" s="1638"/>
      <c r="H17" s="1627"/>
      <c r="I17" s="1723"/>
      <c r="J17" s="3438"/>
      <c r="K17" s="3442"/>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38"/>
      <c r="K18" s="3442"/>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38"/>
      <c r="K19" s="3443"/>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8">
        <v>3</v>
      </c>
      <c r="K20" s="3441"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38"/>
      <c r="K21" s="3442"/>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38"/>
      <c r="K22" s="3442"/>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38"/>
      <c r="K23" s="3442"/>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38"/>
      <c r="K24" s="3443"/>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39">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40"/>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25" t="s">
        <v>1285</v>
      </c>
      <c r="K32" s="3426"/>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27" t="s">
        <v>1293</v>
      </c>
      <c r="K33" s="3428"/>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27" t="s">
        <v>1294</v>
      </c>
      <c r="K34" s="3428"/>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38">
        <v>1</v>
      </c>
      <c r="K36" s="3441"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38"/>
      <c r="K37" s="3442"/>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8"/>
      <c r="K38" s="3442"/>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38"/>
      <c r="K39" s="3442"/>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38"/>
      <c r="K40" s="3443"/>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9">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40"/>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6645</v>
      </c>
      <c r="C2" s="1592" t="s">
        <v>1395</v>
      </c>
      <c r="D2" s="1593" t="s">
        <v>1396</v>
      </c>
      <c r="E2" s="1594">
        <f>SUM(E6:E13)</f>
        <v>16452.330000000002</v>
      </c>
      <c r="F2" s="1588"/>
      <c r="G2" s="1589"/>
      <c r="H2" s="1589"/>
      <c r="I2" s="1589"/>
      <c r="J2" s="1589"/>
      <c r="K2" s="1589"/>
      <c r="L2" s="1589"/>
      <c r="M2" s="1589"/>
      <c r="N2" s="1589"/>
      <c r="O2" s="1589"/>
      <c r="P2" s="1589"/>
      <c r="Q2" s="1589"/>
      <c r="R2" s="1589"/>
      <c r="S2" s="1589"/>
    </row>
    <row r="3" spans="1:22" ht="15.75">
      <c r="A3" s="1590" t="s">
        <v>919</v>
      </c>
      <c r="B3" s="1595">
        <f ca="1">ROUND(B2*10000/E2,0)</f>
        <v>4039</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6645</v>
      </c>
      <c r="C6" s="1592" t="s">
        <v>1395</v>
      </c>
      <c r="D6" s="1596"/>
      <c r="E6" s="1604">
        <f>IF(OR(A6=0,F6="否"),0,'数据-取费表'!K6+'数据-取费表'!S6)</f>
        <v>16452.330000000002</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46" t="s">
        <v>1410</v>
      </c>
      <c r="D4" s="3447"/>
      <c r="E4" s="3448" t="s">
        <v>1411</v>
      </c>
      <c r="F4" s="3449"/>
      <c r="G4" s="3446" t="s">
        <v>1412</v>
      </c>
      <c r="H4" s="3447"/>
      <c r="I4" s="3446" t="s">
        <v>1413</v>
      </c>
      <c r="J4" s="3447"/>
      <c r="K4" s="1520"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6" t="s">
        <v>1412</v>
      </c>
      <c r="AC4" s="3476" t="s">
        <v>1413</v>
      </c>
    </row>
    <row r="5" spans="1:29" ht="15">
      <c r="A5" s="926"/>
      <c r="B5" s="927"/>
      <c r="C5" s="3450" t="s">
        <v>1416</v>
      </c>
      <c r="D5" s="3451"/>
      <c r="E5" s="3452" t="s">
        <v>1417</v>
      </c>
      <c r="F5" s="3453"/>
      <c r="G5" s="3450" t="s">
        <v>1418</v>
      </c>
      <c r="H5" s="3451"/>
      <c r="I5" s="3450" t="s">
        <v>1419</v>
      </c>
      <c r="J5" s="3451"/>
      <c r="K5" s="152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52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7" t="s">
        <v>1436</v>
      </c>
      <c r="Q15" s="681" t="str">
        <f t="shared" si="6"/>
        <v>居住社区成熟度</v>
      </c>
      <c r="R15" s="1121" t="s">
        <v>1424</v>
      </c>
      <c r="S15" s="1122">
        <f t="shared" si="0"/>
        <v>100</v>
      </c>
      <c r="T15" s="1121" t="s">
        <v>1424</v>
      </c>
      <c r="U15" s="1122">
        <f t="shared" si="1"/>
        <v>100</v>
      </c>
      <c r="V15" s="1121" t="s">
        <v>1424</v>
      </c>
      <c r="W15" s="1122">
        <f t="shared" si="2"/>
        <v>100</v>
      </c>
      <c r="X15" s="1115"/>
      <c r="Y15" s="3472"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8"/>
      <c r="Q23" s="681" t="str">
        <f>B23</f>
        <v>自然及人文环境</v>
      </c>
      <c r="R23" s="1121" t="s">
        <v>1424</v>
      </c>
      <c r="S23" s="1122">
        <f>F23</f>
        <v>100</v>
      </c>
      <c r="T23" s="1121" t="s">
        <v>1424</v>
      </c>
      <c r="U23" s="1122">
        <f>H23</f>
        <v>100</v>
      </c>
      <c r="V23" s="1121" t="s">
        <v>1424</v>
      </c>
      <c r="W23" s="1122">
        <f>J23</f>
        <v>100</v>
      </c>
      <c r="X23" s="1115"/>
      <c r="Y23" s="3473"/>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8"/>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3"/>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8"/>
      <c r="Q26" s="681" t="str">
        <f t="shared" si="11"/>
        <v>朝向</v>
      </c>
      <c r="R26" s="1121" t="s">
        <v>1424</v>
      </c>
      <c r="S26" s="1122">
        <f t="shared" si="12"/>
        <v>100</v>
      </c>
      <c r="T26" s="1121" t="s">
        <v>1424</v>
      </c>
      <c r="U26" s="1122">
        <f t="shared" si="13"/>
        <v>100</v>
      </c>
      <c r="V26" s="1121" t="s">
        <v>1424</v>
      </c>
      <c r="W26" s="1122">
        <f t="shared" si="14"/>
        <v>100</v>
      </c>
      <c r="X26" s="1115"/>
      <c r="Y26" s="3473"/>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8"/>
      <c r="Q27" s="1120">
        <f t="shared" si="11"/>
        <v>111</v>
      </c>
      <c r="R27" s="1116" t="s">
        <v>1424</v>
      </c>
      <c r="S27" s="1117">
        <f t="shared" si="12"/>
        <v>100</v>
      </c>
      <c r="T27" s="1116" t="s">
        <v>1424</v>
      </c>
      <c r="U27" s="1117">
        <f t="shared" si="13"/>
        <v>100</v>
      </c>
      <c r="V27" s="1116" t="s">
        <v>1424</v>
      </c>
      <c r="W27" s="1117">
        <f t="shared" si="14"/>
        <v>100</v>
      </c>
      <c r="X27" s="1118"/>
      <c r="Y27" s="3473"/>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8"/>
      <c r="Q28" s="681">
        <f t="shared" si="11"/>
        <v>111</v>
      </c>
      <c r="R28" s="1121" t="s">
        <v>1424</v>
      </c>
      <c r="S28" s="1122">
        <f t="shared" si="12"/>
        <v>100</v>
      </c>
      <c r="T28" s="1121" t="s">
        <v>1424</v>
      </c>
      <c r="U28" s="1122">
        <f t="shared" si="13"/>
        <v>100</v>
      </c>
      <c r="V28" s="1121" t="s">
        <v>1424</v>
      </c>
      <c r="W28" s="1122">
        <f t="shared" si="14"/>
        <v>100</v>
      </c>
      <c r="X28" s="1115"/>
      <c r="Y28" s="3473"/>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8"/>
      <c r="Q29" s="681">
        <f t="shared" si="11"/>
        <v>111</v>
      </c>
      <c r="R29" s="1121" t="s">
        <v>1424</v>
      </c>
      <c r="S29" s="1122">
        <f t="shared" si="12"/>
        <v>100</v>
      </c>
      <c r="T29" s="1121" t="s">
        <v>1424</v>
      </c>
      <c r="U29" s="1122">
        <f t="shared" si="13"/>
        <v>100</v>
      </c>
      <c r="V29" s="1121" t="s">
        <v>1424</v>
      </c>
      <c r="W29" s="1122">
        <f t="shared" si="14"/>
        <v>100</v>
      </c>
      <c r="X29" s="1115"/>
      <c r="Y29" s="3473"/>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9" t="s">
        <v>1445</v>
      </c>
      <c r="Q32" s="681" t="str">
        <f t="shared" si="11"/>
        <v>建筑类型</v>
      </c>
      <c r="R32" s="1121" t="s">
        <v>1424</v>
      </c>
      <c r="S32" s="1122">
        <f t="shared" si="12"/>
        <v>100</v>
      </c>
      <c r="T32" s="1121" t="s">
        <v>1424</v>
      </c>
      <c r="U32" s="1122">
        <f t="shared" si="13"/>
        <v>100</v>
      </c>
      <c r="V32" s="1121" t="s">
        <v>1424</v>
      </c>
      <c r="W32" s="1122">
        <f t="shared" si="14"/>
        <v>100</v>
      </c>
      <c r="X32" s="1115"/>
      <c r="Y32" s="3474"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0"/>
      <c r="Q33" s="1348" t="str">
        <f t="shared" si="11"/>
        <v>项目建筑规模</v>
      </c>
      <c r="R33" s="1123" t="s">
        <v>1424</v>
      </c>
      <c r="S33" s="1124" t="e">
        <f t="shared" si="12"/>
        <v>#N/A</v>
      </c>
      <c r="T33" s="1123" t="s">
        <v>1424</v>
      </c>
      <c r="U33" s="1124" t="e">
        <f t="shared" si="13"/>
        <v>#N/A</v>
      </c>
      <c r="V33" s="1123" t="s">
        <v>1424</v>
      </c>
      <c r="W33" s="1124" t="e">
        <f t="shared" si="14"/>
        <v>#N/A</v>
      </c>
      <c r="X33" s="1125"/>
      <c r="Y33" s="3474"/>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0"/>
      <c r="Q34" s="681" t="str">
        <f t="shared" si="11"/>
        <v>建筑结构</v>
      </c>
      <c r="R34" s="1121" t="s">
        <v>1424</v>
      </c>
      <c r="S34" s="1122">
        <f t="shared" si="12"/>
        <v>100</v>
      </c>
      <c r="T34" s="1121" t="s">
        <v>1424</v>
      </c>
      <c r="U34" s="1122">
        <f t="shared" si="13"/>
        <v>100</v>
      </c>
      <c r="V34" s="1121" t="s">
        <v>1424</v>
      </c>
      <c r="W34" s="1122">
        <f t="shared" si="14"/>
        <v>100</v>
      </c>
      <c r="X34" s="1115"/>
      <c r="Y34" s="3474"/>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0"/>
      <c r="Q35" s="681" t="str">
        <f t="shared" si="11"/>
        <v>建筑品质</v>
      </c>
      <c r="R35" s="1121" t="s">
        <v>1424</v>
      </c>
      <c r="S35" s="1122">
        <f t="shared" si="12"/>
        <v>100</v>
      </c>
      <c r="T35" s="1121" t="s">
        <v>1424</v>
      </c>
      <c r="U35" s="1122">
        <f t="shared" si="13"/>
        <v>100</v>
      </c>
      <c r="V35" s="1121" t="s">
        <v>1424</v>
      </c>
      <c r="W35" s="1122">
        <f t="shared" si="14"/>
        <v>100</v>
      </c>
      <c r="X35" s="1115"/>
      <c r="Y35" s="3474"/>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0"/>
      <c r="Q36" s="681" t="str">
        <f t="shared" si="11"/>
        <v>公共部分装修</v>
      </c>
      <c r="R36" s="1121" t="s">
        <v>1424</v>
      </c>
      <c r="S36" s="1122">
        <f t="shared" si="12"/>
        <v>100</v>
      </c>
      <c r="T36" s="1121" t="s">
        <v>1424</v>
      </c>
      <c r="U36" s="1122">
        <f t="shared" si="13"/>
        <v>100</v>
      </c>
      <c r="V36" s="1121" t="s">
        <v>1424</v>
      </c>
      <c r="W36" s="1122">
        <f t="shared" si="14"/>
        <v>100</v>
      </c>
      <c r="X36" s="1115"/>
      <c r="Y36" s="3474"/>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0"/>
      <c r="Q37" s="1120" t="str">
        <f t="shared" si="11"/>
        <v>成新度</v>
      </c>
      <c r="R37" s="1116" t="s">
        <v>1424</v>
      </c>
      <c r="S37" s="1117" t="e">
        <f t="shared" si="12"/>
        <v>#N/A</v>
      </c>
      <c r="T37" s="1116" t="s">
        <v>1424</v>
      </c>
      <c r="U37" s="1117" t="e">
        <f t="shared" si="13"/>
        <v>#N/A</v>
      </c>
      <c r="V37" s="1116" t="s">
        <v>1424</v>
      </c>
      <c r="W37" s="1117" t="e">
        <f t="shared" si="14"/>
        <v>#N/A</v>
      </c>
      <c r="X37" s="1118"/>
      <c r="Y37" s="3474"/>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0" t="s">
        <v>1445</v>
      </c>
      <c r="Q38" s="681" t="str">
        <f t="shared" si="11"/>
        <v>物业管理</v>
      </c>
      <c r="R38" s="1121" t="s">
        <v>1424</v>
      </c>
      <c r="S38" s="1122">
        <f t="shared" si="12"/>
        <v>100</v>
      </c>
      <c r="T38" s="1121" t="s">
        <v>1424</v>
      </c>
      <c r="U38" s="1122">
        <f t="shared" si="13"/>
        <v>100</v>
      </c>
      <c r="V38" s="1121" t="s">
        <v>1424</v>
      </c>
      <c r="W38" s="1122">
        <f t="shared" si="14"/>
        <v>100</v>
      </c>
      <c r="X38" s="1115"/>
      <c r="Y38" s="3474"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0"/>
      <c r="Q39" s="681" t="str">
        <f t="shared" si="11"/>
        <v>市政基础设施</v>
      </c>
      <c r="R39" s="1121" t="s">
        <v>1424</v>
      </c>
      <c r="S39" s="1122">
        <f t="shared" si="12"/>
        <v>100</v>
      </c>
      <c r="T39" s="1121" t="s">
        <v>1424</v>
      </c>
      <c r="U39" s="1122">
        <f t="shared" si="13"/>
        <v>100</v>
      </c>
      <c r="V39" s="1121" t="s">
        <v>1424</v>
      </c>
      <c r="W39" s="1122">
        <f t="shared" si="14"/>
        <v>100</v>
      </c>
      <c r="X39" s="1115"/>
      <c r="Y39" s="3474"/>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0"/>
      <c r="Q40" s="681" t="str">
        <f t="shared" si="11"/>
        <v>房型</v>
      </c>
      <c r="R40" s="1121" t="s">
        <v>1424</v>
      </c>
      <c r="S40" s="1122">
        <f t="shared" si="12"/>
        <v>100</v>
      </c>
      <c r="T40" s="1121" t="s">
        <v>1424</v>
      </c>
      <c r="U40" s="1122">
        <f t="shared" si="13"/>
        <v>100</v>
      </c>
      <c r="V40" s="1121" t="s">
        <v>1424</v>
      </c>
      <c r="W40" s="1122">
        <f t="shared" si="14"/>
        <v>100</v>
      </c>
      <c r="X40" s="1115"/>
      <c r="Y40" s="3474"/>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0"/>
      <c r="Q41" s="1348" t="str">
        <f t="shared" si="11"/>
        <v>单套/主力户型建筑面积</v>
      </c>
      <c r="R41" s="1123" t="s">
        <v>1424</v>
      </c>
      <c r="S41" s="1124">
        <f t="shared" si="12"/>
        <v>100</v>
      </c>
      <c r="T41" s="1123" t="s">
        <v>1424</v>
      </c>
      <c r="U41" s="1124">
        <f t="shared" si="13"/>
        <v>100</v>
      </c>
      <c r="V41" s="1123" t="s">
        <v>1424</v>
      </c>
      <c r="W41" s="1124">
        <f t="shared" si="14"/>
        <v>100</v>
      </c>
      <c r="X41" s="1125"/>
      <c r="Y41" s="3474"/>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0"/>
      <c r="Q42" s="681" t="str">
        <f t="shared" si="11"/>
        <v>内部装修</v>
      </c>
      <c r="R42" s="1121" t="s">
        <v>1424</v>
      </c>
      <c r="S42" s="1122">
        <f t="shared" si="12"/>
        <v>100</v>
      </c>
      <c r="T42" s="1121" t="s">
        <v>1424</v>
      </c>
      <c r="U42" s="1122">
        <f t="shared" si="13"/>
        <v>100</v>
      </c>
      <c r="V42" s="1121" t="s">
        <v>1424</v>
      </c>
      <c r="W42" s="1122">
        <f t="shared" si="14"/>
        <v>100</v>
      </c>
      <c r="X42" s="1115"/>
      <c r="Y42" s="3474"/>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0"/>
      <c r="Q43" s="681" t="str">
        <f t="shared" si="11"/>
        <v>内部装修维护情况</v>
      </c>
      <c r="R43" s="1121" t="s">
        <v>1424</v>
      </c>
      <c r="S43" s="1122">
        <f t="shared" si="12"/>
        <v>100</v>
      </c>
      <c r="T43" s="1121" t="s">
        <v>1424</v>
      </c>
      <c r="U43" s="1122">
        <f t="shared" si="13"/>
        <v>100</v>
      </c>
      <c r="V43" s="1121" t="s">
        <v>1424</v>
      </c>
      <c r="W43" s="1122">
        <f t="shared" si="14"/>
        <v>100</v>
      </c>
      <c r="X43" s="1115"/>
      <c r="Y43" s="3474"/>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0"/>
      <c r="Q44" s="1120">
        <f t="shared" si="11"/>
        <v>111</v>
      </c>
      <c r="R44" s="1116" t="s">
        <v>1424</v>
      </c>
      <c r="S44" s="1117">
        <f t="shared" si="12"/>
        <v>100</v>
      </c>
      <c r="T44" s="1116" t="s">
        <v>1424</v>
      </c>
      <c r="U44" s="1117">
        <f t="shared" si="13"/>
        <v>100</v>
      </c>
      <c r="V44" s="1116" t="s">
        <v>1424</v>
      </c>
      <c r="W44" s="1117">
        <f t="shared" si="14"/>
        <v>100</v>
      </c>
      <c r="X44" s="1118"/>
      <c r="Y44" s="3474"/>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0"/>
      <c r="Q45" s="681">
        <f t="shared" si="11"/>
        <v>111</v>
      </c>
      <c r="R45" s="1121" t="s">
        <v>1424</v>
      </c>
      <c r="S45" s="1122">
        <f t="shared" si="12"/>
        <v>100</v>
      </c>
      <c r="T45" s="1121" t="s">
        <v>1424</v>
      </c>
      <c r="U45" s="1122">
        <f t="shared" si="13"/>
        <v>100</v>
      </c>
      <c r="V45" s="1121" t="s">
        <v>1424</v>
      </c>
      <c r="W45" s="1122">
        <f t="shared" si="14"/>
        <v>100</v>
      </c>
      <c r="X45" s="1115"/>
      <c r="Y45" s="3474"/>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1"/>
      <c r="Q46" s="681">
        <f t="shared" si="11"/>
        <v>111</v>
      </c>
      <c r="R46" s="1121" t="s">
        <v>1424</v>
      </c>
      <c r="S46" s="1122">
        <f t="shared" si="12"/>
        <v>100</v>
      </c>
      <c r="T46" s="1121" t="s">
        <v>1424</v>
      </c>
      <c r="U46" s="1122">
        <f t="shared" si="13"/>
        <v>100</v>
      </c>
      <c r="V46" s="1121" t="s">
        <v>1424</v>
      </c>
      <c r="W46" s="1122">
        <f t="shared" si="14"/>
        <v>100</v>
      </c>
      <c r="X46" s="1115"/>
      <c r="Y46" s="3475"/>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4.0555555555555596E-3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91"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91"/>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91"/>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7" t="s">
        <v>1436</v>
      </c>
      <c r="Q15" s="681" t="str">
        <f t="shared" si="6"/>
        <v>商业繁华度</v>
      </c>
      <c r="R15" s="1121" t="s">
        <v>1424</v>
      </c>
      <c r="S15" s="1122">
        <f t="shared" si="0"/>
        <v>100</v>
      </c>
      <c r="T15" s="1121" t="s">
        <v>1424</v>
      </c>
      <c r="U15" s="1122">
        <f t="shared" si="1"/>
        <v>100</v>
      </c>
      <c r="V15" s="1121" t="s">
        <v>1424</v>
      </c>
      <c r="W15" s="1122">
        <f t="shared" si="2"/>
        <v>100</v>
      </c>
      <c r="X15" s="1115"/>
      <c r="Y15" s="3472"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8"/>
      <c r="Q23" s="681" t="str">
        <f>B23</f>
        <v>自然及人文环境</v>
      </c>
      <c r="R23" s="1121" t="s">
        <v>1424</v>
      </c>
      <c r="S23" s="1122">
        <f>F23</f>
        <v>100</v>
      </c>
      <c r="T23" s="1121" t="s">
        <v>1424</v>
      </c>
      <c r="U23" s="1122">
        <f>H23</f>
        <v>100</v>
      </c>
      <c r="V23" s="1121" t="s">
        <v>1424</v>
      </c>
      <c r="W23" s="1122">
        <f>J23</f>
        <v>100</v>
      </c>
      <c r="X23" s="1115"/>
      <c r="Y23" s="3473"/>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8"/>
      <c r="Q25" s="681" t="str">
        <f t="shared" ref="Q25:Q46" si="11">B25</f>
        <v>临街状况</v>
      </c>
      <c r="R25" s="1121" t="s">
        <v>1424</v>
      </c>
      <c r="S25" s="1122">
        <f>F25</f>
        <v>100</v>
      </c>
      <c r="T25" s="1121" t="s">
        <v>1424</v>
      </c>
      <c r="U25" s="1122">
        <f>H25</f>
        <v>100</v>
      </c>
      <c r="V25" s="1121" t="s">
        <v>1424</v>
      </c>
      <c r="W25" s="1122">
        <f>J25</f>
        <v>100</v>
      </c>
      <c r="X25" s="1115"/>
      <c r="Y25" s="3473"/>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8"/>
      <c r="Q26" s="681" t="str">
        <f t="shared" si="11"/>
        <v>平面位置/可视性</v>
      </c>
      <c r="R26" s="1121" t="s">
        <v>1424</v>
      </c>
      <c r="S26" s="1122">
        <f>F26</f>
        <v>100</v>
      </c>
      <c r="T26" s="1121" t="s">
        <v>1424</v>
      </c>
      <c r="U26" s="1122">
        <f>H26</f>
        <v>100</v>
      </c>
      <c r="V26" s="1121" t="s">
        <v>1424</v>
      </c>
      <c r="W26" s="1122">
        <f>J26</f>
        <v>100</v>
      </c>
      <c r="X26" s="1115"/>
      <c r="Y26" s="3473"/>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8"/>
      <c r="Q27" s="1120" t="str">
        <f t="shared" si="11"/>
        <v>人流量</v>
      </c>
      <c r="R27" s="1116" t="s">
        <v>1424</v>
      </c>
      <c r="S27" s="1117">
        <f>F27</f>
        <v>100</v>
      </c>
      <c r="T27" s="1116" t="s">
        <v>1424</v>
      </c>
      <c r="U27" s="1117">
        <f>H27</f>
        <v>100</v>
      </c>
      <c r="V27" s="1116" t="s">
        <v>1424</v>
      </c>
      <c r="W27" s="1117">
        <f>J27</f>
        <v>100</v>
      </c>
      <c r="X27" s="1118"/>
      <c r="Y27" s="3473"/>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8"/>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3"/>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8"/>
      <c r="Q29" s="681">
        <f t="shared" si="11"/>
        <v>111</v>
      </c>
      <c r="R29" s="1121" t="s">
        <v>1424</v>
      </c>
      <c r="S29" s="1122">
        <f t="shared" si="12"/>
        <v>100</v>
      </c>
      <c r="T29" s="1121" t="s">
        <v>1424</v>
      </c>
      <c r="U29" s="1122">
        <f t="shared" si="13"/>
        <v>100</v>
      </c>
      <c r="V29" s="1121" t="s">
        <v>1424</v>
      </c>
      <c r="W29" s="1122">
        <f t="shared" si="14"/>
        <v>100</v>
      </c>
      <c r="X29" s="1115"/>
      <c r="Y29" s="3473"/>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9" t="s">
        <v>1445</v>
      </c>
      <c r="Q32" s="681" t="str">
        <f t="shared" si="11"/>
        <v>商业类型</v>
      </c>
      <c r="R32" s="1121" t="s">
        <v>1424</v>
      </c>
      <c r="S32" s="1122">
        <f t="shared" si="12"/>
        <v>100</v>
      </c>
      <c r="T32" s="1121" t="s">
        <v>1424</v>
      </c>
      <c r="U32" s="1122">
        <f t="shared" si="13"/>
        <v>100</v>
      </c>
      <c r="V32" s="1121" t="s">
        <v>1424</v>
      </c>
      <c r="W32" s="1122">
        <f t="shared" si="14"/>
        <v>100</v>
      </c>
      <c r="X32" s="1115"/>
      <c r="Y32" s="3474"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0"/>
      <c r="Q33" s="1348" t="str">
        <f t="shared" si="11"/>
        <v>项目建筑规模</v>
      </c>
      <c r="R33" s="1123" t="s">
        <v>1424</v>
      </c>
      <c r="S33" s="1124" t="e">
        <f t="shared" si="12"/>
        <v>#N/A</v>
      </c>
      <c r="T33" s="1123" t="s">
        <v>1424</v>
      </c>
      <c r="U33" s="1124" t="e">
        <f t="shared" si="13"/>
        <v>#N/A</v>
      </c>
      <c r="V33" s="1123" t="s">
        <v>1424</v>
      </c>
      <c r="W33" s="1124" t="e">
        <f t="shared" si="14"/>
        <v>#N/A</v>
      </c>
      <c r="X33" s="1125"/>
      <c r="Y33" s="3474"/>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0"/>
      <c r="Q34" s="681" t="str">
        <f t="shared" si="11"/>
        <v>建筑结构</v>
      </c>
      <c r="R34" s="1121" t="s">
        <v>1424</v>
      </c>
      <c r="S34" s="1122">
        <f t="shared" si="12"/>
        <v>100</v>
      </c>
      <c r="T34" s="1121" t="s">
        <v>1424</v>
      </c>
      <c r="U34" s="1122">
        <f t="shared" si="13"/>
        <v>100</v>
      </c>
      <c r="V34" s="1121" t="s">
        <v>1424</v>
      </c>
      <c r="W34" s="1122">
        <f t="shared" si="14"/>
        <v>100</v>
      </c>
      <c r="X34" s="1115"/>
      <c r="Y34" s="3474"/>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0"/>
      <c r="Q35" s="681" t="str">
        <f t="shared" si="11"/>
        <v>公共部分装修</v>
      </c>
      <c r="R35" s="1121" t="s">
        <v>1424</v>
      </c>
      <c r="S35" s="1122">
        <f t="shared" si="12"/>
        <v>100</v>
      </c>
      <c r="T35" s="1121" t="s">
        <v>1424</v>
      </c>
      <c r="U35" s="1122">
        <f t="shared" si="13"/>
        <v>100</v>
      </c>
      <c r="V35" s="1121" t="s">
        <v>1424</v>
      </c>
      <c r="W35" s="1122">
        <f t="shared" si="14"/>
        <v>100</v>
      </c>
      <c r="X35" s="1115"/>
      <c r="Y35" s="3474"/>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0"/>
      <c r="Q36" s="681" t="str">
        <f t="shared" si="11"/>
        <v>成新度</v>
      </c>
      <c r="R36" s="1121" t="s">
        <v>1424</v>
      </c>
      <c r="S36" s="1122" t="e">
        <f t="shared" si="12"/>
        <v>#N/A</v>
      </c>
      <c r="T36" s="1121" t="s">
        <v>1424</v>
      </c>
      <c r="U36" s="1122" t="e">
        <f t="shared" si="13"/>
        <v>#N/A</v>
      </c>
      <c r="V36" s="1121" t="s">
        <v>1424</v>
      </c>
      <c r="W36" s="1122" t="e">
        <f t="shared" si="14"/>
        <v>#N/A</v>
      </c>
      <c r="X36" s="1115"/>
      <c r="Y36" s="3474"/>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0"/>
      <c r="Q37" s="1120" t="str">
        <f t="shared" si="11"/>
        <v>市政基础设施</v>
      </c>
      <c r="R37" s="1116" t="s">
        <v>1424</v>
      </c>
      <c r="S37" s="1117">
        <f t="shared" si="12"/>
        <v>100</v>
      </c>
      <c r="T37" s="1116" t="s">
        <v>1424</v>
      </c>
      <c r="U37" s="1117">
        <f t="shared" si="13"/>
        <v>100</v>
      </c>
      <c r="V37" s="1116" t="s">
        <v>1424</v>
      </c>
      <c r="W37" s="1117">
        <f t="shared" si="14"/>
        <v>100</v>
      </c>
      <c r="X37" s="1118"/>
      <c r="Y37" s="3474"/>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0" t="s">
        <v>1445</v>
      </c>
      <c r="Q38" s="681" t="str">
        <f t="shared" si="11"/>
        <v>业态</v>
      </c>
      <c r="R38" s="1121" t="s">
        <v>1424</v>
      </c>
      <c r="S38" s="1122">
        <f t="shared" si="12"/>
        <v>100</v>
      </c>
      <c r="T38" s="1121" t="s">
        <v>1424</v>
      </c>
      <c r="U38" s="1122">
        <f t="shared" si="13"/>
        <v>100</v>
      </c>
      <c r="V38" s="1121" t="s">
        <v>1424</v>
      </c>
      <c r="W38" s="1122">
        <f t="shared" si="14"/>
        <v>100</v>
      </c>
      <c r="X38" s="1115"/>
      <c r="Y38" s="3474"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0"/>
      <c r="Q39" s="681" t="str">
        <f t="shared" si="11"/>
        <v>层高</v>
      </c>
      <c r="R39" s="1121" t="s">
        <v>1424</v>
      </c>
      <c r="S39" s="1122">
        <f t="shared" si="12"/>
        <v>100</v>
      </c>
      <c r="T39" s="1121" t="s">
        <v>1424</v>
      </c>
      <c r="U39" s="1122">
        <f t="shared" si="13"/>
        <v>100</v>
      </c>
      <c r="V39" s="1121" t="s">
        <v>1424</v>
      </c>
      <c r="W39" s="1122">
        <f t="shared" si="14"/>
        <v>100</v>
      </c>
      <c r="X39" s="1115"/>
      <c r="Y39" s="3474"/>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0"/>
      <c r="Q40" s="681" t="str">
        <f t="shared" si="11"/>
        <v>单套建筑面积</v>
      </c>
      <c r="R40" s="1121" t="s">
        <v>1424</v>
      </c>
      <c r="S40" s="1122">
        <f t="shared" si="12"/>
        <v>100</v>
      </c>
      <c r="T40" s="1121" t="s">
        <v>1424</v>
      </c>
      <c r="U40" s="1122">
        <f t="shared" si="13"/>
        <v>100</v>
      </c>
      <c r="V40" s="1121" t="s">
        <v>1424</v>
      </c>
      <c r="W40" s="1122">
        <f t="shared" si="14"/>
        <v>100</v>
      </c>
      <c r="X40" s="1115"/>
      <c r="Y40" s="3474"/>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0"/>
      <c r="Q41" s="1348" t="str">
        <f t="shared" si="11"/>
        <v>进深比</v>
      </c>
      <c r="R41" s="1123" t="s">
        <v>1424</v>
      </c>
      <c r="S41" s="1124">
        <f t="shared" si="12"/>
        <v>100</v>
      </c>
      <c r="T41" s="1123" t="s">
        <v>1424</v>
      </c>
      <c r="U41" s="1124">
        <f t="shared" si="13"/>
        <v>100</v>
      </c>
      <c r="V41" s="1123" t="s">
        <v>1424</v>
      </c>
      <c r="W41" s="1124">
        <f t="shared" si="14"/>
        <v>100</v>
      </c>
      <c r="X41" s="1125"/>
      <c r="Y41" s="3474"/>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0"/>
      <c r="Q42" s="681" t="str">
        <f t="shared" si="11"/>
        <v>内部装修</v>
      </c>
      <c r="R42" s="1121" t="s">
        <v>1424</v>
      </c>
      <c r="S42" s="1122">
        <f t="shared" si="12"/>
        <v>100</v>
      </c>
      <c r="T42" s="1121" t="s">
        <v>1424</v>
      </c>
      <c r="U42" s="1122">
        <f t="shared" si="13"/>
        <v>100</v>
      </c>
      <c r="V42" s="1121" t="s">
        <v>1424</v>
      </c>
      <c r="W42" s="1122">
        <f t="shared" si="14"/>
        <v>100</v>
      </c>
      <c r="X42" s="1115"/>
      <c r="Y42" s="3474"/>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0"/>
      <c r="Q43" s="681" t="str">
        <f t="shared" si="11"/>
        <v>内部装修维护情况</v>
      </c>
      <c r="R43" s="1121" t="s">
        <v>1424</v>
      </c>
      <c r="S43" s="1122">
        <f t="shared" si="12"/>
        <v>100</v>
      </c>
      <c r="T43" s="1121" t="s">
        <v>1424</v>
      </c>
      <c r="U43" s="1122">
        <f t="shared" si="13"/>
        <v>100</v>
      </c>
      <c r="V43" s="1121" t="s">
        <v>1424</v>
      </c>
      <c r="W43" s="1122">
        <f t="shared" si="14"/>
        <v>100</v>
      </c>
      <c r="X43" s="1115"/>
      <c r="Y43" s="3474"/>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0"/>
      <c r="Q44" s="1120">
        <f t="shared" si="11"/>
        <v>111</v>
      </c>
      <c r="R44" s="1116" t="s">
        <v>1424</v>
      </c>
      <c r="S44" s="1117">
        <f t="shared" si="12"/>
        <v>100</v>
      </c>
      <c r="T44" s="1116" t="s">
        <v>1424</v>
      </c>
      <c r="U44" s="1117">
        <f t="shared" si="13"/>
        <v>100</v>
      </c>
      <c r="V44" s="1116" t="s">
        <v>1424</v>
      </c>
      <c r="W44" s="1117">
        <f t="shared" si="14"/>
        <v>100</v>
      </c>
      <c r="X44" s="1118"/>
      <c r="Y44" s="3474"/>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0"/>
      <c r="Q45" s="681">
        <f t="shared" si="11"/>
        <v>111</v>
      </c>
      <c r="R45" s="1121" t="s">
        <v>1424</v>
      </c>
      <c r="S45" s="1122">
        <f t="shared" si="12"/>
        <v>100</v>
      </c>
      <c r="T45" s="1121" t="s">
        <v>1424</v>
      </c>
      <c r="U45" s="1122">
        <f t="shared" si="13"/>
        <v>100</v>
      </c>
      <c r="V45" s="1121" t="s">
        <v>1424</v>
      </c>
      <c r="W45" s="1122">
        <f t="shared" si="14"/>
        <v>100</v>
      </c>
      <c r="X45" s="1115"/>
      <c r="Y45" s="3474"/>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1"/>
      <c r="Q46" s="681">
        <f t="shared" si="11"/>
        <v>111</v>
      </c>
      <c r="R46" s="1121" t="s">
        <v>1424</v>
      </c>
      <c r="S46" s="1122">
        <f t="shared" si="12"/>
        <v>100</v>
      </c>
      <c r="T46" s="1121" t="s">
        <v>1424</v>
      </c>
      <c r="U46" s="1122">
        <f t="shared" si="13"/>
        <v>100</v>
      </c>
      <c r="V46" s="1121" t="s">
        <v>1424</v>
      </c>
      <c r="W46" s="1122">
        <f t="shared" si="14"/>
        <v>100</v>
      </c>
      <c r="X46" s="1115"/>
      <c r="Y46" s="3475"/>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1" t="str">
        <f>A47</f>
        <v>成交单价（元/平方米）</v>
      </c>
      <c r="Q47" s="3461"/>
      <c r="R47" s="3491">
        <f>E47</f>
        <v>0</v>
      </c>
      <c r="S47" s="3491"/>
      <c r="T47" s="3491">
        <f>G47</f>
        <v>0</v>
      </c>
      <c r="U47" s="3491"/>
      <c r="V47" s="3491">
        <f>I47</f>
        <v>0</v>
      </c>
      <c r="W47" s="349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500" t="s">
        <v>1415</v>
      </c>
      <c r="Q4" s="3501"/>
      <c r="R4" s="3504" t="s">
        <v>1411</v>
      </c>
      <c r="S4" s="3505"/>
      <c r="T4" s="3504" t="s">
        <v>1412</v>
      </c>
      <c r="U4" s="3505"/>
      <c r="V4" s="3506" t="s">
        <v>1413</v>
      </c>
      <c r="W4" s="3506"/>
      <c r="X4" s="1472"/>
      <c r="Y4" s="3504" t="s">
        <v>1415</v>
      </c>
      <c r="Z4" s="3505"/>
      <c r="AA4" s="3496" t="s">
        <v>1411</v>
      </c>
      <c r="AB4" s="3496" t="s">
        <v>1412</v>
      </c>
      <c r="AC4" s="3497" t="s">
        <v>1413</v>
      </c>
    </row>
    <row r="5" spans="1:29" ht="15">
      <c r="A5" s="926"/>
      <c r="B5" s="927"/>
      <c r="C5" s="3450" t="s">
        <v>1416</v>
      </c>
      <c r="D5" s="3451"/>
      <c r="E5" s="3452" t="s">
        <v>1417</v>
      </c>
      <c r="F5" s="3453"/>
      <c r="G5" s="3450" t="s">
        <v>1418</v>
      </c>
      <c r="H5" s="3451"/>
      <c r="I5" s="3450" t="s">
        <v>1419</v>
      </c>
      <c r="J5" s="3451"/>
      <c r="K5" s="1071"/>
      <c r="L5" s="1072"/>
      <c r="M5" s="1073"/>
      <c r="N5" s="1073"/>
      <c r="O5" s="1073"/>
      <c r="P5" s="3502"/>
      <c r="Q5" s="3482"/>
      <c r="R5" s="3487"/>
      <c r="S5" s="3488"/>
      <c r="T5" s="3487"/>
      <c r="U5" s="3488"/>
      <c r="V5" s="3491"/>
      <c r="W5" s="3491"/>
      <c r="X5" s="1115"/>
      <c r="Y5" s="3487"/>
      <c r="Z5" s="3488"/>
      <c r="AA5" s="3477"/>
      <c r="AB5" s="3477"/>
      <c r="AC5" s="3498"/>
    </row>
    <row r="6" spans="1:29" ht="15">
      <c r="A6" s="928"/>
      <c r="B6" s="929"/>
      <c r="C6" s="3454" t="s">
        <v>1420</v>
      </c>
      <c r="D6" s="3455"/>
      <c r="E6" s="3456" t="s">
        <v>1420</v>
      </c>
      <c r="F6" s="3457"/>
      <c r="G6" s="3454" t="s">
        <v>1420</v>
      </c>
      <c r="H6" s="3455"/>
      <c r="I6" s="3454" t="s">
        <v>1420</v>
      </c>
      <c r="J6" s="3455"/>
      <c r="K6" s="1071" t="s">
        <v>1421</v>
      </c>
      <c r="L6" s="1072"/>
      <c r="M6" s="1073"/>
      <c r="N6" s="1073"/>
      <c r="O6" s="1073"/>
      <c r="P6" s="3503"/>
      <c r="Q6" s="3484"/>
      <c r="R6" s="3487"/>
      <c r="S6" s="3488"/>
      <c r="T6" s="3489"/>
      <c r="U6" s="3490"/>
      <c r="V6" s="3491"/>
      <c r="W6" s="3491"/>
      <c r="X6" s="1115"/>
      <c r="Y6" s="3489"/>
      <c r="Z6" s="3490"/>
      <c r="AA6" s="3478"/>
      <c r="AB6" s="3478"/>
      <c r="AC6" s="3499"/>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2"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2" t="s">
        <v>1427</v>
      </c>
      <c r="Q8" s="3460"/>
      <c r="R8" s="1116" t="s">
        <v>1424</v>
      </c>
      <c r="S8" s="1117">
        <f t="shared" si="0"/>
        <v>0</v>
      </c>
      <c r="T8" s="1116" t="s">
        <v>1424</v>
      </c>
      <c r="U8" s="1117">
        <f t="shared" si="1"/>
        <v>0</v>
      </c>
      <c r="V8" s="1116" t="s">
        <v>1424</v>
      </c>
      <c r="W8" s="1117">
        <f t="shared" si="2"/>
        <v>0</v>
      </c>
      <c r="X8" s="1118"/>
      <c r="Y8" s="3458" t="s">
        <v>1427</v>
      </c>
      <c r="Z8" s="3460"/>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7" t="s">
        <v>1436</v>
      </c>
      <c r="Q15" s="681" t="str">
        <f t="shared" si="6"/>
        <v>办公集聚程度</v>
      </c>
      <c r="R15" s="1121" t="s">
        <v>1424</v>
      </c>
      <c r="S15" s="1122">
        <f t="shared" si="0"/>
        <v>100</v>
      </c>
      <c r="T15" s="1121" t="s">
        <v>1424</v>
      </c>
      <c r="U15" s="1122">
        <f t="shared" si="1"/>
        <v>100</v>
      </c>
      <c r="V15" s="1121" t="s">
        <v>1424</v>
      </c>
      <c r="W15" s="1122">
        <f t="shared" si="2"/>
        <v>100</v>
      </c>
      <c r="X15" s="1115"/>
      <c r="Y15" s="3472"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8"/>
      <c r="Q16" s="681"/>
      <c r="R16" s="1121"/>
      <c r="S16" s="1122"/>
      <c r="T16" s="1121"/>
      <c r="U16" s="1122"/>
      <c r="V16" s="1121"/>
      <c r="W16" s="1122"/>
      <c r="X16" s="1115"/>
      <c r="Y16" s="3473"/>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8"/>
      <c r="Q18" s="681"/>
      <c r="R18" s="1121"/>
      <c r="S18" s="1122"/>
      <c r="T18" s="1121"/>
      <c r="U18" s="1122"/>
      <c r="V18" s="1121"/>
      <c r="W18" s="1122"/>
      <c r="X18" s="1115"/>
      <c r="Y18" s="3473"/>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8"/>
      <c r="Q20" s="681"/>
      <c r="R20" s="1121"/>
      <c r="S20" s="1122"/>
      <c r="T20" s="1121"/>
      <c r="U20" s="1122"/>
      <c r="V20" s="1121"/>
      <c r="W20" s="1122"/>
      <c r="X20" s="1115"/>
      <c r="Y20" s="3473"/>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8"/>
      <c r="Q22" s="681"/>
      <c r="R22" s="1121"/>
      <c r="S22" s="1122"/>
      <c r="T22" s="1121"/>
      <c r="U22" s="1122"/>
      <c r="V22" s="1121"/>
      <c r="W22" s="1122"/>
      <c r="X22" s="1115"/>
      <c r="Y22" s="3473"/>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8"/>
      <c r="Q23" s="681" t="str">
        <f>B23</f>
        <v>环境质量</v>
      </c>
      <c r="R23" s="1121" t="s">
        <v>1424</v>
      </c>
      <c r="S23" s="1122">
        <f>F23</f>
        <v>100</v>
      </c>
      <c r="T23" s="1121" t="s">
        <v>1424</v>
      </c>
      <c r="U23" s="1122">
        <f>H23</f>
        <v>100</v>
      </c>
      <c r="V23" s="1121" t="s">
        <v>1424</v>
      </c>
      <c r="W23" s="1122">
        <f>J23</f>
        <v>100</v>
      </c>
      <c r="X23" s="1115"/>
      <c r="Y23" s="3473"/>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8"/>
      <c r="Q24" s="681"/>
      <c r="R24" s="1121"/>
      <c r="S24" s="1122"/>
      <c r="T24" s="1121"/>
      <c r="U24" s="1122"/>
      <c r="V24" s="1121"/>
      <c r="W24" s="1122"/>
      <c r="X24" s="1115"/>
      <c r="Y24" s="3473"/>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8"/>
      <c r="Q25" s="681" t="str">
        <f>B25</f>
        <v>毗邻道路的类型与等级</v>
      </c>
      <c r="R25" s="1121" t="s">
        <v>1424</v>
      </c>
      <c r="S25" s="1122">
        <f>F25</f>
        <v>100</v>
      </c>
      <c r="T25" s="1121" t="s">
        <v>1424</v>
      </c>
      <c r="U25" s="1122">
        <f>H25</f>
        <v>100</v>
      </c>
      <c r="V25" s="1121" t="s">
        <v>1424</v>
      </c>
      <c r="W25" s="1122">
        <f>J25</f>
        <v>100</v>
      </c>
      <c r="X25" s="1115"/>
      <c r="Y25" s="3473"/>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8"/>
      <c r="Q26" s="681"/>
      <c r="R26" s="1121"/>
      <c r="S26" s="1122"/>
      <c r="T26" s="1121"/>
      <c r="U26" s="1122"/>
      <c r="V26" s="1121"/>
      <c r="W26" s="1122"/>
      <c r="X26" s="1115"/>
      <c r="Y26" s="3473"/>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8"/>
      <c r="Q27" s="681" t="str">
        <f t="shared" ref="Q27:Q47" si="11">B27</f>
        <v>楼层</v>
      </c>
      <c r="R27" s="1121" t="s">
        <v>1424</v>
      </c>
      <c r="S27" s="1122">
        <f>F27</f>
        <v>100</v>
      </c>
      <c r="T27" s="1121" t="s">
        <v>1424</v>
      </c>
      <c r="U27" s="1122">
        <f>H27</f>
        <v>100</v>
      </c>
      <c r="V27" s="1121" t="s">
        <v>1424</v>
      </c>
      <c r="W27" s="1122">
        <f>J27</f>
        <v>100</v>
      </c>
      <c r="X27" s="1115"/>
      <c r="Y27" s="3473"/>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8"/>
      <c r="Q28" s="1120" t="str">
        <f t="shared" si="11"/>
        <v>朝向</v>
      </c>
      <c r="R28" s="1116" t="s">
        <v>1424</v>
      </c>
      <c r="S28" s="1117">
        <f>F28</f>
        <v>100</v>
      </c>
      <c r="T28" s="1116" t="s">
        <v>1424</v>
      </c>
      <c r="U28" s="1117">
        <f>H28</f>
        <v>100</v>
      </c>
      <c r="V28" s="1116" t="s">
        <v>1424</v>
      </c>
      <c r="W28" s="1117">
        <f>J28</f>
        <v>100</v>
      </c>
      <c r="X28" s="1118"/>
      <c r="Y28" s="3473"/>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8"/>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3"/>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8"/>
      <c r="Q32" s="681">
        <f t="shared" si="11"/>
        <v>111</v>
      </c>
      <c r="R32" s="1121" t="s">
        <v>1424</v>
      </c>
      <c r="S32" s="1122">
        <f t="shared" si="12"/>
        <v>100</v>
      </c>
      <c r="T32" s="1121" t="s">
        <v>1424</v>
      </c>
      <c r="U32" s="1122">
        <f t="shared" si="13"/>
        <v>100</v>
      </c>
      <c r="V32" s="1121" t="s">
        <v>1424</v>
      </c>
      <c r="W32" s="1122">
        <f t="shared" si="14"/>
        <v>100</v>
      </c>
      <c r="X32" s="1115"/>
      <c r="Y32" s="3473"/>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9" t="s">
        <v>1445</v>
      </c>
      <c r="Q33" s="681" t="str">
        <f t="shared" si="11"/>
        <v>建筑类型</v>
      </c>
      <c r="R33" s="1121" t="s">
        <v>1424</v>
      </c>
      <c r="S33" s="1122">
        <f t="shared" si="12"/>
        <v>100</v>
      </c>
      <c r="T33" s="1121" t="s">
        <v>1424</v>
      </c>
      <c r="U33" s="1122">
        <f t="shared" si="13"/>
        <v>100</v>
      </c>
      <c r="V33" s="1121" t="s">
        <v>1424</v>
      </c>
      <c r="W33" s="1122">
        <f t="shared" si="14"/>
        <v>100</v>
      </c>
      <c r="X33" s="1115"/>
      <c r="Y33" s="3474"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0"/>
      <c r="Q34" s="1348" t="str">
        <f t="shared" si="11"/>
        <v>项目建筑规模</v>
      </c>
      <c r="R34" s="1123" t="s">
        <v>1424</v>
      </c>
      <c r="S34" s="1124" t="e">
        <f t="shared" si="12"/>
        <v>#N/A</v>
      </c>
      <c r="T34" s="1123" t="s">
        <v>1424</v>
      </c>
      <c r="U34" s="1124" t="e">
        <f t="shared" si="13"/>
        <v>#N/A</v>
      </c>
      <c r="V34" s="1123" t="s">
        <v>1424</v>
      </c>
      <c r="W34" s="1124" t="e">
        <f t="shared" si="14"/>
        <v>#N/A</v>
      </c>
      <c r="X34" s="1125"/>
      <c r="Y34" s="3474"/>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0"/>
      <c r="Q35" s="681" t="str">
        <f t="shared" si="11"/>
        <v>建筑结构</v>
      </c>
      <c r="R35" s="1121" t="s">
        <v>1424</v>
      </c>
      <c r="S35" s="1122">
        <f t="shared" si="12"/>
        <v>100</v>
      </c>
      <c r="T35" s="1121" t="s">
        <v>1424</v>
      </c>
      <c r="U35" s="1122">
        <f t="shared" si="13"/>
        <v>100</v>
      </c>
      <c r="V35" s="1121" t="s">
        <v>1424</v>
      </c>
      <c r="W35" s="1122">
        <f t="shared" si="14"/>
        <v>100</v>
      </c>
      <c r="X35" s="1115"/>
      <c r="Y35" s="3474"/>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0"/>
      <c r="Q36" s="681" t="str">
        <f t="shared" si="11"/>
        <v>公共部分装修</v>
      </c>
      <c r="R36" s="1121" t="s">
        <v>1424</v>
      </c>
      <c r="S36" s="1122">
        <f t="shared" si="12"/>
        <v>100</v>
      </c>
      <c r="T36" s="1121" t="s">
        <v>1424</v>
      </c>
      <c r="U36" s="1122">
        <f t="shared" si="13"/>
        <v>100</v>
      </c>
      <c r="V36" s="1121" t="s">
        <v>1424</v>
      </c>
      <c r="W36" s="1122">
        <f t="shared" si="14"/>
        <v>100</v>
      </c>
      <c r="X36" s="1115"/>
      <c r="Y36" s="3474"/>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0"/>
      <c r="Q37" s="681" t="str">
        <f t="shared" si="11"/>
        <v>成新度</v>
      </c>
      <c r="R37" s="1121" t="s">
        <v>1424</v>
      </c>
      <c r="S37" s="1122" t="e">
        <f t="shared" si="12"/>
        <v>#N/A</v>
      </c>
      <c r="T37" s="1121" t="s">
        <v>1424</v>
      </c>
      <c r="U37" s="1122" t="e">
        <f t="shared" si="13"/>
        <v>#N/A</v>
      </c>
      <c r="V37" s="1121" t="s">
        <v>1424</v>
      </c>
      <c r="W37" s="1122" t="e">
        <f t="shared" si="14"/>
        <v>#N/A</v>
      </c>
      <c r="X37" s="1115"/>
      <c r="Y37" s="3474"/>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0"/>
      <c r="Q38" s="1120" t="str">
        <f t="shared" si="11"/>
        <v>写字楼等级</v>
      </c>
      <c r="R38" s="1116" t="s">
        <v>1424</v>
      </c>
      <c r="S38" s="1117">
        <f t="shared" si="12"/>
        <v>100</v>
      </c>
      <c r="T38" s="1116" t="s">
        <v>1424</v>
      </c>
      <c r="U38" s="1117">
        <f t="shared" si="13"/>
        <v>100</v>
      </c>
      <c r="V38" s="1116" t="s">
        <v>1424</v>
      </c>
      <c r="W38" s="1117">
        <f t="shared" si="14"/>
        <v>100</v>
      </c>
      <c r="X38" s="1118"/>
      <c r="Y38" s="3474"/>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0" t="s">
        <v>1445</v>
      </c>
      <c r="Q39" s="681" t="str">
        <f t="shared" si="11"/>
        <v>物业管理</v>
      </c>
      <c r="R39" s="1121" t="s">
        <v>1424</v>
      </c>
      <c r="S39" s="1122">
        <f t="shared" si="12"/>
        <v>100</v>
      </c>
      <c r="T39" s="1121" t="s">
        <v>1424</v>
      </c>
      <c r="U39" s="1122">
        <f t="shared" si="13"/>
        <v>100</v>
      </c>
      <c r="V39" s="1121" t="s">
        <v>1424</v>
      </c>
      <c r="W39" s="1122">
        <f t="shared" si="14"/>
        <v>100</v>
      </c>
      <c r="X39" s="1115"/>
      <c r="Y39" s="3474"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0"/>
      <c r="Q40" s="681" t="str">
        <f t="shared" si="11"/>
        <v>市政基础设施</v>
      </c>
      <c r="R40" s="1121" t="s">
        <v>1424</v>
      </c>
      <c r="S40" s="1122">
        <f t="shared" si="12"/>
        <v>100</v>
      </c>
      <c r="T40" s="1121" t="s">
        <v>1424</v>
      </c>
      <c r="U40" s="1122">
        <f t="shared" si="13"/>
        <v>100</v>
      </c>
      <c r="V40" s="1121" t="s">
        <v>1424</v>
      </c>
      <c r="W40" s="1122">
        <f t="shared" si="14"/>
        <v>100</v>
      </c>
      <c r="X40" s="1115"/>
      <c r="Y40" s="3474"/>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0"/>
      <c r="Q41" s="681" t="str">
        <f t="shared" si="11"/>
        <v>层高</v>
      </c>
      <c r="R41" s="1121" t="s">
        <v>1424</v>
      </c>
      <c r="S41" s="1122">
        <f t="shared" si="12"/>
        <v>100</v>
      </c>
      <c r="T41" s="1121" t="s">
        <v>1424</v>
      </c>
      <c r="U41" s="1122">
        <f t="shared" si="13"/>
        <v>100</v>
      </c>
      <c r="V41" s="1121" t="s">
        <v>1424</v>
      </c>
      <c r="W41" s="1122">
        <f t="shared" si="14"/>
        <v>100</v>
      </c>
      <c r="X41" s="1115"/>
      <c r="Y41" s="3474"/>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0"/>
      <c r="Q42" s="1348" t="str">
        <f t="shared" si="11"/>
        <v>单套建筑面积</v>
      </c>
      <c r="R42" s="1123" t="s">
        <v>1424</v>
      </c>
      <c r="S42" s="1124">
        <f t="shared" si="12"/>
        <v>100</v>
      </c>
      <c r="T42" s="1123" t="s">
        <v>1424</v>
      </c>
      <c r="U42" s="1124">
        <f t="shared" si="13"/>
        <v>100</v>
      </c>
      <c r="V42" s="1123" t="s">
        <v>1424</v>
      </c>
      <c r="W42" s="1124">
        <f t="shared" si="14"/>
        <v>100</v>
      </c>
      <c r="X42" s="1125"/>
      <c r="Y42" s="3474"/>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0"/>
      <c r="Q43" s="681" t="str">
        <f t="shared" si="11"/>
        <v>内部装修</v>
      </c>
      <c r="R43" s="1121" t="s">
        <v>1424</v>
      </c>
      <c r="S43" s="1122">
        <f t="shared" si="12"/>
        <v>100</v>
      </c>
      <c r="T43" s="1121" t="s">
        <v>1424</v>
      </c>
      <c r="U43" s="1122">
        <f t="shared" si="13"/>
        <v>100</v>
      </c>
      <c r="V43" s="1121" t="s">
        <v>1424</v>
      </c>
      <c r="W43" s="1122">
        <f t="shared" si="14"/>
        <v>100</v>
      </c>
      <c r="X43" s="1115"/>
      <c r="Y43" s="3474"/>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0"/>
      <c r="Q44" s="681" t="str">
        <f t="shared" si="11"/>
        <v>内部装修维护情况</v>
      </c>
      <c r="R44" s="1121" t="s">
        <v>1424</v>
      </c>
      <c r="S44" s="1122">
        <f t="shared" si="12"/>
        <v>100</v>
      </c>
      <c r="T44" s="1121" t="s">
        <v>1424</v>
      </c>
      <c r="U44" s="1122">
        <f t="shared" si="13"/>
        <v>100</v>
      </c>
      <c r="V44" s="1121" t="s">
        <v>1424</v>
      </c>
      <c r="W44" s="1122">
        <f t="shared" si="14"/>
        <v>100</v>
      </c>
      <c r="X44" s="1115"/>
      <c r="Y44" s="3474"/>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0"/>
      <c r="Q45" s="1120">
        <f t="shared" si="11"/>
        <v>111</v>
      </c>
      <c r="R45" s="1116" t="s">
        <v>1424</v>
      </c>
      <c r="S45" s="1117">
        <f t="shared" si="12"/>
        <v>100</v>
      </c>
      <c r="T45" s="1116" t="s">
        <v>1424</v>
      </c>
      <c r="U45" s="1117">
        <f t="shared" si="13"/>
        <v>100</v>
      </c>
      <c r="V45" s="1116" t="s">
        <v>1424</v>
      </c>
      <c r="W45" s="1117">
        <f t="shared" si="14"/>
        <v>100</v>
      </c>
      <c r="X45" s="1118"/>
      <c r="Y45" s="3474"/>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0"/>
      <c r="Q46" s="681">
        <f t="shared" si="11"/>
        <v>111</v>
      </c>
      <c r="R46" s="1121" t="s">
        <v>1424</v>
      </c>
      <c r="S46" s="1122">
        <f t="shared" si="12"/>
        <v>100</v>
      </c>
      <c r="T46" s="1121" t="s">
        <v>1424</v>
      </c>
      <c r="U46" s="1122">
        <f t="shared" si="13"/>
        <v>100</v>
      </c>
      <c r="V46" s="1121" t="s">
        <v>1424</v>
      </c>
      <c r="W46" s="1122">
        <f t="shared" si="14"/>
        <v>100</v>
      </c>
      <c r="X46" s="1115"/>
      <c r="Y46" s="3474"/>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1"/>
      <c r="Q47" s="681">
        <f t="shared" si="11"/>
        <v>111</v>
      </c>
      <c r="R47" s="1121" t="s">
        <v>1424</v>
      </c>
      <c r="S47" s="1122">
        <f t="shared" si="12"/>
        <v>100</v>
      </c>
      <c r="T47" s="1121" t="s">
        <v>1424</v>
      </c>
      <c r="U47" s="1122">
        <f t="shared" si="13"/>
        <v>100</v>
      </c>
      <c r="V47" s="1121" t="s">
        <v>1424</v>
      </c>
      <c r="W47" s="1122">
        <f t="shared" si="14"/>
        <v>100</v>
      </c>
      <c r="X47" s="1115"/>
      <c r="Y47" s="3475"/>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6"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6"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425"/>
      <c r="M4" s="1426"/>
      <c r="N4" s="1426"/>
      <c r="O4" s="1426"/>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425"/>
      <c r="M5" s="1426"/>
      <c r="N5" s="1426"/>
      <c r="O5" s="1426"/>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425"/>
      <c r="M6" s="1426"/>
      <c r="N6" s="1426"/>
      <c r="O6" s="1426"/>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2" t="s">
        <v>1436</v>
      </c>
      <c r="Q15" s="681" t="str">
        <f t="shared" si="6"/>
        <v>产业集聚程度</v>
      </c>
      <c r="R15" s="1121" t="s">
        <v>1424</v>
      </c>
      <c r="S15" s="1122">
        <f t="shared" si="0"/>
        <v>100</v>
      </c>
      <c r="T15" s="1121" t="s">
        <v>1424</v>
      </c>
      <c r="U15" s="1122">
        <f t="shared" si="1"/>
        <v>100</v>
      </c>
      <c r="V15" s="1121" t="s">
        <v>1424</v>
      </c>
      <c r="W15" s="1122">
        <f t="shared" si="2"/>
        <v>100</v>
      </c>
      <c r="X15" s="1115"/>
      <c r="Y15" s="3472"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3"/>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3"/>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3"/>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3"/>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3"/>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3"/>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3"/>
      <c r="Q22" s="681"/>
      <c r="R22" s="1121"/>
      <c r="S22" s="1122"/>
      <c r="T22" s="1121"/>
      <c r="U22" s="1122"/>
      <c r="V22" s="1121"/>
      <c r="W22" s="1122"/>
      <c r="X22" s="1115"/>
      <c r="Y22" s="3473"/>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3"/>
      <c r="Q23" s="681" t="str">
        <f>B23</f>
        <v>环境质量</v>
      </c>
      <c r="R23" s="1121" t="s">
        <v>1424</v>
      </c>
      <c r="S23" s="1122">
        <f>F23</f>
        <v>100</v>
      </c>
      <c r="T23" s="1121" t="s">
        <v>1424</v>
      </c>
      <c r="U23" s="1122">
        <f>H23</f>
        <v>100</v>
      </c>
      <c r="V23" s="1121" t="s">
        <v>1424</v>
      </c>
      <c r="W23" s="1122">
        <f>J23</f>
        <v>100</v>
      </c>
      <c r="X23" s="1115"/>
      <c r="Y23" s="3473"/>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3"/>
      <c r="Q24" s="681"/>
      <c r="R24" s="1121"/>
      <c r="S24" s="1122"/>
      <c r="T24" s="1121"/>
      <c r="U24" s="1122"/>
      <c r="V24" s="1121"/>
      <c r="W24" s="1122"/>
      <c r="X24" s="1115"/>
      <c r="Y24" s="3473"/>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3"/>
      <c r="Q25" s="681">
        <f>B25</f>
        <v>111</v>
      </c>
      <c r="R25" s="1121" t="s">
        <v>1424</v>
      </c>
      <c r="S25" s="1122">
        <f>F25</f>
        <v>100</v>
      </c>
      <c r="T25" s="1121" t="s">
        <v>1424</v>
      </c>
      <c r="U25" s="1122">
        <f>H25</f>
        <v>100</v>
      </c>
      <c r="V25" s="1121" t="s">
        <v>1424</v>
      </c>
      <c r="W25" s="1122">
        <f>J25</f>
        <v>100</v>
      </c>
      <c r="X25" s="1115"/>
      <c r="Y25" s="3473"/>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3"/>
      <c r="Q26" s="681">
        <f t="shared" ref="Q26:Q40" si="11">B26</f>
        <v>111</v>
      </c>
      <c r="R26" s="1121" t="s">
        <v>1424</v>
      </c>
      <c r="S26" s="1122">
        <f>F26</f>
        <v>100</v>
      </c>
      <c r="T26" s="1121" t="s">
        <v>1424</v>
      </c>
      <c r="U26" s="1122">
        <f>H26</f>
        <v>100</v>
      </c>
      <c r="V26" s="1121" t="s">
        <v>1424</v>
      </c>
      <c r="W26" s="1122">
        <f>J26</f>
        <v>100</v>
      </c>
      <c r="X26" s="1115"/>
      <c r="Y26" s="3473"/>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3"/>
      <c r="Q27" s="1120">
        <f t="shared" si="11"/>
        <v>111</v>
      </c>
      <c r="R27" s="1116" t="s">
        <v>1424</v>
      </c>
      <c r="S27" s="1117">
        <f>F27</f>
        <v>100</v>
      </c>
      <c r="T27" s="1116" t="s">
        <v>1424</v>
      </c>
      <c r="U27" s="1117">
        <f>H27</f>
        <v>100</v>
      </c>
      <c r="V27" s="1116" t="s">
        <v>1424</v>
      </c>
      <c r="W27" s="1117">
        <f>J27</f>
        <v>100</v>
      </c>
      <c r="X27" s="1118"/>
      <c r="Y27" s="3473"/>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3"/>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3"/>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4"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4"/>
      <c r="Q30" s="1348" t="str">
        <f t="shared" si="11"/>
        <v>项目建筑规模</v>
      </c>
      <c r="R30" s="1123" t="s">
        <v>1424</v>
      </c>
      <c r="S30" s="1124" t="e">
        <f t="shared" si="12"/>
        <v>#N/A</v>
      </c>
      <c r="T30" s="1123" t="s">
        <v>1424</v>
      </c>
      <c r="U30" s="1124" t="e">
        <f t="shared" si="13"/>
        <v>#N/A</v>
      </c>
      <c r="V30" s="1123" t="s">
        <v>1424</v>
      </c>
      <c r="W30" s="1124" t="e">
        <f t="shared" si="14"/>
        <v>#N/A</v>
      </c>
      <c r="X30" s="1125"/>
      <c r="Y30" s="3474"/>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4"/>
      <c r="Q31" s="681" t="str">
        <f t="shared" si="11"/>
        <v>建筑结构</v>
      </c>
      <c r="R31" s="1121" t="s">
        <v>1424</v>
      </c>
      <c r="S31" s="1122">
        <f t="shared" si="12"/>
        <v>100</v>
      </c>
      <c r="T31" s="1121" t="s">
        <v>1424</v>
      </c>
      <c r="U31" s="1122">
        <f t="shared" si="13"/>
        <v>100</v>
      </c>
      <c r="V31" s="1121" t="s">
        <v>1424</v>
      </c>
      <c r="W31" s="1122">
        <f t="shared" si="14"/>
        <v>100</v>
      </c>
      <c r="X31" s="1115"/>
      <c r="Y31" s="3474"/>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4"/>
      <c r="Q32" s="681" t="str">
        <f t="shared" si="11"/>
        <v>公共部分装修</v>
      </c>
      <c r="R32" s="1121" t="s">
        <v>1424</v>
      </c>
      <c r="S32" s="1122">
        <f t="shared" si="12"/>
        <v>100</v>
      </c>
      <c r="T32" s="1121" t="s">
        <v>1424</v>
      </c>
      <c r="U32" s="1122">
        <f t="shared" si="13"/>
        <v>100</v>
      </c>
      <c r="V32" s="1121" t="s">
        <v>1424</v>
      </c>
      <c r="W32" s="1122">
        <f t="shared" si="14"/>
        <v>100</v>
      </c>
      <c r="X32" s="1115"/>
      <c r="Y32" s="3474"/>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4"/>
      <c r="Q33" s="681" t="str">
        <f t="shared" si="11"/>
        <v>成新度</v>
      </c>
      <c r="R33" s="1121" t="s">
        <v>1424</v>
      </c>
      <c r="S33" s="1122" t="e">
        <f t="shared" si="12"/>
        <v>#N/A</v>
      </c>
      <c r="T33" s="1121" t="s">
        <v>1424</v>
      </c>
      <c r="U33" s="1122" t="e">
        <f t="shared" si="13"/>
        <v>#N/A</v>
      </c>
      <c r="V33" s="1121" t="s">
        <v>1424</v>
      </c>
      <c r="W33" s="1122" t="e">
        <f t="shared" si="14"/>
        <v>#N/A</v>
      </c>
      <c r="X33" s="1115"/>
      <c r="Y33" s="3474"/>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4"/>
      <c r="Q34" s="1120" t="str">
        <f t="shared" si="11"/>
        <v>物业管理</v>
      </c>
      <c r="R34" s="1116" t="s">
        <v>1424</v>
      </c>
      <c r="S34" s="1117">
        <f t="shared" si="12"/>
        <v>100</v>
      </c>
      <c r="T34" s="1116" t="s">
        <v>1424</v>
      </c>
      <c r="U34" s="1117">
        <f t="shared" si="13"/>
        <v>100</v>
      </c>
      <c r="V34" s="1116" t="s">
        <v>1424</v>
      </c>
      <c r="W34" s="1117">
        <f t="shared" si="14"/>
        <v>100</v>
      </c>
      <c r="X34" s="1118"/>
      <c r="Y34" s="3474"/>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4" t="s">
        <v>1445</v>
      </c>
      <c r="Q35" s="681" t="str">
        <f t="shared" si="11"/>
        <v>市政基础设施</v>
      </c>
      <c r="R35" s="1121" t="s">
        <v>1424</v>
      </c>
      <c r="S35" s="1122">
        <f t="shared" si="12"/>
        <v>100</v>
      </c>
      <c r="T35" s="1121" t="s">
        <v>1424</v>
      </c>
      <c r="U35" s="1122">
        <f t="shared" si="13"/>
        <v>100</v>
      </c>
      <c r="V35" s="1121" t="s">
        <v>1424</v>
      </c>
      <c r="W35" s="1122">
        <f t="shared" si="14"/>
        <v>100</v>
      </c>
      <c r="X35" s="1115"/>
      <c r="Y35" s="3474"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4"/>
      <c r="Q36" s="681" t="str">
        <f t="shared" si="11"/>
        <v>内部装修</v>
      </c>
      <c r="R36" s="1121" t="s">
        <v>1424</v>
      </c>
      <c r="S36" s="1122">
        <f t="shared" si="12"/>
        <v>100</v>
      </c>
      <c r="T36" s="1121" t="s">
        <v>1424</v>
      </c>
      <c r="U36" s="1122">
        <f t="shared" si="13"/>
        <v>100</v>
      </c>
      <c r="V36" s="1121" t="s">
        <v>1424</v>
      </c>
      <c r="W36" s="1122">
        <f t="shared" si="14"/>
        <v>100</v>
      </c>
      <c r="X36" s="1115"/>
      <c r="Y36" s="3474"/>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4"/>
      <c r="Q37" s="681" t="str">
        <f t="shared" si="11"/>
        <v>内部装修状况</v>
      </c>
      <c r="R37" s="1121" t="s">
        <v>1424</v>
      </c>
      <c r="S37" s="1122">
        <f t="shared" si="12"/>
        <v>100</v>
      </c>
      <c r="T37" s="1121" t="s">
        <v>1424</v>
      </c>
      <c r="U37" s="1122">
        <f t="shared" si="13"/>
        <v>100</v>
      </c>
      <c r="V37" s="1121" t="s">
        <v>1424</v>
      </c>
      <c r="W37" s="1122">
        <f t="shared" si="14"/>
        <v>100</v>
      </c>
      <c r="X37" s="1115"/>
      <c r="Y37" s="3474"/>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4"/>
      <c r="Q38" s="1348">
        <f t="shared" si="11"/>
        <v>111</v>
      </c>
      <c r="R38" s="1123" t="s">
        <v>1424</v>
      </c>
      <c r="S38" s="1124">
        <f t="shared" si="12"/>
        <v>100</v>
      </c>
      <c r="T38" s="1123" t="s">
        <v>1424</v>
      </c>
      <c r="U38" s="1124">
        <f t="shared" si="13"/>
        <v>100</v>
      </c>
      <c r="V38" s="1123" t="s">
        <v>1424</v>
      </c>
      <c r="W38" s="1124">
        <f t="shared" si="14"/>
        <v>100</v>
      </c>
      <c r="X38" s="1125"/>
      <c r="Y38" s="3474"/>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4"/>
      <c r="Q39" s="681">
        <f t="shared" si="11"/>
        <v>111</v>
      </c>
      <c r="R39" s="1121" t="s">
        <v>1424</v>
      </c>
      <c r="S39" s="1122">
        <f t="shared" si="12"/>
        <v>100</v>
      </c>
      <c r="T39" s="1121" t="s">
        <v>1424</v>
      </c>
      <c r="U39" s="1122">
        <f t="shared" si="13"/>
        <v>100</v>
      </c>
      <c r="V39" s="1121" t="s">
        <v>1424</v>
      </c>
      <c r="W39" s="1122">
        <f t="shared" si="14"/>
        <v>100</v>
      </c>
      <c r="X39" s="1115"/>
      <c r="Y39" s="3474"/>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5"/>
      <c r="Q40" s="681">
        <f t="shared" si="11"/>
        <v>111</v>
      </c>
      <c r="R40" s="1121" t="s">
        <v>1424</v>
      </c>
      <c r="S40" s="1122">
        <f t="shared" si="12"/>
        <v>100</v>
      </c>
      <c r="T40" s="1121" t="s">
        <v>1424</v>
      </c>
      <c r="U40" s="1122">
        <f t="shared" si="13"/>
        <v>100</v>
      </c>
      <c r="V40" s="1121" t="s">
        <v>1424</v>
      </c>
      <c r="W40" s="1122">
        <f t="shared" si="14"/>
        <v>100</v>
      </c>
      <c r="X40" s="1115"/>
      <c r="Y40" s="3475"/>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1430</v>
      </c>
      <c r="Q9" s="1120" t="str">
        <f t="shared" ref="Q9:Q14" si="6">B9</f>
        <v>用途</v>
      </c>
      <c r="R9" s="1116" t="s">
        <v>1424</v>
      </c>
      <c r="S9" s="1117">
        <f t="shared" si="0"/>
        <v>100</v>
      </c>
      <c r="T9" s="1116" t="s">
        <v>1424</v>
      </c>
      <c r="U9" s="1117">
        <f t="shared" si="1"/>
        <v>100</v>
      </c>
      <c r="V9" s="1116" t="s">
        <v>1424</v>
      </c>
      <c r="W9" s="1117">
        <f t="shared" si="2"/>
        <v>100</v>
      </c>
      <c r="X9" s="1118"/>
      <c r="Y9" s="3398"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1424</v>
      </c>
      <c r="S11" s="1117">
        <f t="shared" si="0"/>
        <v>100</v>
      </c>
      <c r="T11" s="1116" t="s">
        <v>1424</v>
      </c>
      <c r="U11" s="1117">
        <f t="shared" si="1"/>
        <v>100</v>
      </c>
      <c r="V11" s="1116" t="s">
        <v>1424</v>
      </c>
      <c r="W11" s="1117">
        <f t="shared" si="2"/>
        <v>100</v>
      </c>
      <c r="X11" s="1118"/>
      <c r="Y11" s="339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2" t="s">
        <v>1436</v>
      </c>
      <c r="Q14" s="681" t="str">
        <f t="shared" si="6"/>
        <v>交通便捷度</v>
      </c>
      <c r="R14" s="1121" t="s">
        <v>1424</v>
      </c>
      <c r="S14" s="1122">
        <f t="shared" si="0"/>
        <v>100</v>
      </c>
      <c r="T14" s="1121" t="s">
        <v>1424</v>
      </c>
      <c r="U14" s="1122">
        <f t="shared" si="1"/>
        <v>100</v>
      </c>
      <c r="V14" s="1121" t="s">
        <v>1424</v>
      </c>
      <c r="W14" s="1122">
        <f t="shared" si="2"/>
        <v>100</v>
      </c>
      <c r="X14" s="1115"/>
      <c r="Y14" s="3472"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3"/>
      <c r="Q15" s="681"/>
      <c r="R15" s="1121"/>
      <c r="S15" s="1122"/>
      <c r="T15" s="1121"/>
      <c r="U15" s="1122"/>
      <c r="V15" s="1121"/>
      <c r="W15" s="1122"/>
      <c r="X15" s="1115"/>
      <c r="Y15" s="3473"/>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3"/>
      <c r="Q16" s="681" t="str">
        <f>B16</f>
        <v>公共配套设施</v>
      </c>
      <c r="R16" s="1121" t="s">
        <v>1424</v>
      </c>
      <c r="S16" s="1122">
        <f>F16</f>
        <v>100</v>
      </c>
      <c r="T16" s="1121" t="s">
        <v>1424</v>
      </c>
      <c r="U16" s="1122">
        <f>H16</f>
        <v>100</v>
      </c>
      <c r="V16" s="1121" t="s">
        <v>1424</v>
      </c>
      <c r="W16" s="1122">
        <f>J16</f>
        <v>100</v>
      </c>
      <c r="X16" s="1115"/>
      <c r="Y16" s="3473"/>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3"/>
      <c r="Q17" s="681"/>
      <c r="R17" s="1121"/>
      <c r="S17" s="1122"/>
      <c r="T17" s="1121"/>
      <c r="U17" s="1122"/>
      <c r="V17" s="1121"/>
      <c r="W17" s="1122"/>
      <c r="X17" s="1115"/>
      <c r="Y17" s="3473"/>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3"/>
      <c r="Q18" s="681" t="str">
        <f>B18</f>
        <v>基础设施水平</v>
      </c>
      <c r="R18" s="1121" t="s">
        <v>1424</v>
      </c>
      <c r="S18" s="1122">
        <f>F18</f>
        <v>100</v>
      </c>
      <c r="T18" s="1121" t="s">
        <v>1424</v>
      </c>
      <c r="U18" s="1122">
        <f>H18</f>
        <v>100</v>
      </c>
      <c r="V18" s="1121" t="s">
        <v>1424</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3"/>
      <c r="Q19" s="681"/>
      <c r="R19" s="1121"/>
      <c r="S19" s="1122"/>
      <c r="T19" s="1121"/>
      <c r="U19" s="1122"/>
      <c r="V19" s="1121"/>
      <c r="W19" s="1122"/>
      <c r="X19" s="1115"/>
      <c r="Y19" s="3473"/>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3"/>
      <c r="Q20" s="681" t="str">
        <f>B20</f>
        <v>自然及人文环境</v>
      </c>
      <c r="R20" s="1121" t="s">
        <v>1424</v>
      </c>
      <c r="S20" s="1122">
        <f>F20</f>
        <v>100</v>
      </c>
      <c r="T20" s="1121" t="s">
        <v>1424</v>
      </c>
      <c r="U20" s="1122">
        <f>H20</f>
        <v>100</v>
      </c>
      <c r="V20" s="1121" t="s">
        <v>1424</v>
      </c>
      <c r="W20" s="1122">
        <f>J20</f>
        <v>100</v>
      </c>
      <c r="X20" s="1115"/>
      <c r="Y20" s="3473"/>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3"/>
      <c r="Q21" s="681"/>
      <c r="R21" s="1121"/>
      <c r="S21" s="1122"/>
      <c r="T21" s="1121"/>
      <c r="U21" s="1122"/>
      <c r="V21" s="1121"/>
      <c r="W21" s="1122"/>
      <c r="X21" s="1115"/>
      <c r="Y21" s="3473"/>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3"/>
      <c r="Q22" s="681" t="str">
        <f>B22</f>
        <v>楼层</v>
      </c>
      <c r="R22" s="1121" t="s">
        <v>1424</v>
      </c>
      <c r="S22" s="1122">
        <f>F22</f>
        <v>100</v>
      </c>
      <c r="T22" s="1121" t="s">
        <v>1424</v>
      </c>
      <c r="U22" s="1122">
        <f>H22</f>
        <v>100</v>
      </c>
      <c r="V22" s="1121" t="s">
        <v>1424</v>
      </c>
      <c r="W22" s="1122">
        <f>J22</f>
        <v>100</v>
      </c>
      <c r="X22" s="1115"/>
      <c r="Y22" s="3473"/>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3"/>
      <c r="Q23" s="681">
        <f>B23</f>
        <v>111</v>
      </c>
      <c r="R23" s="1121" t="s">
        <v>1424</v>
      </c>
      <c r="S23" s="1122">
        <f>F23</f>
        <v>100</v>
      </c>
      <c r="T23" s="1121" t="s">
        <v>1424</v>
      </c>
      <c r="U23" s="1122">
        <f>H23</f>
        <v>100</v>
      </c>
      <c r="V23" s="1121" t="s">
        <v>1424</v>
      </c>
      <c r="W23" s="1122">
        <f>J23</f>
        <v>100</v>
      </c>
      <c r="X23" s="1115"/>
      <c r="Y23" s="3473"/>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3"/>
      <c r="Q24" s="681">
        <f t="shared" ref="Q24:Q36" si="11">B24</f>
        <v>111</v>
      </c>
      <c r="R24" s="1121" t="s">
        <v>1424</v>
      </c>
      <c r="S24" s="1122">
        <f>F24</f>
        <v>100</v>
      </c>
      <c r="T24" s="1121" t="s">
        <v>1424</v>
      </c>
      <c r="U24" s="1122">
        <f>H24</f>
        <v>100</v>
      </c>
      <c r="V24" s="1121" t="s">
        <v>1424</v>
      </c>
      <c r="W24" s="1122">
        <f>J24</f>
        <v>100</v>
      </c>
      <c r="X24" s="1115"/>
      <c r="Y24" s="3473"/>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3"/>
      <c r="Q25" s="1120">
        <f t="shared" si="11"/>
        <v>111</v>
      </c>
      <c r="R25" s="1116" t="s">
        <v>1424</v>
      </c>
      <c r="S25" s="1117">
        <f>F25</f>
        <v>100</v>
      </c>
      <c r="T25" s="1116" t="s">
        <v>1424</v>
      </c>
      <c r="U25" s="1117">
        <f>H25</f>
        <v>100</v>
      </c>
      <c r="V25" s="1116" t="s">
        <v>1424</v>
      </c>
      <c r="W25" s="1117">
        <f>J25</f>
        <v>100</v>
      </c>
      <c r="X25" s="1118"/>
      <c r="Y25" s="3473"/>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4"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4"/>
      <c r="Q27" s="1348" t="str">
        <f t="shared" si="11"/>
        <v>项目停车位配比</v>
      </c>
      <c r="R27" s="1123" t="s">
        <v>1424</v>
      </c>
      <c r="S27" s="1124">
        <f t="shared" si="12"/>
        <v>100</v>
      </c>
      <c r="T27" s="1123" t="s">
        <v>1424</v>
      </c>
      <c r="U27" s="1124">
        <f t="shared" si="13"/>
        <v>100</v>
      </c>
      <c r="V27" s="1123" t="s">
        <v>1424</v>
      </c>
      <c r="W27" s="1124">
        <f t="shared" si="14"/>
        <v>100</v>
      </c>
      <c r="X27" s="1125"/>
      <c r="Y27" s="3474"/>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4"/>
      <c r="Q28" s="681" t="str">
        <f t="shared" si="11"/>
        <v>公共部分装修</v>
      </c>
      <c r="R28" s="1121" t="s">
        <v>1424</v>
      </c>
      <c r="S28" s="1122">
        <f t="shared" si="12"/>
        <v>100</v>
      </c>
      <c r="T28" s="1121" t="s">
        <v>1424</v>
      </c>
      <c r="U28" s="1122">
        <f t="shared" si="13"/>
        <v>100</v>
      </c>
      <c r="V28" s="1121" t="s">
        <v>1424</v>
      </c>
      <c r="W28" s="1122">
        <f t="shared" si="14"/>
        <v>100</v>
      </c>
      <c r="X28" s="1115"/>
      <c r="Y28" s="3474"/>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4"/>
      <c r="Q29" s="681" t="str">
        <f t="shared" si="11"/>
        <v>成新率</v>
      </c>
      <c r="R29" s="1121" t="s">
        <v>1424</v>
      </c>
      <c r="S29" s="1122" t="e">
        <f t="shared" si="12"/>
        <v>#N/A</v>
      </c>
      <c r="T29" s="1121" t="s">
        <v>1424</v>
      </c>
      <c r="U29" s="1122" t="e">
        <f t="shared" si="13"/>
        <v>#N/A</v>
      </c>
      <c r="V29" s="1121" t="s">
        <v>1424</v>
      </c>
      <c r="W29" s="1122" t="e">
        <f t="shared" si="14"/>
        <v>#N/A</v>
      </c>
      <c r="X29" s="1115"/>
      <c r="Y29" s="3474"/>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4"/>
      <c r="Q30" s="681" t="str">
        <f t="shared" si="11"/>
        <v>物业等级</v>
      </c>
      <c r="R30" s="1121" t="s">
        <v>1424</v>
      </c>
      <c r="S30" s="1122">
        <f t="shared" si="12"/>
        <v>100</v>
      </c>
      <c r="T30" s="1121" t="s">
        <v>1424</v>
      </c>
      <c r="U30" s="1122">
        <f t="shared" si="13"/>
        <v>100</v>
      </c>
      <c r="V30" s="1121" t="s">
        <v>1424</v>
      </c>
      <c r="W30" s="1122">
        <f t="shared" si="14"/>
        <v>100</v>
      </c>
      <c r="X30" s="1115"/>
      <c r="Y30" s="3474"/>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4"/>
      <c r="Q31" s="1120" t="str">
        <f t="shared" si="11"/>
        <v>停车位面积</v>
      </c>
      <c r="R31" s="1116" t="s">
        <v>1424</v>
      </c>
      <c r="S31" s="1117" t="e">
        <f t="shared" si="12"/>
        <v>#N/A</v>
      </c>
      <c r="T31" s="1116" t="s">
        <v>1424</v>
      </c>
      <c r="U31" s="1117" t="e">
        <f t="shared" si="13"/>
        <v>#N/A</v>
      </c>
      <c r="V31" s="1116" t="s">
        <v>1424</v>
      </c>
      <c r="W31" s="1117" t="e">
        <f t="shared" si="14"/>
        <v>#N/A</v>
      </c>
      <c r="X31" s="1118"/>
      <c r="Y31" s="3474"/>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4" t="s">
        <v>1445</v>
      </c>
      <c r="Q32" s="681" t="str">
        <f t="shared" si="11"/>
        <v>车位类型</v>
      </c>
      <c r="R32" s="1121" t="s">
        <v>1424</v>
      </c>
      <c r="S32" s="1122">
        <f t="shared" si="12"/>
        <v>100</v>
      </c>
      <c r="T32" s="1121" t="s">
        <v>1424</v>
      </c>
      <c r="U32" s="1122">
        <f t="shared" si="13"/>
        <v>100</v>
      </c>
      <c r="V32" s="1121" t="s">
        <v>1424</v>
      </c>
      <c r="W32" s="1122">
        <f t="shared" si="14"/>
        <v>100</v>
      </c>
      <c r="X32" s="1115"/>
      <c r="Y32" s="3474"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4"/>
      <c r="Q33" s="681" t="str">
        <f t="shared" si="11"/>
        <v>是否直接入户</v>
      </c>
      <c r="R33" s="1121" t="s">
        <v>1424</v>
      </c>
      <c r="S33" s="1122">
        <f t="shared" si="12"/>
        <v>100</v>
      </c>
      <c r="T33" s="1121" t="s">
        <v>1424</v>
      </c>
      <c r="U33" s="1122">
        <f t="shared" si="13"/>
        <v>100</v>
      </c>
      <c r="V33" s="1121" t="s">
        <v>1424</v>
      </c>
      <c r="W33" s="1122">
        <f t="shared" si="14"/>
        <v>100</v>
      </c>
      <c r="X33" s="1115"/>
      <c r="Y33" s="3474"/>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4"/>
      <c r="Q34" s="681">
        <f t="shared" si="11"/>
        <v>111</v>
      </c>
      <c r="R34" s="1121" t="s">
        <v>1424</v>
      </c>
      <c r="S34" s="1122">
        <f t="shared" si="12"/>
        <v>100</v>
      </c>
      <c r="T34" s="1121" t="s">
        <v>1424</v>
      </c>
      <c r="U34" s="1122">
        <f t="shared" si="13"/>
        <v>100</v>
      </c>
      <c r="V34" s="1121" t="s">
        <v>1424</v>
      </c>
      <c r="W34" s="1122">
        <f t="shared" si="14"/>
        <v>100</v>
      </c>
      <c r="X34" s="1115"/>
      <c r="Y34" s="3474"/>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4"/>
      <c r="Q35" s="1348">
        <f t="shared" si="11"/>
        <v>111</v>
      </c>
      <c r="R35" s="1123" t="s">
        <v>1424</v>
      </c>
      <c r="S35" s="1124">
        <f t="shared" si="12"/>
        <v>100</v>
      </c>
      <c r="T35" s="1123" t="s">
        <v>1424</v>
      </c>
      <c r="U35" s="1124">
        <f t="shared" si="13"/>
        <v>100</v>
      </c>
      <c r="V35" s="1123" t="s">
        <v>1424</v>
      </c>
      <c r="W35" s="1124">
        <f t="shared" si="14"/>
        <v>100</v>
      </c>
      <c r="X35" s="1125"/>
      <c r="Y35" s="3474"/>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4"/>
      <c r="Q36" s="681">
        <f t="shared" si="11"/>
        <v>111</v>
      </c>
      <c r="R36" s="1121" t="s">
        <v>1424</v>
      </c>
      <c r="S36" s="1122">
        <f t="shared" si="12"/>
        <v>100</v>
      </c>
      <c r="T36" s="1121" t="s">
        <v>1424</v>
      </c>
      <c r="U36" s="1122">
        <f t="shared" si="13"/>
        <v>100</v>
      </c>
      <c r="V36" s="1121" t="s">
        <v>1424</v>
      </c>
      <c r="W36" s="1122">
        <f t="shared" si="14"/>
        <v>100</v>
      </c>
      <c r="X36" s="1115"/>
      <c r="Y36" s="3474"/>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1430</v>
      </c>
      <c r="Q9" s="1120" t="str">
        <f t="shared" ref="Q9:Q14" si="6">B9</f>
        <v>用途</v>
      </c>
      <c r="R9" s="1116" t="s">
        <v>1424</v>
      </c>
      <c r="S9" s="1117">
        <f t="shared" si="0"/>
        <v>100</v>
      </c>
      <c r="T9" s="1116" t="s">
        <v>1424</v>
      </c>
      <c r="U9" s="1117">
        <f t="shared" si="1"/>
        <v>100</v>
      </c>
      <c r="V9" s="1116" t="s">
        <v>1424</v>
      </c>
      <c r="W9" s="1117">
        <f t="shared" si="2"/>
        <v>100</v>
      </c>
      <c r="X9" s="1118"/>
      <c r="Y9" s="3398"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1424</v>
      </c>
      <c r="S11" s="1117">
        <f t="shared" si="0"/>
        <v>100</v>
      </c>
      <c r="T11" s="1116" t="s">
        <v>1424</v>
      </c>
      <c r="U11" s="1117">
        <f t="shared" si="1"/>
        <v>100</v>
      </c>
      <c r="V11" s="1116" t="s">
        <v>1424</v>
      </c>
      <c r="W11" s="1117">
        <f t="shared" si="2"/>
        <v>100</v>
      </c>
      <c r="X11" s="1118"/>
      <c r="Y11" s="339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2" t="s">
        <v>1436</v>
      </c>
      <c r="Q14" s="681" t="str">
        <f t="shared" si="6"/>
        <v>交通便捷度</v>
      </c>
      <c r="R14" s="1121" t="s">
        <v>1424</v>
      </c>
      <c r="S14" s="1122">
        <f t="shared" si="0"/>
        <v>100</v>
      </c>
      <c r="T14" s="1121" t="s">
        <v>1424</v>
      </c>
      <c r="U14" s="1122">
        <f t="shared" si="1"/>
        <v>100</v>
      </c>
      <c r="V14" s="1121" t="s">
        <v>1424</v>
      </c>
      <c r="W14" s="1122">
        <f t="shared" si="2"/>
        <v>100</v>
      </c>
      <c r="X14" s="1115"/>
      <c r="Y14" s="3472"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3"/>
      <c r="Q15" s="681"/>
      <c r="R15" s="1121"/>
      <c r="S15" s="1122"/>
      <c r="T15" s="1121"/>
      <c r="U15" s="1122"/>
      <c r="V15" s="1121"/>
      <c r="W15" s="1122"/>
      <c r="X15" s="1115"/>
      <c r="Y15" s="3473"/>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3"/>
      <c r="Q16" s="681" t="str">
        <f>B16</f>
        <v>公共配套设施</v>
      </c>
      <c r="R16" s="1121" t="s">
        <v>1424</v>
      </c>
      <c r="S16" s="1122">
        <f>F16</f>
        <v>100</v>
      </c>
      <c r="T16" s="1121" t="s">
        <v>1424</v>
      </c>
      <c r="U16" s="1122">
        <f>H16</f>
        <v>100</v>
      </c>
      <c r="V16" s="1121" t="s">
        <v>1424</v>
      </c>
      <c r="W16" s="1122">
        <f>J16</f>
        <v>100</v>
      </c>
      <c r="X16" s="1115"/>
      <c r="Y16" s="3473"/>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3"/>
      <c r="Q17" s="681"/>
      <c r="R17" s="1121"/>
      <c r="S17" s="1122"/>
      <c r="T17" s="1121"/>
      <c r="U17" s="1122"/>
      <c r="V17" s="1121"/>
      <c r="W17" s="1122"/>
      <c r="X17" s="1115"/>
      <c r="Y17" s="3473"/>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3"/>
      <c r="Q18" s="681" t="str">
        <f>B18</f>
        <v>基础设施水平</v>
      </c>
      <c r="R18" s="1121" t="s">
        <v>1424</v>
      </c>
      <c r="S18" s="1122">
        <f>F18</f>
        <v>100</v>
      </c>
      <c r="T18" s="1121" t="s">
        <v>1424</v>
      </c>
      <c r="U18" s="1122">
        <f>H18</f>
        <v>100</v>
      </c>
      <c r="V18" s="1121" t="s">
        <v>1424</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3"/>
      <c r="Q19" s="681"/>
      <c r="R19" s="1121"/>
      <c r="S19" s="1122"/>
      <c r="T19" s="1121"/>
      <c r="U19" s="1122"/>
      <c r="V19" s="1121"/>
      <c r="W19" s="1122"/>
      <c r="X19" s="1115"/>
      <c r="Y19" s="3473"/>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3"/>
      <c r="Q20" s="681" t="str">
        <f>B20</f>
        <v>自然及人文环境</v>
      </c>
      <c r="R20" s="1121" t="s">
        <v>1424</v>
      </c>
      <c r="S20" s="1122">
        <f>F20</f>
        <v>100</v>
      </c>
      <c r="T20" s="1121" t="s">
        <v>1424</v>
      </c>
      <c r="U20" s="1122">
        <f>H20</f>
        <v>100</v>
      </c>
      <c r="V20" s="1121" t="s">
        <v>1424</v>
      </c>
      <c r="W20" s="1122">
        <f>J20</f>
        <v>100</v>
      </c>
      <c r="X20" s="1115"/>
      <c r="Y20" s="3473"/>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3"/>
      <c r="Q21" s="681"/>
      <c r="R21" s="1121"/>
      <c r="S21" s="1122"/>
      <c r="T21" s="1121"/>
      <c r="U21" s="1122"/>
      <c r="V21" s="1121"/>
      <c r="W21" s="1122"/>
      <c r="X21" s="1115"/>
      <c r="Y21" s="3473"/>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3"/>
      <c r="Q22" s="681" t="str">
        <f>B22</f>
        <v>楼层</v>
      </c>
      <c r="R22" s="1121" t="s">
        <v>1424</v>
      </c>
      <c r="S22" s="1122">
        <f>F22</f>
        <v>100</v>
      </c>
      <c r="T22" s="1121" t="s">
        <v>1424</v>
      </c>
      <c r="U22" s="1122">
        <f>H22</f>
        <v>100</v>
      </c>
      <c r="V22" s="1121" t="s">
        <v>1424</v>
      </c>
      <c r="W22" s="1122">
        <f>J22</f>
        <v>100</v>
      </c>
      <c r="X22" s="1115"/>
      <c r="Y22" s="3473"/>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3"/>
      <c r="Q23" s="681">
        <f>B23</f>
        <v>111</v>
      </c>
      <c r="R23" s="1121" t="s">
        <v>1424</v>
      </c>
      <c r="S23" s="1122">
        <f>F23</f>
        <v>100</v>
      </c>
      <c r="T23" s="1121" t="s">
        <v>1424</v>
      </c>
      <c r="U23" s="1122">
        <f>H23</f>
        <v>100</v>
      </c>
      <c r="V23" s="1121" t="s">
        <v>1424</v>
      </c>
      <c r="W23" s="1122">
        <f>J23</f>
        <v>100</v>
      </c>
      <c r="X23" s="1115"/>
      <c r="Y23" s="3473"/>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3"/>
      <c r="Q24" s="681">
        <f t="shared" ref="Q24:Q34" si="11">B24</f>
        <v>111</v>
      </c>
      <c r="R24" s="1121" t="s">
        <v>1424</v>
      </c>
      <c r="S24" s="1122">
        <f>F24</f>
        <v>100</v>
      </c>
      <c r="T24" s="1121" t="s">
        <v>1424</v>
      </c>
      <c r="U24" s="1122">
        <f>H24</f>
        <v>100</v>
      </c>
      <c r="V24" s="1121" t="s">
        <v>1424</v>
      </c>
      <c r="W24" s="1122">
        <f>J24</f>
        <v>100</v>
      </c>
      <c r="X24" s="1115"/>
      <c r="Y24" s="3473"/>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3"/>
      <c r="Q25" s="1120">
        <f t="shared" si="11"/>
        <v>111</v>
      </c>
      <c r="R25" s="1116" t="s">
        <v>1424</v>
      </c>
      <c r="S25" s="1117">
        <f>F25</f>
        <v>100</v>
      </c>
      <c r="T25" s="1116" t="s">
        <v>1424</v>
      </c>
      <c r="U25" s="1117">
        <f>H25</f>
        <v>100</v>
      </c>
      <c r="V25" s="1116" t="s">
        <v>1424</v>
      </c>
      <c r="W25" s="1117">
        <f>J25</f>
        <v>100</v>
      </c>
      <c r="X25" s="1118"/>
      <c r="Y25" s="3473"/>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4"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4"/>
      <c r="Q27" s="1348" t="str">
        <f t="shared" si="11"/>
        <v>成新率</v>
      </c>
      <c r="R27" s="1123" t="s">
        <v>1424</v>
      </c>
      <c r="S27" s="1124" t="e">
        <f t="shared" si="12"/>
        <v>#N/A</v>
      </c>
      <c r="T27" s="1123" t="s">
        <v>1424</v>
      </c>
      <c r="U27" s="1124" t="e">
        <f t="shared" si="13"/>
        <v>#N/A</v>
      </c>
      <c r="V27" s="1123" t="s">
        <v>1424</v>
      </c>
      <c r="W27" s="1124" t="e">
        <f t="shared" si="14"/>
        <v>#N/A</v>
      </c>
      <c r="X27" s="1125"/>
      <c r="Y27" s="3474"/>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4"/>
      <c r="Q28" s="681" t="str">
        <f t="shared" si="11"/>
        <v>物业等级</v>
      </c>
      <c r="R28" s="1121" t="s">
        <v>1424</v>
      </c>
      <c r="S28" s="1122">
        <f t="shared" si="12"/>
        <v>100</v>
      </c>
      <c r="T28" s="1121" t="s">
        <v>1424</v>
      </c>
      <c r="U28" s="1122">
        <f t="shared" si="13"/>
        <v>100</v>
      </c>
      <c r="V28" s="1121" t="s">
        <v>1424</v>
      </c>
      <c r="W28" s="1122">
        <f t="shared" si="14"/>
        <v>100</v>
      </c>
      <c r="X28" s="1115"/>
      <c r="Y28" s="3474"/>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4"/>
      <c r="Q29" s="681" t="str">
        <f t="shared" si="11"/>
        <v>有无电梯</v>
      </c>
      <c r="R29" s="1121" t="s">
        <v>1424</v>
      </c>
      <c r="S29" s="1122">
        <f t="shared" si="12"/>
        <v>100</v>
      </c>
      <c r="T29" s="1121" t="s">
        <v>1424</v>
      </c>
      <c r="U29" s="1122">
        <f t="shared" si="13"/>
        <v>100</v>
      </c>
      <c r="V29" s="1121" t="s">
        <v>1424</v>
      </c>
      <c r="W29" s="1122">
        <f t="shared" si="14"/>
        <v>100</v>
      </c>
      <c r="X29" s="1115"/>
      <c r="Y29" s="3474"/>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4"/>
      <c r="Q30" s="681" t="str">
        <f t="shared" si="11"/>
        <v>建筑面积</v>
      </c>
      <c r="R30" s="1121" t="s">
        <v>1424</v>
      </c>
      <c r="S30" s="1122" t="e">
        <f t="shared" si="12"/>
        <v>#N/A</v>
      </c>
      <c r="T30" s="1121" t="s">
        <v>1424</v>
      </c>
      <c r="U30" s="1122" t="e">
        <f t="shared" si="13"/>
        <v>#N/A</v>
      </c>
      <c r="V30" s="1121" t="s">
        <v>1424</v>
      </c>
      <c r="W30" s="1122" t="e">
        <f t="shared" si="14"/>
        <v>#N/A</v>
      </c>
      <c r="X30" s="1115"/>
      <c r="Y30" s="3474"/>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4"/>
      <c r="Q31" s="1120" t="str">
        <f t="shared" si="11"/>
        <v>是否封闭</v>
      </c>
      <c r="R31" s="1116" t="s">
        <v>1424</v>
      </c>
      <c r="S31" s="1117">
        <f t="shared" si="12"/>
        <v>100</v>
      </c>
      <c r="T31" s="1116" t="s">
        <v>1424</v>
      </c>
      <c r="U31" s="1117">
        <f t="shared" si="13"/>
        <v>100</v>
      </c>
      <c r="V31" s="1116" t="s">
        <v>1424</v>
      </c>
      <c r="W31" s="1117">
        <f t="shared" si="14"/>
        <v>100</v>
      </c>
      <c r="X31" s="1118"/>
      <c r="Y31" s="3474"/>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4" t="s">
        <v>1445</v>
      </c>
      <c r="Q32" s="681">
        <f t="shared" si="11"/>
        <v>111</v>
      </c>
      <c r="R32" s="1121" t="s">
        <v>1424</v>
      </c>
      <c r="S32" s="1122">
        <f t="shared" si="12"/>
        <v>100</v>
      </c>
      <c r="T32" s="1121" t="s">
        <v>1424</v>
      </c>
      <c r="U32" s="1122">
        <f t="shared" si="13"/>
        <v>100</v>
      </c>
      <c r="V32" s="1121" t="s">
        <v>1424</v>
      </c>
      <c r="W32" s="1122">
        <f t="shared" si="14"/>
        <v>100</v>
      </c>
      <c r="X32" s="1115"/>
      <c r="Y32" s="3474"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4"/>
      <c r="Q33" s="681">
        <f t="shared" si="11"/>
        <v>111</v>
      </c>
      <c r="R33" s="1121" t="s">
        <v>1424</v>
      </c>
      <c r="S33" s="1122">
        <f t="shared" si="12"/>
        <v>100</v>
      </c>
      <c r="T33" s="1121" t="s">
        <v>1424</v>
      </c>
      <c r="U33" s="1122">
        <f t="shared" si="13"/>
        <v>100</v>
      </c>
      <c r="V33" s="1121" t="s">
        <v>1424</v>
      </c>
      <c r="W33" s="1122">
        <f t="shared" si="14"/>
        <v>100</v>
      </c>
      <c r="X33" s="1115"/>
      <c r="Y33" s="3474"/>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4"/>
      <c r="Q34" s="681">
        <f t="shared" si="11"/>
        <v>111</v>
      </c>
      <c r="R34" s="1121" t="s">
        <v>1424</v>
      </c>
      <c r="S34" s="1122">
        <f t="shared" si="12"/>
        <v>100</v>
      </c>
      <c r="T34" s="1121" t="s">
        <v>1424</v>
      </c>
      <c r="U34" s="1122">
        <f t="shared" si="13"/>
        <v>100</v>
      </c>
      <c r="V34" s="1121" t="s">
        <v>1424</v>
      </c>
      <c r="W34" s="1122">
        <f t="shared" si="14"/>
        <v>100</v>
      </c>
      <c r="X34" s="1115"/>
      <c r="Y34" s="3474"/>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30"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30"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1424</v>
      </c>
      <c r="S12" s="1117">
        <f t="shared" si="0"/>
        <v>100</v>
      </c>
      <c r="T12" s="1116" t="s">
        <v>1424</v>
      </c>
      <c r="U12" s="1117">
        <f t="shared" si="1"/>
        <v>100</v>
      </c>
      <c r="V12" s="1116" t="s">
        <v>1424</v>
      </c>
      <c r="W12" s="1117">
        <f t="shared" si="2"/>
        <v>100</v>
      </c>
      <c r="X12" s="1118"/>
      <c r="Y12" s="339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2" t="s">
        <v>1436</v>
      </c>
      <c r="Q15" s="681" t="str">
        <f t="shared" si="6"/>
        <v>居住社区成熟度</v>
      </c>
      <c r="R15" s="1121" t="s">
        <v>1424</v>
      </c>
      <c r="S15" s="1122">
        <f t="shared" si="0"/>
        <v>100</v>
      </c>
      <c r="T15" s="1121" t="s">
        <v>1424</v>
      </c>
      <c r="U15" s="1122">
        <f t="shared" si="1"/>
        <v>100</v>
      </c>
      <c r="V15" s="1121" t="s">
        <v>1424</v>
      </c>
      <c r="W15" s="1122">
        <f t="shared" si="2"/>
        <v>100</v>
      </c>
      <c r="X15" s="1115"/>
      <c r="Y15" s="3472"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3"/>
      <c r="Q17" s="681" t="str">
        <f>B17</f>
        <v>商业繁华度</v>
      </c>
      <c r="R17" s="1121" t="s">
        <v>1424</v>
      </c>
      <c r="S17" s="1122">
        <f>F17</f>
        <v>100</v>
      </c>
      <c r="T17" s="1121" t="s">
        <v>1424</v>
      </c>
      <c r="U17" s="1122">
        <f>H17</f>
        <v>100</v>
      </c>
      <c r="V17" s="1121" t="s">
        <v>1424</v>
      </c>
      <c r="W17" s="1122">
        <f>J17</f>
        <v>100</v>
      </c>
      <c r="X17" s="1115"/>
      <c r="Y17" s="3473"/>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3"/>
      <c r="Q19" s="681" t="str">
        <f>B19</f>
        <v>办公集聚程度</v>
      </c>
      <c r="R19" s="1121" t="s">
        <v>1424</v>
      </c>
      <c r="S19" s="1122">
        <f>F19</f>
        <v>100</v>
      </c>
      <c r="T19" s="1121" t="s">
        <v>1424</v>
      </c>
      <c r="U19" s="1122">
        <f>H19</f>
        <v>100</v>
      </c>
      <c r="V19" s="1121" t="s">
        <v>1424</v>
      </c>
      <c r="W19" s="1122">
        <f>J19</f>
        <v>100</v>
      </c>
      <c r="X19" s="1115"/>
      <c r="Y19" s="3473"/>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3"/>
      <c r="Q20" s="681"/>
      <c r="R20" s="1121"/>
      <c r="S20" s="1122"/>
      <c r="T20" s="1121"/>
      <c r="U20" s="1122"/>
      <c r="V20" s="1121"/>
      <c r="W20" s="1122"/>
      <c r="X20" s="1115"/>
      <c r="Y20" s="3473"/>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3"/>
      <c r="Q21" s="681" t="str">
        <f>B21</f>
        <v>交通便捷度</v>
      </c>
      <c r="R21" s="1121" t="s">
        <v>1424</v>
      </c>
      <c r="S21" s="1122">
        <f>F21</f>
        <v>100</v>
      </c>
      <c r="T21" s="1121" t="s">
        <v>1424</v>
      </c>
      <c r="U21" s="1122">
        <f>H21</f>
        <v>100</v>
      </c>
      <c r="V21" s="1121" t="s">
        <v>1424</v>
      </c>
      <c r="W21" s="1122">
        <f>J21</f>
        <v>100</v>
      </c>
      <c r="X21" s="1115"/>
      <c r="Y21" s="3473"/>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3"/>
      <c r="Q23" s="681" t="str">
        <f t="shared" ref="Q23:Q38" si="8">B23</f>
        <v>区域土地利用方向</v>
      </c>
      <c r="R23" s="1121" t="s">
        <v>1424</v>
      </c>
      <c r="S23" s="1122">
        <f>F23</f>
        <v>100</v>
      </c>
      <c r="T23" s="1121" t="s">
        <v>1424</v>
      </c>
      <c r="U23" s="1122">
        <f>H23</f>
        <v>100</v>
      </c>
      <c r="V23" s="1121" t="s">
        <v>1424</v>
      </c>
      <c r="W23" s="1122">
        <f>J23</f>
        <v>100</v>
      </c>
      <c r="X23" s="1115"/>
      <c r="Y23" s="3473"/>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3"/>
      <c r="Q24" s="681"/>
      <c r="R24" s="1121"/>
      <c r="S24" s="1122"/>
      <c r="T24" s="1121"/>
      <c r="U24" s="1122"/>
      <c r="V24" s="1121"/>
      <c r="W24" s="1122"/>
      <c r="X24" s="1115"/>
      <c r="Y24" s="3473"/>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3"/>
      <c r="Q25" s="681" t="str">
        <f t="shared" si="8"/>
        <v>自然及人文环境状况</v>
      </c>
      <c r="R25" s="1121" t="s">
        <v>1424</v>
      </c>
      <c r="S25" s="1122">
        <f>F25</f>
        <v>100</v>
      </c>
      <c r="T25" s="1121" t="s">
        <v>1424</v>
      </c>
      <c r="U25" s="1122">
        <f>H25</f>
        <v>100</v>
      </c>
      <c r="V25" s="1121" t="s">
        <v>1424</v>
      </c>
      <c r="W25" s="1122">
        <f>J25</f>
        <v>100</v>
      </c>
      <c r="X25" s="1115"/>
      <c r="Y25" s="3473"/>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3"/>
      <c r="Q26" s="681"/>
      <c r="R26" s="1121"/>
      <c r="S26" s="1122"/>
      <c r="T26" s="1121"/>
      <c r="U26" s="1122"/>
      <c r="V26" s="1121"/>
      <c r="W26" s="1122"/>
      <c r="X26" s="1115"/>
      <c r="Y26" s="3473"/>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3"/>
      <c r="Q27" s="1120" t="str">
        <f t="shared" si="8"/>
        <v>公共配套设施</v>
      </c>
      <c r="R27" s="1116" t="s">
        <v>1424</v>
      </c>
      <c r="S27" s="1117">
        <f>F27</f>
        <v>100</v>
      </c>
      <c r="T27" s="1116" t="s">
        <v>1424</v>
      </c>
      <c r="U27" s="1117">
        <f>H27</f>
        <v>100</v>
      </c>
      <c r="V27" s="1116" t="s">
        <v>1424</v>
      </c>
      <c r="W27" s="1117">
        <f>J27</f>
        <v>100</v>
      </c>
      <c r="X27" s="1118"/>
      <c r="Y27" s="3473"/>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3"/>
      <c r="Q28" s="1120"/>
      <c r="R28" s="1116"/>
      <c r="S28" s="1117"/>
      <c r="T28" s="1116"/>
      <c r="U28" s="1117"/>
      <c r="V28" s="1116"/>
      <c r="W28" s="1117"/>
      <c r="X28" s="1118"/>
      <c r="Y28" s="3473"/>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3"/>
      <c r="Q29" s="1120" t="str">
        <f t="shared" ref="Q29" si="9">B29</f>
        <v>基础设施水平</v>
      </c>
      <c r="R29" s="1116" t="s">
        <v>1424</v>
      </c>
      <c r="S29" s="1117">
        <f>F29</f>
        <v>100</v>
      </c>
      <c r="T29" s="1116" t="s">
        <v>1424</v>
      </c>
      <c r="U29" s="1117">
        <f>H29</f>
        <v>100</v>
      </c>
      <c r="V29" s="1116" t="s">
        <v>1424</v>
      </c>
      <c r="W29" s="1117">
        <f>J29</f>
        <v>100</v>
      </c>
      <c r="X29" s="1118"/>
      <c r="Y29" s="3473"/>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3"/>
      <c r="Q30" s="1120"/>
      <c r="R30" s="1116"/>
      <c r="S30" s="1117"/>
      <c r="T30" s="1116"/>
      <c r="U30" s="1117"/>
      <c r="V30" s="1116"/>
      <c r="W30" s="1117"/>
      <c r="X30" s="1118"/>
      <c r="Y30" s="3473"/>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3"/>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3"/>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3"/>
      <c r="Q32" s="681" t="str">
        <f t="shared" si="8"/>
        <v>毗邻道路的类型与等级</v>
      </c>
      <c r="R32" s="1121" t="s">
        <v>1424</v>
      </c>
      <c r="S32" s="1122">
        <f t="shared" si="10"/>
        <v>100</v>
      </c>
      <c r="T32" s="1121" t="s">
        <v>1424</v>
      </c>
      <c r="U32" s="1122">
        <f t="shared" si="11"/>
        <v>100</v>
      </c>
      <c r="V32" s="1121" t="s">
        <v>1424</v>
      </c>
      <c r="W32" s="1122">
        <f t="shared" si="12"/>
        <v>100</v>
      </c>
      <c r="X32" s="1115"/>
      <c r="Y32" s="3473"/>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3"/>
      <c r="Q33" s="681"/>
      <c r="R33" s="1121"/>
      <c r="S33" s="1122"/>
      <c r="T33" s="1121"/>
      <c r="U33" s="1122"/>
      <c r="V33" s="1121"/>
      <c r="W33" s="1122"/>
      <c r="X33" s="1115"/>
      <c r="Y33" s="3473"/>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3"/>
      <c r="Q34" s="681" t="str">
        <f t="shared" si="8"/>
        <v>土地级别</v>
      </c>
      <c r="R34" s="1121" t="s">
        <v>1424</v>
      </c>
      <c r="S34" s="1122">
        <f t="shared" si="10"/>
        <v>100</v>
      </c>
      <c r="T34" s="1121" t="s">
        <v>1424</v>
      </c>
      <c r="U34" s="1122">
        <f t="shared" si="11"/>
        <v>100</v>
      </c>
      <c r="V34" s="1121" t="s">
        <v>1424</v>
      </c>
      <c r="W34" s="1122">
        <f t="shared" si="12"/>
        <v>100</v>
      </c>
      <c r="X34" s="1115"/>
      <c r="Y34" s="3473"/>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3"/>
      <c r="Q35" s="681">
        <f t="shared" si="8"/>
        <v>111</v>
      </c>
      <c r="R35" s="1121" t="s">
        <v>1424</v>
      </c>
      <c r="S35" s="1122">
        <f t="shared" si="10"/>
        <v>100</v>
      </c>
      <c r="T35" s="1121" t="s">
        <v>1424</v>
      </c>
      <c r="U35" s="1122">
        <f t="shared" si="11"/>
        <v>100</v>
      </c>
      <c r="V35" s="1121" t="s">
        <v>1424</v>
      </c>
      <c r="W35" s="1122">
        <f t="shared" si="12"/>
        <v>100</v>
      </c>
      <c r="X35" s="1115"/>
      <c r="Y35" s="3473"/>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4"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4"/>
      <c r="Q37" s="681">
        <f t="shared" si="8"/>
        <v>111</v>
      </c>
      <c r="R37" s="1123" t="s">
        <v>1424</v>
      </c>
      <c r="S37" s="1124">
        <f t="shared" si="10"/>
        <v>100</v>
      </c>
      <c r="T37" s="1123" t="s">
        <v>1424</v>
      </c>
      <c r="U37" s="1124">
        <f t="shared" si="11"/>
        <v>100</v>
      </c>
      <c r="V37" s="1123" t="s">
        <v>1424</v>
      </c>
      <c r="W37" s="1124">
        <f t="shared" si="12"/>
        <v>100</v>
      </c>
      <c r="X37" s="1125"/>
      <c r="Y37" s="3474"/>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4"/>
      <c r="Q38" s="681" t="str">
        <f t="shared" si="8"/>
        <v>宗地面积</v>
      </c>
      <c r="R38" s="1121" t="s">
        <v>1424</v>
      </c>
      <c r="S38" s="1122" t="e">
        <f t="shared" si="10"/>
        <v>#N/A</v>
      </c>
      <c r="T38" s="1121" t="s">
        <v>1424</v>
      </c>
      <c r="U38" s="1122" t="e">
        <f t="shared" si="11"/>
        <v>#N/A</v>
      </c>
      <c r="V38" s="1121" t="s">
        <v>1424</v>
      </c>
      <c r="W38" s="1122" t="e">
        <f t="shared" si="12"/>
        <v>#N/A</v>
      </c>
      <c r="X38" s="1115"/>
      <c r="Y38" s="3474"/>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4"/>
      <c r="Q39" s="681" t="str">
        <f t="shared" ref="Q39:Q45" si="14">B39</f>
        <v>宗地形状</v>
      </c>
      <c r="R39" s="1121" t="s">
        <v>1424</v>
      </c>
      <c r="S39" s="1122">
        <f t="shared" si="10"/>
        <v>100</v>
      </c>
      <c r="T39" s="1121" t="s">
        <v>1424</v>
      </c>
      <c r="U39" s="1122">
        <f t="shared" si="11"/>
        <v>100</v>
      </c>
      <c r="V39" s="1121" t="s">
        <v>1424</v>
      </c>
      <c r="W39" s="1122">
        <f t="shared" si="12"/>
        <v>100</v>
      </c>
      <c r="X39" s="1115"/>
      <c r="Y39" s="3474"/>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4"/>
      <c r="Q40" s="681" t="str">
        <f t="shared" si="14"/>
        <v>临街宽度及深度</v>
      </c>
      <c r="R40" s="1121" t="s">
        <v>1424</v>
      </c>
      <c r="S40" s="1122">
        <f t="shared" si="10"/>
        <v>100</v>
      </c>
      <c r="T40" s="1121" t="s">
        <v>1424</v>
      </c>
      <c r="U40" s="1122">
        <f t="shared" si="11"/>
        <v>100</v>
      </c>
      <c r="V40" s="1121" t="s">
        <v>1424</v>
      </c>
      <c r="W40" s="1122">
        <f t="shared" si="12"/>
        <v>100</v>
      </c>
      <c r="X40" s="1115"/>
      <c r="Y40" s="3474"/>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4"/>
      <c r="Q41" s="681" t="str">
        <f t="shared" si="14"/>
        <v>宗地开发程度</v>
      </c>
      <c r="R41" s="1116" t="s">
        <v>1424</v>
      </c>
      <c r="S41" s="1117">
        <f t="shared" si="10"/>
        <v>100</v>
      </c>
      <c r="T41" s="1116" t="s">
        <v>1424</v>
      </c>
      <c r="U41" s="1117">
        <f t="shared" si="11"/>
        <v>100</v>
      </c>
      <c r="V41" s="1116" t="s">
        <v>1424</v>
      </c>
      <c r="W41" s="1117">
        <f t="shared" si="12"/>
        <v>100</v>
      </c>
      <c r="X41" s="1118"/>
      <c r="Y41" s="3474"/>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4" t="s">
        <v>1445</v>
      </c>
      <c r="Q42" s="681" t="str">
        <f t="shared" si="14"/>
        <v>工程地质条件</v>
      </c>
      <c r="R42" s="1121" t="s">
        <v>1424</v>
      </c>
      <c r="S42" s="1122">
        <f t="shared" si="10"/>
        <v>100</v>
      </c>
      <c r="T42" s="1121" t="s">
        <v>1424</v>
      </c>
      <c r="U42" s="1122">
        <f t="shared" si="11"/>
        <v>100</v>
      </c>
      <c r="V42" s="1121" t="s">
        <v>1424</v>
      </c>
      <c r="W42" s="1122">
        <f t="shared" si="12"/>
        <v>100</v>
      </c>
      <c r="X42" s="1115"/>
      <c r="Y42" s="3474"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4"/>
      <c r="Q43" s="681">
        <f t="shared" si="14"/>
        <v>111</v>
      </c>
      <c r="R43" s="1121" t="s">
        <v>1424</v>
      </c>
      <c r="S43" s="1122">
        <f t="shared" si="10"/>
        <v>100</v>
      </c>
      <c r="T43" s="1121" t="s">
        <v>1424</v>
      </c>
      <c r="U43" s="1122">
        <f t="shared" si="11"/>
        <v>100</v>
      </c>
      <c r="V43" s="1121" t="s">
        <v>1424</v>
      </c>
      <c r="W43" s="1122">
        <f t="shared" si="12"/>
        <v>100</v>
      </c>
      <c r="X43" s="1115"/>
      <c r="Y43" s="3474"/>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4"/>
      <c r="Q44" s="681">
        <f t="shared" si="14"/>
        <v>111</v>
      </c>
      <c r="R44" s="1121" t="s">
        <v>1424</v>
      </c>
      <c r="S44" s="1122">
        <f t="shared" si="10"/>
        <v>100</v>
      </c>
      <c r="T44" s="1121" t="s">
        <v>1424</v>
      </c>
      <c r="U44" s="1122">
        <f t="shared" si="11"/>
        <v>100</v>
      </c>
      <c r="V44" s="1121" t="s">
        <v>1424</v>
      </c>
      <c r="W44" s="1122">
        <f t="shared" si="12"/>
        <v>100</v>
      </c>
      <c r="X44" s="1115"/>
      <c r="Y44" s="3474"/>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4"/>
      <c r="Q45" s="681">
        <f t="shared" si="14"/>
        <v>111</v>
      </c>
      <c r="R45" s="1123" t="s">
        <v>1424</v>
      </c>
      <c r="S45" s="1124">
        <f t="shared" si="10"/>
        <v>100</v>
      </c>
      <c r="T45" s="1123" t="s">
        <v>1424</v>
      </c>
      <c r="U45" s="1124">
        <f t="shared" si="11"/>
        <v>100</v>
      </c>
      <c r="V45" s="1123" t="s">
        <v>1424</v>
      </c>
      <c r="W45" s="1124">
        <f t="shared" si="12"/>
        <v>100</v>
      </c>
      <c r="X45" s="1125"/>
      <c r="Y45" s="3474"/>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1" t="str">
        <f>A46</f>
        <v>成交单价</v>
      </c>
      <c r="Q46" s="3461"/>
      <c r="R46" s="3491">
        <f>E46</f>
        <v>0</v>
      </c>
      <c r="S46" s="3491"/>
      <c r="T46" s="3491">
        <f>G46</f>
        <v>0</v>
      </c>
      <c r="U46" s="3491"/>
      <c r="V46" s="3491">
        <f>I46</f>
        <v>0</v>
      </c>
      <c r="W46" s="349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46" t="s">
        <v>1562</v>
      </c>
      <c r="H55" s="3511"/>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16452.330000000002</v>
      </c>
      <c r="F56" s="1265" t="e">
        <f t="shared" ref="F56:F64" si="15">ROUND(B56*E56/10000,0)</f>
        <v>#DIV/0!</v>
      </c>
      <c r="G56" s="3466"/>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512" t="s">
        <v>1585</v>
      </c>
      <c r="D6" s="3513"/>
      <c r="E6" s="3514" t="s">
        <v>1585</v>
      </c>
      <c r="F6" s="3515"/>
      <c r="G6" s="3512" t="s">
        <v>1585</v>
      </c>
      <c r="H6" s="3513"/>
      <c r="I6" s="3512" t="s">
        <v>1585</v>
      </c>
      <c r="J6" s="3513"/>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2" t="s">
        <v>1436</v>
      </c>
      <c r="Q15" s="681" t="str">
        <f t="shared" si="6"/>
        <v>产业集聚程度</v>
      </c>
      <c r="R15" s="1121" t="s">
        <v>1424</v>
      </c>
      <c r="S15" s="1122">
        <f t="shared" si="0"/>
        <v>100</v>
      </c>
      <c r="T15" s="1121" t="s">
        <v>1424</v>
      </c>
      <c r="U15" s="1122">
        <f t="shared" si="1"/>
        <v>100</v>
      </c>
      <c r="V15" s="1121" t="s">
        <v>1424</v>
      </c>
      <c r="W15" s="1122">
        <f t="shared" si="2"/>
        <v>100</v>
      </c>
      <c r="X15" s="1115"/>
      <c r="Y15" s="3472"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3"/>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3"/>
      <c r="Q19" s="681" t="str">
        <f t="shared" ref="Q19:Q34" si="8">B19</f>
        <v>区域土地利用方向</v>
      </c>
      <c r="R19" s="1121" t="s">
        <v>1424</v>
      </c>
      <c r="S19" s="1122">
        <f>F19</f>
        <v>100</v>
      </c>
      <c r="T19" s="1121" t="s">
        <v>1424</v>
      </c>
      <c r="U19" s="1122">
        <f>H19</f>
        <v>100</v>
      </c>
      <c r="V19" s="1121" t="s">
        <v>1424</v>
      </c>
      <c r="W19" s="1122">
        <f>J19</f>
        <v>100</v>
      </c>
      <c r="X19" s="1115"/>
      <c r="Y19" s="3473"/>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3"/>
      <c r="Q20" s="681"/>
      <c r="R20" s="1121"/>
      <c r="S20" s="1122"/>
      <c r="T20" s="1121"/>
      <c r="U20" s="1122"/>
      <c r="V20" s="1121"/>
      <c r="W20" s="1122"/>
      <c r="X20" s="1115"/>
      <c r="Y20" s="3473"/>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3"/>
      <c r="Q21" s="681" t="str">
        <f t="shared" si="8"/>
        <v>环境状况</v>
      </c>
      <c r="R21" s="1121" t="s">
        <v>1424</v>
      </c>
      <c r="S21" s="1122">
        <f>F21</f>
        <v>100</v>
      </c>
      <c r="T21" s="1121" t="s">
        <v>1424</v>
      </c>
      <c r="U21" s="1122">
        <f>H21</f>
        <v>100</v>
      </c>
      <c r="V21" s="1121" t="s">
        <v>1424</v>
      </c>
      <c r="W21" s="1122">
        <f>J21</f>
        <v>100</v>
      </c>
      <c r="X21" s="1115"/>
      <c r="Y21" s="3473"/>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3"/>
      <c r="Q23" s="1120" t="str">
        <f t="shared" si="8"/>
        <v>公共配套设施</v>
      </c>
      <c r="R23" s="1116" t="s">
        <v>1424</v>
      </c>
      <c r="S23" s="1117">
        <f>F23</f>
        <v>100</v>
      </c>
      <c r="T23" s="1116" t="s">
        <v>1424</v>
      </c>
      <c r="U23" s="1117">
        <f>H23</f>
        <v>100</v>
      </c>
      <c r="V23" s="1116" t="s">
        <v>1424</v>
      </c>
      <c r="W23" s="1117">
        <f>J23</f>
        <v>100</v>
      </c>
      <c r="X23" s="1118"/>
      <c r="Y23" s="3473"/>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3"/>
      <c r="Q24" s="1120"/>
      <c r="R24" s="1116"/>
      <c r="S24" s="1117"/>
      <c r="T24" s="1116"/>
      <c r="U24" s="1117"/>
      <c r="V24" s="1116"/>
      <c r="W24" s="1117"/>
      <c r="X24" s="1118"/>
      <c r="Y24" s="3473"/>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3"/>
      <c r="Q25" s="1120" t="str">
        <f t="shared" ref="Q25" si="9">B25</f>
        <v>基础设施水平</v>
      </c>
      <c r="R25" s="1116" t="s">
        <v>1424</v>
      </c>
      <c r="S25" s="1117">
        <f>F25</f>
        <v>100</v>
      </c>
      <c r="T25" s="1116" t="s">
        <v>1424</v>
      </c>
      <c r="U25" s="1117">
        <f>H25</f>
        <v>100</v>
      </c>
      <c r="V25" s="1116" t="s">
        <v>1424</v>
      </c>
      <c r="W25" s="1117">
        <f>J25</f>
        <v>100</v>
      </c>
      <c r="X25" s="1118"/>
      <c r="Y25" s="3473"/>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3"/>
      <c r="Q26" s="1120"/>
      <c r="R26" s="1116"/>
      <c r="S26" s="1117"/>
      <c r="T26" s="1116"/>
      <c r="U26" s="1117"/>
      <c r="V26" s="1116"/>
      <c r="W26" s="1117"/>
      <c r="X26" s="1118"/>
      <c r="Y26" s="3473"/>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3"/>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3"/>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3"/>
      <c r="Q28" s="681" t="str">
        <f t="shared" si="8"/>
        <v>毗邻道路的类型与等级</v>
      </c>
      <c r="R28" s="1121" t="s">
        <v>1424</v>
      </c>
      <c r="S28" s="1122">
        <f t="shared" si="10"/>
        <v>100</v>
      </c>
      <c r="T28" s="1121" t="s">
        <v>1424</v>
      </c>
      <c r="U28" s="1122">
        <f t="shared" si="11"/>
        <v>100</v>
      </c>
      <c r="V28" s="1121" t="s">
        <v>1424</v>
      </c>
      <c r="W28" s="1122">
        <f t="shared" si="12"/>
        <v>100</v>
      </c>
      <c r="X28" s="1115"/>
      <c r="Y28" s="3473"/>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3"/>
      <c r="Q29" s="681"/>
      <c r="R29" s="1121"/>
      <c r="S29" s="1122"/>
      <c r="T29" s="1121"/>
      <c r="U29" s="1122"/>
      <c r="V29" s="1121"/>
      <c r="W29" s="1122"/>
      <c r="X29" s="1115"/>
      <c r="Y29" s="3473"/>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3"/>
      <c r="Q30" s="681" t="str">
        <f t="shared" si="8"/>
        <v>土地级别</v>
      </c>
      <c r="R30" s="1121" t="s">
        <v>1424</v>
      </c>
      <c r="S30" s="1122">
        <f t="shared" si="10"/>
        <v>100</v>
      </c>
      <c r="T30" s="1121" t="s">
        <v>1424</v>
      </c>
      <c r="U30" s="1122">
        <f t="shared" si="11"/>
        <v>100</v>
      </c>
      <c r="V30" s="1121" t="s">
        <v>1424</v>
      </c>
      <c r="W30" s="1122">
        <f t="shared" si="12"/>
        <v>100</v>
      </c>
      <c r="X30" s="1115"/>
      <c r="Y30" s="3473"/>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3"/>
      <c r="Q31" s="681">
        <f t="shared" si="8"/>
        <v>111</v>
      </c>
      <c r="R31" s="1121" t="s">
        <v>1424</v>
      </c>
      <c r="S31" s="1122">
        <f t="shared" si="10"/>
        <v>100</v>
      </c>
      <c r="T31" s="1121" t="s">
        <v>1424</v>
      </c>
      <c r="U31" s="1122">
        <f t="shared" si="11"/>
        <v>100</v>
      </c>
      <c r="V31" s="1121" t="s">
        <v>1424</v>
      </c>
      <c r="W31" s="1122">
        <f t="shared" si="12"/>
        <v>100</v>
      </c>
      <c r="X31" s="1115"/>
      <c r="Y31" s="3473"/>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4"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4"/>
      <c r="Q33" s="681">
        <f t="shared" si="8"/>
        <v>111</v>
      </c>
      <c r="R33" s="1123" t="s">
        <v>1424</v>
      </c>
      <c r="S33" s="1124">
        <f t="shared" si="10"/>
        <v>100</v>
      </c>
      <c r="T33" s="1123" t="s">
        <v>1424</v>
      </c>
      <c r="U33" s="1124">
        <f t="shared" si="11"/>
        <v>100</v>
      </c>
      <c r="V33" s="1123" t="s">
        <v>1424</v>
      </c>
      <c r="W33" s="1124">
        <f t="shared" si="12"/>
        <v>100</v>
      </c>
      <c r="X33" s="1125"/>
      <c r="Y33" s="3474"/>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4"/>
      <c r="Q34" s="681" t="str">
        <f t="shared" si="8"/>
        <v>宗地面积</v>
      </c>
      <c r="R34" s="1121" t="s">
        <v>1424</v>
      </c>
      <c r="S34" s="1122" t="e">
        <f t="shared" si="10"/>
        <v>#N/A</v>
      </c>
      <c r="T34" s="1121" t="s">
        <v>1424</v>
      </c>
      <c r="U34" s="1122" t="e">
        <f t="shared" si="11"/>
        <v>#N/A</v>
      </c>
      <c r="V34" s="1121" t="s">
        <v>1424</v>
      </c>
      <c r="W34" s="1122" t="e">
        <f t="shared" si="12"/>
        <v>#N/A</v>
      </c>
      <c r="X34" s="1115"/>
      <c r="Y34" s="3474"/>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4"/>
      <c r="Q35" s="681" t="str">
        <f t="shared" ref="Q35:Q40" si="14">B35</f>
        <v>宗地形状</v>
      </c>
      <c r="R35" s="1121" t="s">
        <v>1424</v>
      </c>
      <c r="S35" s="1122">
        <f t="shared" si="10"/>
        <v>100</v>
      </c>
      <c r="T35" s="1121" t="s">
        <v>1424</v>
      </c>
      <c r="U35" s="1122">
        <f t="shared" si="11"/>
        <v>100</v>
      </c>
      <c r="V35" s="1121" t="s">
        <v>1424</v>
      </c>
      <c r="W35" s="1122">
        <f t="shared" si="12"/>
        <v>100</v>
      </c>
      <c r="X35" s="1115"/>
      <c r="Y35" s="3474"/>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4"/>
      <c r="Q36" s="681" t="str">
        <f t="shared" si="14"/>
        <v>宗地开发程度</v>
      </c>
      <c r="R36" s="1116" t="s">
        <v>1424</v>
      </c>
      <c r="S36" s="1117">
        <f t="shared" si="10"/>
        <v>100</v>
      </c>
      <c r="T36" s="1116" t="s">
        <v>1424</v>
      </c>
      <c r="U36" s="1117">
        <f t="shared" si="11"/>
        <v>100</v>
      </c>
      <c r="V36" s="1116" t="s">
        <v>1424</v>
      </c>
      <c r="W36" s="1117">
        <f t="shared" si="12"/>
        <v>100</v>
      </c>
      <c r="X36" s="1118"/>
      <c r="Y36" s="3474"/>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4" t="s">
        <v>1445</v>
      </c>
      <c r="Q37" s="681" t="str">
        <f t="shared" si="14"/>
        <v>工程地质条件</v>
      </c>
      <c r="R37" s="1121" t="s">
        <v>1424</v>
      </c>
      <c r="S37" s="1122">
        <f t="shared" si="10"/>
        <v>100</v>
      </c>
      <c r="T37" s="1121" t="s">
        <v>1424</v>
      </c>
      <c r="U37" s="1122">
        <f t="shared" si="11"/>
        <v>100</v>
      </c>
      <c r="V37" s="1121" t="s">
        <v>1424</v>
      </c>
      <c r="W37" s="1122">
        <f t="shared" si="12"/>
        <v>100</v>
      </c>
      <c r="X37" s="1115"/>
      <c r="Y37" s="3474"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4"/>
      <c r="Q38" s="681">
        <f t="shared" si="14"/>
        <v>111</v>
      </c>
      <c r="R38" s="1121" t="s">
        <v>1424</v>
      </c>
      <c r="S38" s="1122">
        <f t="shared" si="10"/>
        <v>100</v>
      </c>
      <c r="T38" s="1121" t="s">
        <v>1424</v>
      </c>
      <c r="U38" s="1122">
        <f t="shared" si="11"/>
        <v>100</v>
      </c>
      <c r="V38" s="1121" t="s">
        <v>1424</v>
      </c>
      <c r="W38" s="1122">
        <f t="shared" si="12"/>
        <v>100</v>
      </c>
      <c r="X38" s="1115"/>
      <c r="Y38" s="3474"/>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4"/>
      <c r="Q39" s="681">
        <f t="shared" si="14"/>
        <v>111</v>
      </c>
      <c r="R39" s="1121" t="s">
        <v>1424</v>
      </c>
      <c r="S39" s="1122">
        <f t="shared" si="10"/>
        <v>100</v>
      </c>
      <c r="T39" s="1121" t="s">
        <v>1424</v>
      </c>
      <c r="U39" s="1122">
        <f t="shared" si="11"/>
        <v>100</v>
      </c>
      <c r="V39" s="1121" t="s">
        <v>1424</v>
      </c>
      <c r="W39" s="1122">
        <f t="shared" si="12"/>
        <v>100</v>
      </c>
      <c r="X39" s="1115"/>
      <c r="Y39" s="3474"/>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4"/>
      <c r="Q40" s="681">
        <f t="shared" si="14"/>
        <v>111</v>
      </c>
      <c r="R40" s="1123" t="s">
        <v>1424</v>
      </c>
      <c r="S40" s="1124">
        <f t="shared" si="10"/>
        <v>100</v>
      </c>
      <c r="T40" s="1123" t="s">
        <v>1424</v>
      </c>
      <c r="U40" s="1124">
        <f t="shared" si="11"/>
        <v>100</v>
      </c>
      <c r="V40" s="1123" t="s">
        <v>1424</v>
      </c>
      <c r="W40" s="1124">
        <f t="shared" si="12"/>
        <v>100</v>
      </c>
      <c r="X40" s="1125"/>
      <c r="Y40" s="3474"/>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1" t="str">
        <f>A41</f>
        <v>成交单价</v>
      </c>
      <c r="Q41" s="3461"/>
      <c r="R41" s="3491">
        <f>E41</f>
        <v>0</v>
      </c>
      <c r="S41" s="3491"/>
      <c r="T41" s="3491">
        <f>G41</f>
        <v>0</v>
      </c>
      <c r="U41" s="3491"/>
      <c r="V41" s="3491">
        <f>I41</f>
        <v>0</v>
      </c>
      <c r="W41" s="349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46" t="s">
        <v>1562</v>
      </c>
      <c r="H50" s="3511"/>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16452.330000000002</v>
      </c>
      <c r="F51" s="1040" t="e">
        <f t="shared" ref="F51:F60" si="15">ROUND(B51*E51/10000,0)</f>
        <v>#DIV/0!</v>
      </c>
      <c r="G51" s="3466"/>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6"/>
      <c r="B4" s="3517"/>
      <c r="C4" s="3517"/>
      <c r="D4" s="3518"/>
      <c r="E4" s="3518"/>
      <c r="F4" s="3518"/>
      <c r="G4" s="3518"/>
      <c r="H4" s="3518"/>
      <c r="I4" s="3518"/>
      <c r="J4" s="3519"/>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6"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27"/>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0" t="s">
        <v>1621</v>
      </c>
      <c r="X8" s="3521"/>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27"/>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1"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7"/>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7"/>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1"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6"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1"/>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8"/>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1"/>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8"/>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9"/>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6" t="s">
        <v>1336</v>
      </c>
      <c r="B16" s="614" t="s">
        <v>1661</v>
      </c>
      <c r="C16" s="649" t="e">
        <f>ROUND(IF(F17="与级别开发程度一致",0,(G17-E17)/C17),0)</f>
        <v>#DIV/0!</v>
      </c>
      <c r="D16" s="3522" t="s">
        <v>1662</v>
      </c>
      <c r="E16" s="3523"/>
      <c r="F16" s="3522" t="s">
        <v>1663</v>
      </c>
      <c r="G16" s="352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0"/>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1"/>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0"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2"/>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2"/>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3"/>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4" t="s">
        <v>1755</v>
      </c>
      <c r="B90" s="3524"/>
      <c r="C90" s="3524"/>
      <c r="D90" s="3524"/>
      <c r="E90" s="3524"/>
      <c r="F90" s="3524"/>
      <c r="G90" s="3524"/>
      <c r="H90" s="3524"/>
      <c r="I90" s="3524"/>
      <c r="J90" s="3524"/>
      <c r="K90" s="876"/>
      <c r="L90" s="876"/>
      <c r="M90" s="876"/>
      <c r="N90" s="876"/>
    </row>
    <row r="91" spans="1:37">
      <c r="A91" s="3534" t="s">
        <v>1756</v>
      </c>
      <c r="B91" s="3534" t="s">
        <v>1757</v>
      </c>
      <c r="C91" s="711" t="s">
        <v>1758</v>
      </c>
      <c r="D91" s="712"/>
      <c r="E91" s="712"/>
      <c r="F91" s="712"/>
      <c r="G91" s="712"/>
      <c r="H91" s="712"/>
      <c r="I91" s="712"/>
      <c r="J91" s="897"/>
      <c r="K91" s="898"/>
      <c r="L91" s="898"/>
      <c r="M91" s="898"/>
      <c r="N91" s="898"/>
    </row>
    <row r="92" spans="1:37">
      <c r="A92" s="3534"/>
      <c r="B92" s="3534"/>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35"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6"/>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5"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6"/>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6"/>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6"/>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6"/>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6"/>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6"/>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6"/>
      <c r="B108" s="3538"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7"/>
      <c r="B109" s="3539"/>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5" t="s">
        <v>1762</v>
      </c>
      <c r="B110" s="3525"/>
      <c r="C110" s="3525"/>
      <c r="D110" s="3525"/>
      <c r="E110" s="3525"/>
      <c r="F110" s="3525"/>
      <c r="G110" s="3525"/>
      <c r="H110" s="3525"/>
      <c r="I110" s="3525"/>
      <c r="J110" s="3525"/>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2" t="s">
        <v>1777</v>
      </c>
      <c r="B20" s="3548" t="s">
        <v>1796</v>
      </c>
      <c r="C20" s="546" t="s">
        <v>1797</v>
      </c>
      <c r="D20" s="547"/>
      <c r="E20" s="548">
        <v>1</v>
      </c>
      <c r="F20" s="549" t="s">
        <v>1798</v>
      </c>
      <c r="G20" s="550"/>
      <c r="H20" s="518"/>
      <c r="I20" s="518"/>
    </row>
    <row r="21" spans="1:13" s="517" customFormat="1" ht="19.5" customHeight="1">
      <c r="A21" s="3543"/>
      <c r="B21" s="3549"/>
      <c r="C21" s="551" t="s">
        <v>1799</v>
      </c>
      <c r="D21" s="552"/>
      <c r="E21" s="553">
        <v>1</v>
      </c>
      <c r="F21" s="549" t="s">
        <v>1800</v>
      </c>
      <c r="G21" s="550"/>
      <c r="H21" s="518"/>
      <c r="I21" s="518"/>
    </row>
    <row r="22" spans="1:13" s="517" customFormat="1" ht="19.5" customHeight="1">
      <c r="A22" s="3543"/>
      <c r="B22" s="3549"/>
      <c r="C22" s="551" t="s">
        <v>1801</v>
      </c>
      <c r="D22" s="552"/>
      <c r="E22" s="553">
        <v>0.9</v>
      </c>
      <c r="F22" s="549" t="s">
        <v>1802</v>
      </c>
      <c r="G22" s="550"/>
      <c r="H22" s="518"/>
      <c r="I22" s="518"/>
    </row>
    <row r="23" spans="1:13" s="517" customFormat="1" ht="19.5" customHeight="1">
      <c r="A23" s="3543"/>
      <c r="B23" s="3549"/>
      <c r="C23" s="551" t="s">
        <v>1803</v>
      </c>
      <c r="D23" s="552"/>
      <c r="E23" s="553">
        <v>0.9</v>
      </c>
      <c r="F23" s="549" t="s">
        <v>1804</v>
      </c>
      <c r="G23" s="550"/>
      <c r="H23" s="518"/>
      <c r="I23" s="518"/>
    </row>
    <row r="24" spans="1:13" s="517" customFormat="1" ht="19.5" customHeight="1">
      <c r="A24" s="3543"/>
      <c r="B24" s="3549"/>
      <c r="C24" s="551" t="s">
        <v>1805</v>
      </c>
      <c r="D24" s="552"/>
      <c r="E24" s="553">
        <v>0.8</v>
      </c>
      <c r="F24" s="549" t="s">
        <v>1806</v>
      </c>
      <c r="G24" s="550"/>
      <c r="H24" s="518"/>
      <c r="I24" s="518"/>
    </row>
    <row r="25" spans="1:13" s="517" customFormat="1" ht="19.5" customHeight="1">
      <c r="A25" s="3544"/>
      <c r="B25" s="3550"/>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5" t="s">
        <v>1781</v>
      </c>
      <c r="B27" s="3548" t="s">
        <v>1781</v>
      </c>
      <c r="C27" s="546" t="s">
        <v>1811</v>
      </c>
      <c r="D27" s="547"/>
      <c r="E27" s="548">
        <v>1</v>
      </c>
      <c r="F27" s="549" t="s">
        <v>1812</v>
      </c>
      <c r="G27" s="550"/>
      <c r="H27" s="518"/>
      <c r="I27" s="518"/>
    </row>
    <row r="28" spans="1:13" s="517" customFormat="1" ht="19.5" customHeight="1">
      <c r="A28" s="3546"/>
      <c r="B28" s="3549"/>
      <c r="C28" s="551" t="s">
        <v>1813</v>
      </c>
      <c r="D28" s="552"/>
      <c r="E28" s="553">
        <v>1</v>
      </c>
      <c r="F28" s="549" t="s">
        <v>1814</v>
      </c>
      <c r="G28" s="550"/>
      <c r="H28" s="518"/>
      <c r="I28" s="518"/>
    </row>
    <row r="29" spans="1:13" s="517" customFormat="1" ht="19.5" customHeight="1">
      <c r="A29" s="3546"/>
      <c r="B29" s="3549"/>
      <c r="C29" s="551" t="s">
        <v>1815</v>
      </c>
      <c r="D29" s="552"/>
      <c r="E29" s="553">
        <v>0.8</v>
      </c>
      <c r="F29" s="549" t="s">
        <v>1816</v>
      </c>
      <c r="G29" s="550"/>
      <c r="H29" s="518"/>
      <c r="I29" s="518"/>
    </row>
    <row r="30" spans="1:13" s="517" customFormat="1" ht="19.5" customHeight="1">
      <c r="A30" s="3546"/>
      <c r="B30" s="3549"/>
      <c r="C30" s="551" t="s">
        <v>1817</v>
      </c>
      <c r="D30" s="552"/>
      <c r="E30" s="553">
        <v>0.8</v>
      </c>
      <c r="F30" s="549" t="s">
        <v>1818</v>
      </c>
      <c r="G30" s="550"/>
      <c r="H30" s="518"/>
      <c r="I30" s="518"/>
    </row>
    <row r="31" spans="1:13" s="517" customFormat="1" ht="19.5" customHeight="1">
      <c r="A31" s="3546"/>
      <c r="B31" s="3549"/>
      <c r="C31" s="551" t="s">
        <v>1819</v>
      </c>
      <c r="D31" s="552"/>
      <c r="E31" s="553">
        <v>0.8</v>
      </c>
      <c r="F31" s="549" t="s">
        <v>1820</v>
      </c>
      <c r="G31" s="550"/>
      <c r="H31" s="518"/>
      <c r="I31" s="518"/>
    </row>
    <row r="32" spans="1:13" s="517" customFormat="1" ht="19.5" customHeight="1">
      <c r="A32" s="3546"/>
      <c r="B32" s="3549"/>
      <c r="C32" s="551" t="s">
        <v>1821</v>
      </c>
      <c r="D32" s="552"/>
      <c r="E32" s="553">
        <v>0.7</v>
      </c>
      <c r="F32" s="549" t="s">
        <v>1822</v>
      </c>
      <c r="G32" s="550"/>
      <c r="H32" s="518"/>
      <c r="I32" s="518"/>
    </row>
    <row r="33" spans="1:9" s="517" customFormat="1" ht="19.5" customHeight="1">
      <c r="A33" s="3546"/>
      <c r="B33" s="3549"/>
      <c r="C33" s="551" t="s">
        <v>1823</v>
      </c>
      <c r="D33" s="552"/>
      <c r="E33" s="553">
        <v>0.8</v>
      </c>
      <c r="F33" s="549" t="s">
        <v>1824</v>
      </c>
      <c r="G33" s="550"/>
      <c r="H33" s="518"/>
      <c r="I33" s="518"/>
    </row>
    <row r="34" spans="1:9" s="517" customFormat="1" ht="19.5" customHeight="1">
      <c r="A34" s="3546"/>
      <c r="B34" s="3549"/>
      <c r="C34" s="551" t="s">
        <v>1825</v>
      </c>
      <c r="D34" s="552"/>
      <c r="E34" s="553">
        <v>0.6</v>
      </c>
      <c r="F34" s="549" t="s">
        <v>1826</v>
      </c>
      <c r="G34" s="550"/>
      <c r="H34" s="518"/>
      <c r="I34" s="518"/>
    </row>
    <row r="35" spans="1:9" s="517" customFormat="1" ht="19.5" customHeight="1">
      <c r="A35" s="3546"/>
      <c r="B35" s="3549"/>
      <c r="C35" s="551" t="s">
        <v>1827</v>
      </c>
      <c r="D35" s="552"/>
      <c r="E35" s="553">
        <v>0.2</v>
      </c>
      <c r="F35" s="549" t="s">
        <v>1828</v>
      </c>
      <c r="G35" s="550"/>
      <c r="H35" s="518"/>
      <c r="I35" s="518"/>
    </row>
    <row r="36" spans="1:9" s="517" customFormat="1" ht="19.5" customHeight="1">
      <c r="A36" s="3546"/>
      <c r="B36" s="3549"/>
      <c r="C36" s="551" t="s">
        <v>1829</v>
      </c>
      <c r="D36" s="552"/>
      <c r="E36" s="553">
        <v>0.2</v>
      </c>
      <c r="F36" s="549" t="s">
        <v>1830</v>
      </c>
      <c r="G36" s="550"/>
      <c r="H36" s="518"/>
      <c r="I36" s="518"/>
    </row>
    <row r="37" spans="1:9" s="517" customFormat="1" ht="19.5" customHeight="1">
      <c r="A37" s="3546"/>
      <c r="B37" s="3551" t="s">
        <v>1831</v>
      </c>
      <c r="C37" s="551" t="s">
        <v>1832</v>
      </c>
      <c r="D37" s="552"/>
      <c r="E37" s="553">
        <v>0.6</v>
      </c>
      <c r="F37" s="549" t="s">
        <v>1833</v>
      </c>
      <c r="G37" s="550"/>
      <c r="H37" s="518"/>
      <c r="I37" s="518"/>
    </row>
    <row r="38" spans="1:9" s="517" customFormat="1" ht="19.5" customHeight="1">
      <c r="A38" s="3546"/>
      <c r="B38" s="3549"/>
      <c r="C38" s="551" t="s">
        <v>1834</v>
      </c>
      <c r="D38" s="552"/>
      <c r="E38" s="553">
        <v>0.6</v>
      </c>
      <c r="F38" s="549" t="s">
        <v>1835</v>
      </c>
      <c r="G38" s="550"/>
      <c r="H38" s="518"/>
      <c r="I38" s="518"/>
    </row>
    <row r="39" spans="1:9" s="517" customFormat="1" ht="19.5" customHeight="1">
      <c r="A39" s="3547"/>
      <c r="B39" s="3550"/>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2" t="s">
        <v>1779</v>
      </c>
      <c r="B41" s="3548" t="s">
        <v>1840</v>
      </c>
      <c r="C41" s="546" t="s">
        <v>1841</v>
      </c>
      <c r="D41" s="547"/>
      <c r="E41" s="548">
        <v>1</v>
      </c>
      <c r="F41" s="549" t="s">
        <v>1842</v>
      </c>
      <c r="G41" s="550"/>
      <c r="H41" s="518"/>
      <c r="I41" s="518"/>
    </row>
    <row r="42" spans="1:9" s="517" customFormat="1" ht="19.5" customHeight="1">
      <c r="A42" s="3543"/>
      <c r="B42" s="3549"/>
      <c r="C42" s="551" t="s">
        <v>1843</v>
      </c>
      <c r="D42" s="552"/>
      <c r="E42" s="553">
        <v>1</v>
      </c>
      <c r="F42" s="549" t="s">
        <v>1844</v>
      </c>
      <c r="G42" s="550"/>
      <c r="H42" s="518"/>
      <c r="I42" s="518"/>
    </row>
    <row r="43" spans="1:9" s="517" customFormat="1" ht="19.5" customHeight="1">
      <c r="A43" s="3543"/>
      <c r="B43" s="3552"/>
      <c r="C43" s="551" t="s">
        <v>1845</v>
      </c>
      <c r="D43" s="552"/>
      <c r="E43" s="553">
        <v>1.5</v>
      </c>
      <c r="F43" s="549" t="s">
        <v>1846</v>
      </c>
      <c r="G43" s="550"/>
      <c r="H43" s="518"/>
      <c r="I43" s="518"/>
    </row>
    <row r="44" spans="1:9" s="517" customFormat="1" ht="19.5" customHeight="1">
      <c r="A44" s="3543"/>
      <c r="B44" s="562" t="s">
        <v>1781</v>
      </c>
      <c r="C44" s="551" t="s">
        <v>1780</v>
      </c>
      <c r="D44" s="552"/>
      <c r="E44" s="553">
        <v>2</v>
      </c>
      <c r="F44" s="549" t="s">
        <v>1847</v>
      </c>
      <c r="G44" s="550"/>
      <c r="H44" s="518"/>
      <c r="I44" s="518"/>
    </row>
    <row r="45" spans="1:9" s="517" customFormat="1" ht="19.5" customHeight="1">
      <c r="A45" s="3543"/>
      <c r="B45" s="3551" t="s">
        <v>1848</v>
      </c>
      <c r="C45" s="551" t="s">
        <v>1849</v>
      </c>
      <c r="D45" s="552"/>
      <c r="E45" s="553">
        <v>1</v>
      </c>
      <c r="F45" s="549" t="s">
        <v>1850</v>
      </c>
      <c r="G45" s="550"/>
      <c r="H45" s="518"/>
      <c r="I45" s="518"/>
    </row>
    <row r="46" spans="1:9" s="517" customFormat="1" ht="19.5" customHeight="1">
      <c r="A46" s="3543"/>
      <c r="B46" s="3549"/>
      <c r="C46" s="551" t="s">
        <v>1851</v>
      </c>
      <c r="D46" s="552"/>
      <c r="E46" s="553">
        <v>1</v>
      </c>
      <c r="F46" s="549" t="s">
        <v>1852</v>
      </c>
      <c r="G46" s="550"/>
      <c r="H46" s="518"/>
      <c r="I46" s="518"/>
    </row>
    <row r="47" spans="1:9" s="517" customFormat="1" ht="19.5" customHeight="1">
      <c r="A47" s="3543"/>
      <c r="B47" s="3549"/>
      <c r="C47" s="551" t="s">
        <v>1853</v>
      </c>
      <c r="D47" s="552"/>
      <c r="E47" s="553">
        <v>1</v>
      </c>
      <c r="F47" s="549" t="s">
        <v>1854</v>
      </c>
      <c r="G47" s="550"/>
      <c r="H47" s="518"/>
      <c r="I47" s="518"/>
    </row>
    <row r="48" spans="1:9" s="517" customFormat="1" ht="19.5" customHeight="1">
      <c r="A48" s="3543"/>
      <c r="B48" s="3549"/>
      <c r="C48" s="551" t="s">
        <v>1855</v>
      </c>
      <c r="D48" s="552"/>
      <c r="E48" s="553">
        <v>1</v>
      </c>
      <c r="F48" s="549" t="s">
        <v>1856</v>
      </c>
      <c r="G48" s="550"/>
      <c r="H48" s="518"/>
      <c r="I48" s="518"/>
    </row>
    <row r="49" spans="1:9" s="517" customFormat="1" ht="19.5" customHeight="1">
      <c r="A49" s="3543"/>
      <c r="B49" s="3549"/>
      <c r="C49" s="551" t="s">
        <v>1857</v>
      </c>
      <c r="D49" s="552"/>
      <c r="E49" s="553">
        <v>1</v>
      </c>
      <c r="F49" s="549" t="s">
        <v>1858</v>
      </c>
      <c r="G49" s="550"/>
      <c r="H49" s="518"/>
      <c r="I49" s="518"/>
    </row>
    <row r="50" spans="1:9" s="517" customFormat="1" ht="19.5" customHeight="1">
      <c r="A50" s="3543"/>
      <c r="B50" s="3549"/>
      <c r="C50" s="551" t="s">
        <v>1859</v>
      </c>
      <c r="D50" s="552"/>
      <c r="E50" s="553">
        <v>1</v>
      </c>
      <c r="F50" s="549" t="s">
        <v>1860</v>
      </c>
      <c r="G50" s="550"/>
      <c r="H50" s="518"/>
      <c r="I50" s="518"/>
    </row>
    <row r="51" spans="1:9" s="517" customFormat="1" ht="19.5" customHeight="1">
      <c r="A51" s="3544"/>
      <c r="B51" s="3550"/>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51" t="s">
        <v>1875</v>
      </c>
      <c r="C73" s="535" t="s">
        <v>1876</v>
      </c>
      <c r="D73" s="535" t="s">
        <v>1877</v>
      </c>
      <c r="E73" s="583">
        <v>0.2</v>
      </c>
      <c r="F73" s="562">
        <v>25</v>
      </c>
    </row>
    <row r="74" spans="1:7" s="518" customFormat="1" ht="24">
      <c r="A74" s="562">
        <v>2</v>
      </c>
      <c r="B74" s="3549"/>
      <c r="C74" s="535" t="s">
        <v>1878</v>
      </c>
      <c r="D74" s="535" t="s">
        <v>1879</v>
      </c>
      <c r="E74" s="583">
        <v>0.2</v>
      </c>
      <c r="F74" s="562">
        <v>25</v>
      </c>
    </row>
    <row r="75" spans="1:7" s="518" customFormat="1" ht="24">
      <c r="A75" s="562">
        <v>3</v>
      </c>
      <c r="B75" s="3549"/>
      <c r="C75" s="535" t="s">
        <v>1880</v>
      </c>
      <c r="D75" s="535" t="s">
        <v>1881</v>
      </c>
      <c r="E75" s="583">
        <v>0.2</v>
      </c>
      <c r="F75" s="562">
        <v>25</v>
      </c>
    </row>
    <row r="76" spans="1:7" s="518" customFormat="1" ht="13.5">
      <c r="A76" s="562">
        <v>4</v>
      </c>
      <c r="B76" s="3549"/>
      <c r="C76" s="535" t="s">
        <v>1882</v>
      </c>
      <c r="D76" s="535" t="s">
        <v>1883</v>
      </c>
      <c r="E76" s="583">
        <v>0.15</v>
      </c>
      <c r="F76" s="562">
        <v>20</v>
      </c>
    </row>
    <row r="77" spans="1:7" s="518" customFormat="1" ht="24">
      <c r="A77" s="562">
        <v>5</v>
      </c>
      <c r="B77" s="3549"/>
      <c r="C77" s="535" t="s">
        <v>1884</v>
      </c>
      <c r="D77" s="535" t="s">
        <v>1885</v>
      </c>
      <c r="E77" s="583">
        <v>0.15</v>
      </c>
      <c r="F77" s="562">
        <v>20</v>
      </c>
    </row>
    <row r="78" spans="1:7" s="518" customFormat="1" ht="24">
      <c r="A78" s="562">
        <v>6</v>
      </c>
      <c r="B78" s="3549"/>
      <c r="C78" s="535" t="s">
        <v>1886</v>
      </c>
      <c r="D78" s="535" t="s">
        <v>1887</v>
      </c>
      <c r="E78" s="583">
        <v>0.15</v>
      </c>
      <c r="F78" s="562">
        <v>20</v>
      </c>
    </row>
    <row r="79" spans="1:7" s="518" customFormat="1" ht="24">
      <c r="A79" s="562">
        <v>7</v>
      </c>
      <c r="B79" s="3549"/>
      <c r="C79" s="535" t="s">
        <v>1888</v>
      </c>
      <c r="D79" s="535" t="s">
        <v>1889</v>
      </c>
      <c r="E79" s="583">
        <v>0.15</v>
      </c>
      <c r="F79" s="562">
        <v>20</v>
      </c>
    </row>
    <row r="80" spans="1:7" s="518" customFormat="1" ht="24">
      <c r="A80" s="562">
        <v>8</v>
      </c>
      <c r="B80" s="3549"/>
      <c r="C80" s="535" t="s">
        <v>1890</v>
      </c>
      <c r="D80" s="535" t="s">
        <v>1891</v>
      </c>
      <c r="E80" s="583">
        <v>0.1</v>
      </c>
      <c r="F80" s="562">
        <v>15</v>
      </c>
    </row>
    <row r="81" spans="1:6" s="518" customFormat="1" ht="24">
      <c r="A81" s="562">
        <v>9</v>
      </c>
      <c r="B81" s="3549"/>
      <c r="C81" s="535" t="s">
        <v>1892</v>
      </c>
      <c r="D81" s="535" t="s">
        <v>1893</v>
      </c>
      <c r="E81" s="583">
        <v>0.1</v>
      </c>
      <c r="F81" s="562">
        <v>15</v>
      </c>
    </row>
    <row r="82" spans="1:6" s="518" customFormat="1" ht="24">
      <c r="A82" s="562">
        <v>10</v>
      </c>
      <c r="B82" s="3549"/>
      <c r="C82" s="535" t="s">
        <v>1894</v>
      </c>
      <c r="D82" s="535" t="s">
        <v>1895</v>
      </c>
      <c r="E82" s="583">
        <v>0.1</v>
      </c>
      <c r="F82" s="562">
        <v>15</v>
      </c>
    </row>
    <row r="83" spans="1:6" s="518" customFormat="1" ht="24">
      <c r="A83" s="562">
        <v>11</v>
      </c>
      <c r="B83" s="3549"/>
      <c r="C83" s="535" t="s">
        <v>1896</v>
      </c>
      <c r="D83" s="535" t="s">
        <v>1897</v>
      </c>
      <c r="E83" s="583">
        <v>0.1</v>
      </c>
      <c r="F83" s="562">
        <v>15</v>
      </c>
    </row>
    <row r="84" spans="1:6" s="518" customFormat="1" ht="24">
      <c r="A84" s="562">
        <v>12</v>
      </c>
      <c r="B84" s="3549"/>
      <c r="C84" s="535" t="s">
        <v>1898</v>
      </c>
      <c r="D84" s="535" t="s">
        <v>1899</v>
      </c>
      <c r="E84" s="583">
        <v>0.1</v>
      </c>
      <c r="F84" s="562">
        <v>15</v>
      </c>
    </row>
    <row r="85" spans="1:6" s="518" customFormat="1" ht="13.5">
      <c r="A85" s="562">
        <v>13</v>
      </c>
      <c r="B85" s="3549"/>
      <c r="C85" s="535" t="s">
        <v>1900</v>
      </c>
      <c r="D85" s="535" t="s">
        <v>1901</v>
      </c>
      <c r="E85" s="583">
        <v>0.1</v>
      </c>
      <c r="F85" s="562">
        <v>15</v>
      </c>
    </row>
    <row r="86" spans="1:6" s="518" customFormat="1" ht="13.5">
      <c r="A86" s="562">
        <v>14</v>
      </c>
      <c r="B86" s="3549"/>
      <c r="C86" s="535" t="s">
        <v>1902</v>
      </c>
      <c r="D86" s="535" t="s">
        <v>1903</v>
      </c>
      <c r="E86" s="583">
        <v>0.1</v>
      </c>
      <c r="F86" s="562">
        <v>15</v>
      </c>
    </row>
    <row r="87" spans="1:6" s="518" customFormat="1" ht="13.5">
      <c r="A87" s="562">
        <v>15</v>
      </c>
      <c r="B87" s="3549"/>
      <c r="C87" s="535" t="s">
        <v>1904</v>
      </c>
      <c r="D87" s="535" t="s">
        <v>1905</v>
      </c>
      <c r="E87" s="583">
        <v>0.1</v>
      </c>
      <c r="F87" s="562">
        <v>15</v>
      </c>
    </row>
    <row r="88" spans="1:6" s="518" customFormat="1" ht="24">
      <c r="A88" s="562">
        <v>16</v>
      </c>
      <c r="B88" s="3549"/>
      <c r="C88" s="535" t="s">
        <v>1906</v>
      </c>
      <c r="D88" s="535" t="s">
        <v>1907</v>
      </c>
      <c r="E88" s="583">
        <v>0.1</v>
      </c>
      <c r="F88" s="562">
        <v>15</v>
      </c>
    </row>
    <row r="89" spans="1:6" s="518" customFormat="1" ht="24">
      <c r="A89" s="562">
        <v>17</v>
      </c>
      <c r="B89" s="3552"/>
      <c r="C89" s="535" t="s">
        <v>1908</v>
      </c>
      <c r="D89" s="535" t="s">
        <v>1909</v>
      </c>
      <c r="E89" s="583">
        <v>0.1</v>
      </c>
      <c r="F89" s="562">
        <v>15</v>
      </c>
    </row>
    <row r="90" spans="1:6" s="518" customFormat="1" ht="13.5">
      <c r="A90" s="562">
        <v>18</v>
      </c>
      <c r="B90" s="3551" t="s">
        <v>1910</v>
      </c>
      <c r="C90" s="535" t="s">
        <v>1911</v>
      </c>
      <c r="D90" s="535" t="s">
        <v>1912</v>
      </c>
      <c r="E90" s="583">
        <v>0.2</v>
      </c>
      <c r="F90" s="562">
        <v>25</v>
      </c>
    </row>
    <row r="91" spans="1:6" s="518" customFormat="1" ht="24">
      <c r="A91" s="562">
        <v>19</v>
      </c>
      <c r="B91" s="3549"/>
      <c r="C91" s="535" t="s">
        <v>1913</v>
      </c>
      <c r="D91" s="535" t="s">
        <v>1914</v>
      </c>
      <c r="E91" s="583">
        <v>0.2</v>
      </c>
      <c r="F91" s="562">
        <v>25</v>
      </c>
    </row>
    <row r="92" spans="1:6" s="518" customFormat="1" ht="13.5">
      <c r="A92" s="562">
        <v>20</v>
      </c>
      <c r="B92" s="3549"/>
      <c r="C92" s="535" t="s">
        <v>1915</v>
      </c>
      <c r="D92" s="535" t="s">
        <v>1916</v>
      </c>
      <c r="E92" s="583">
        <v>0.15</v>
      </c>
      <c r="F92" s="562">
        <v>20</v>
      </c>
    </row>
    <row r="93" spans="1:6" s="518" customFormat="1" ht="24">
      <c r="A93" s="562">
        <v>21</v>
      </c>
      <c r="B93" s="3549"/>
      <c r="C93" s="535" t="s">
        <v>1917</v>
      </c>
      <c r="D93" s="535" t="s">
        <v>1918</v>
      </c>
      <c r="E93" s="583">
        <v>0.15</v>
      </c>
      <c r="F93" s="562">
        <v>20</v>
      </c>
    </row>
    <row r="94" spans="1:6" s="518" customFormat="1" ht="24">
      <c r="A94" s="562">
        <v>22</v>
      </c>
      <c r="B94" s="3549"/>
      <c r="C94" s="535" t="s">
        <v>1919</v>
      </c>
      <c r="D94" s="535" t="s">
        <v>1920</v>
      </c>
      <c r="E94" s="583">
        <v>0.15</v>
      </c>
      <c r="F94" s="562">
        <v>20</v>
      </c>
    </row>
    <row r="95" spans="1:6" s="518" customFormat="1" ht="36">
      <c r="A95" s="562">
        <v>23</v>
      </c>
      <c r="B95" s="3549"/>
      <c r="C95" s="535" t="s">
        <v>1921</v>
      </c>
      <c r="D95" s="535" t="s">
        <v>1922</v>
      </c>
      <c r="E95" s="583">
        <v>0.15</v>
      </c>
      <c r="F95" s="562">
        <v>20</v>
      </c>
    </row>
    <row r="96" spans="1:6" s="518" customFormat="1" ht="13.5">
      <c r="A96" s="562">
        <v>24</v>
      </c>
      <c r="B96" s="3549"/>
      <c r="C96" s="535" t="s">
        <v>1923</v>
      </c>
      <c r="D96" s="535" t="s">
        <v>1924</v>
      </c>
      <c r="E96" s="583">
        <v>0.1</v>
      </c>
      <c r="F96" s="562">
        <v>15</v>
      </c>
    </row>
    <row r="97" spans="1:6" s="518" customFormat="1" ht="24">
      <c r="A97" s="562">
        <v>25</v>
      </c>
      <c r="B97" s="3549"/>
      <c r="C97" s="535" t="s">
        <v>1925</v>
      </c>
      <c r="D97" s="535" t="s">
        <v>1926</v>
      </c>
      <c r="E97" s="583">
        <v>0.1</v>
      </c>
      <c r="F97" s="562">
        <v>15</v>
      </c>
    </row>
    <row r="98" spans="1:6" s="518" customFormat="1" ht="24">
      <c r="A98" s="562">
        <v>26</v>
      </c>
      <c r="B98" s="3549"/>
      <c r="C98" s="535" t="s">
        <v>1927</v>
      </c>
      <c r="D98" s="535" t="s">
        <v>1928</v>
      </c>
      <c r="E98" s="583">
        <v>0.1</v>
      </c>
      <c r="F98" s="562">
        <v>15</v>
      </c>
    </row>
    <row r="99" spans="1:6" s="518" customFormat="1" ht="24">
      <c r="A99" s="562">
        <v>27</v>
      </c>
      <c r="B99" s="3549"/>
      <c r="C99" s="535" t="s">
        <v>1929</v>
      </c>
      <c r="D99" s="535" t="s">
        <v>1930</v>
      </c>
      <c r="E99" s="583">
        <v>0.1</v>
      </c>
      <c r="F99" s="562">
        <v>15</v>
      </c>
    </row>
    <row r="100" spans="1:6" s="518" customFormat="1" ht="24">
      <c r="A100" s="562">
        <v>28</v>
      </c>
      <c r="B100" s="3549"/>
      <c r="C100" s="535" t="s">
        <v>1931</v>
      </c>
      <c r="D100" s="535" t="s">
        <v>1932</v>
      </c>
      <c r="E100" s="583">
        <v>0.1</v>
      </c>
      <c r="F100" s="562">
        <v>15</v>
      </c>
    </row>
    <row r="101" spans="1:6" s="518" customFormat="1" ht="24">
      <c r="A101" s="562">
        <v>29</v>
      </c>
      <c r="B101" s="3549"/>
      <c r="C101" s="535" t="s">
        <v>1933</v>
      </c>
      <c r="D101" s="535" t="s">
        <v>1934</v>
      </c>
      <c r="E101" s="583">
        <v>0.1</v>
      </c>
      <c r="F101" s="562">
        <v>15</v>
      </c>
    </row>
    <row r="102" spans="1:6" s="518" customFormat="1" ht="24">
      <c r="A102" s="562">
        <v>30</v>
      </c>
      <c r="B102" s="3549"/>
      <c r="C102" s="535" t="s">
        <v>1935</v>
      </c>
      <c r="D102" s="535" t="s">
        <v>1936</v>
      </c>
      <c r="E102" s="583">
        <v>0.1</v>
      </c>
      <c r="F102" s="562">
        <v>15</v>
      </c>
    </row>
    <row r="103" spans="1:6" s="518" customFormat="1" ht="24">
      <c r="A103" s="562">
        <v>31</v>
      </c>
      <c r="B103" s="3549"/>
      <c r="C103" s="535" t="s">
        <v>1937</v>
      </c>
      <c r="D103" s="535" t="s">
        <v>1938</v>
      </c>
      <c r="E103" s="583">
        <v>0.1</v>
      </c>
      <c r="F103" s="562">
        <v>15</v>
      </c>
    </row>
    <row r="104" spans="1:6" s="518" customFormat="1" ht="24">
      <c r="A104" s="562">
        <v>32</v>
      </c>
      <c r="B104" s="3549"/>
      <c r="C104" s="535" t="s">
        <v>1939</v>
      </c>
      <c r="D104" s="535" t="s">
        <v>1940</v>
      </c>
      <c r="E104" s="583">
        <v>0.1</v>
      </c>
      <c r="F104" s="562">
        <v>15</v>
      </c>
    </row>
    <row r="105" spans="1:6" s="518" customFormat="1" ht="24">
      <c r="A105" s="562">
        <v>33</v>
      </c>
      <c r="B105" s="3549"/>
      <c r="C105" s="535" t="s">
        <v>1941</v>
      </c>
      <c r="D105" s="535" t="s">
        <v>1942</v>
      </c>
      <c r="E105" s="583">
        <v>0.1</v>
      </c>
      <c r="F105" s="562">
        <v>15</v>
      </c>
    </row>
    <row r="106" spans="1:6" s="518" customFormat="1" ht="24">
      <c r="A106" s="562">
        <v>34</v>
      </c>
      <c r="B106" s="3552"/>
      <c r="C106" s="535" t="s">
        <v>1943</v>
      </c>
      <c r="D106" s="535" t="s">
        <v>1944</v>
      </c>
      <c r="E106" s="583">
        <v>0.1</v>
      </c>
      <c r="F106" s="562">
        <v>15</v>
      </c>
    </row>
    <row r="107" spans="1:6" s="518" customFormat="1" ht="24">
      <c r="A107" s="562">
        <v>35</v>
      </c>
      <c r="B107" s="3551" t="s">
        <v>1945</v>
      </c>
      <c r="C107" s="562" t="s">
        <v>1946</v>
      </c>
      <c r="D107" s="535" t="s">
        <v>1947</v>
      </c>
      <c r="E107" s="583">
        <v>0.15</v>
      </c>
      <c r="F107" s="562">
        <v>20</v>
      </c>
    </row>
    <row r="108" spans="1:6" s="518" customFormat="1" ht="24">
      <c r="A108" s="562">
        <v>36</v>
      </c>
      <c r="B108" s="3549"/>
      <c r="C108" s="562" t="s">
        <v>1948</v>
      </c>
      <c r="D108" s="535" t="s">
        <v>1949</v>
      </c>
      <c r="E108" s="583">
        <v>0.15</v>
      </c>
      <c r="F108" s="562">
        <v>20</v>
      </c>
    </row>
    <row r="109" spans="1:6" s="518" customFormat="1" ht="24">
      <c r="A109" s="562">
        <v>37</v>
      </c>
      <c r="B109" s="3549"/>
      <c r="C109" s="562" t="s">
        <v>1950</v>
      </c>
      <c r="D109" s="535" t="s">
        <v>1951</v>
      </c>
      <c r="E109" s="583">
        <v>0.15</v>
      </c>
      <c r="F109" s="562">
        <v>20</v>
      </c>
    </row>
    <row r="110" spans="1:6" s="518" customFormat="1" ht="13.5">
      <c r="A110" s="562">
        <v>38</v>
      </c>
      <c r="B110" s="3549"/>
      <c r="C110" s="562" t="s">
        <v>1952</v>
      </c>
      <c r="D110" s="535" t="s">
        <v>1953</v>
      </c>
      <c r="E110" s="583">
        <v>0.1</v>
      </c>
      <c r="F110" s="562">
        <v>15</v>
      </c>
    </row>
    <row r="111" spans="1:6" s="518" customFormat="1" ht="24">
      <c r="A111" s="562">
        <v>39</v>
      </c>
      <c r="B111" s="3549"/>
      <c r="C111" s="562" t="s">
        <v>1954</v>
      </c>
      <c r="D111" s="535" t="s">
        <v>1955</v>
      </c>
      <c r="E111" s="583">
        <v>0.1</v>
      </c>
      <c r="F111" s="562">
        <v>15</v>
      </c>
    </row>
    <row r="112" spans="1:6" s="518" customFormat="1" ht="24">
      <c r="A112" s="562">
        <v>40</v>
      </c>
      <c r="B112" s="3552"/>
      <c r="C112" s="562" t="s">
        <v>1956</v>
      </c>
      <c r="D112" s="535" t="s">
        <v>1957</v>
      </c>
      <c r="E112" s="583">
        <v>0.1</v>
      </c>
      <c r="F112" s="562">
        <v>15</v>
      </c>
    </row>
    <row r="113" spans="1:6" s="518" customFormat="1" ht="24">
      <c r="A113" s="562">
        <v>41</v>
      </c>
      <c r="B113" s="3553" t="s">
        <v>1958</v>
      </c>
      <c r="C113" s="562" t="s">
        <v>1959</v>
      </c>
      <c r="D113" s="535" t="s">
        <v>1960</v>
      </c>
      <c r="E113" s="583">
        <v>0.1</v>
      </c>
      <c r="F113" s="562">
        <v>15</v>
      </c>
    </row>
    <row r="114" spans="1:6" s="518" customFormat="1" ht="13.5">
      <c r="A114" s="562">
        <v>42</v>
      </c>
      <c r="B114" s="3553"/>
      <c r="C114" s="562" t="s">
        <v>1961</v>
      </c>
      <c r="D114" s="535" t="s">
        <v>1962</v>
      </c>
      <c r="E114" s="583">
        <v>0.1</v>
      </c>
      <c r="F114" s="562">
        <v>15</v>
      </c>
    </row>
    <row r="115" spans="1:6" s="518" customFormat="1" ht="24">
      <c r="A115" s="562">
        <v>43</v>
      </c>
      <c r="B115" s="3553"/>
      <c r="C115" s="562" t="s">
        <v>1963</v>
      </c>
      <c r="D115" s="535" t="s">
        <v>1964</v>
      </c>
      <c r="E115" s="583">
        <v>0.1</v>
      </c>
      <c r="F115" s="562">
        <v>15</v>
      </c>
    </row>
    <row r="116" spans="1:6" s="518" customFormat="1" ht="24">
      <c r="A116" s="562">
        <v>44</v>
      </c>
      <c r="B116" s="3551" t="s">
        <v>1965</v>
      </c>
      <c r="C116" s="562" t="s">
        <v>1966</v>
      </c>
      <c r="D116" s="535" t="s">
        <v>1967</v>
      </c>
      <c r="E116" s="583">
        <v>0.1</v>
      </c>
      <c r="F116" s="562">
        <v>15</v>
      </c>
    </row>
    <row r="117" spans="1:6" s="518" customFormat="1" ht="24">
      <c r="A117" s="562">
        <v>45</v>
      </c>
      <c r="B117" s="3552"/>
      <c r="C117" s="535" t="s">
        <v>1968</v>
      </c>
      <c r="D117" s="535" t="s">
        <v>1969</v>
      </c>
      <c r="E117" s="583">
        <v>0.1</v>
      </c>
      <c r="F117" s="562">
        <v>15</v>
      </c>
    </row>
    <row r="118" spans="1:6" s="518" customFormat="1" ht="24">
      <c r="A118" s="562">
        <v>46</v>
      </c>
      <c r="B118" s="3551" t="s">
        <v>1970</v>
      </c>
      <c r="C118" s="562" t="s">
        <v>1971</v>
      </c>
      <c r="D118" s="535" t="s">
        <v>1972</v>
      </c>
      <c r="E118" s="583">
        <v>0.1</v>
      </c>
      <c r="F118" s="562">
        <v>15</v>
      </c>
    </row>
    <row r="119" spans="1:6" s="518" customFormat="1" ht="24">
      <c r="A119" s="562">
        <v>47</v>
      </c>
      <c r="B119" s="3552"/>
      <c r="C119" s="562" t="s">
        <v>1973</v>
      </c>
      <c r="D119" s="535" t="s">
        <v>1974</v>
      </c>
      <c r="E119" s="583">
        <v>0.1</v>
      </c>
      <c r="F119" s="562">
        <v>15</v>
      </c>
    </row>
    <row r="120" spans="1:6" s="518" customFormat="1" ht="24">
      <c r="A120" s="562">
        <v>48</v>
      </c>
      <c r="B120" s="3551" t="s">
        <v>1975</v>
      </c>
      <c r="C120" s="562" t="s">
        <v>1976</v>
      </c>
      <c r="D120" s="535" t="s">
        <v>1977</v>
      </c>
      <c r="E120" s="583">
        <v>0.1</v>
      </c>
      <c r="F120" s="562">
        <v>15</v>
      </c>
    </row>
    <row r="121" spans="1:6" s="518" customFormat="1" ht="13.5">
      <c r="A121" s="562">
        <v>49</v>
      </c>
      <c r="B121" s="3552"/>
      <c r="C121" s="562" t="s">
        <v>1978</v>
      </c>
      <c r="D121" s="535" t="s">
        <v>1979</v>
      </c>
      <c r="E121" s="583">
        <v>0.1</v>
      </c>
      <c r="F121" s="562">
        <v>15</v>
      </c>
    </row>
    <row r="122" spans="1:6" s="518" customFormat="1" ht="24">
      <c r="A122" s="562">
        <v>50</v>
      </c>
      <c r="B122" s="3553" t="s">
        <v>1980</v>
      </c>
      <c r="C122" s="562" t="s">
        <v>1981</v>
      </c>
      <c r="D122" s="535" t="s">
        <v>1982</v>
      </c>
      <c r="E122" s="583">
        <v>0.1</v>
      </c>
      <c r="F122" s="562">
        <v>15</v>
      </c>
    </row>
    <row r="123" spans="1:6" s="518" customFormat="1" ht="24">
      <c r="A123" s="562">
        <v>51</v>
      </c>
      <c r="B123" s="3553"/>
      <c r="C123" s="562" t="s">
        <v>1983</v>
      </c>
      <c r="D123" s="535" t="s">
        <v>1984</v>
      </c>
      <c r="E123" s="583">
        <v>0.1</v>
      </c>
      <c r="F123" s="562">
        <v>15</v>
      </c>
    </row>
    <row r="124" spans="1:6" s="518" customFormat="1" ht="24">
      <c r="A124" s="562">
        <v>52</v>
      </c>
      <c r="B124" s="3553" t="s">
        <v>1985</v>
      </c>
      <c r="C124" s="562" t="s">
        <v>1986</v>
      </c>
      <c r="D124" s="535" t="s">
        <v>1987</v>
      </c>
      <c r="E124" s="583">
        <v>0.1</v>
      </c>
      <c r="F124" s="562">
        <v>15</v>
      </c>
    </row>
    <row r="125" spans="1:6" s="518" customFormat="1" ht="24">
      <c r="A125" s="562">
        <v>53</v>
      </c>
      <c r="B125" s="3553"/>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53" t="s">
        <v>1993</v>
      </c>
      <c r="C127" s="562" t="s">
        <v>1994</v>
      </c>
      <c r="D127" s="535" t="s">
        <v>1995</v>
      </c>
      <c r="E127" s="583">
        <v>0.1</v>
      </c>
      <c r="F127" s="562">
        <v>15</v>
      </c>
    </row>
    <row r="128" spans="1:6" ht="13.5">
      <c r="A128" s="562">
        <v>56</v>
      </c>
      <c r="B128" s="3553"/>
      <c r="C128" s="562" t="s">
        <v>1996</v>
      </c>
      <c r="D128" s="535" t="s">
        <v>1997</v>
      </c>
      <c r="E128" s="583">
        <v>0.1</v>
      </c>
      <c r="F128" s="562">
        <v>15</v>
      </c>
    </row>
    <row r="129" spans="1:6" ht="24">
      <c r="A129" s="562">
        <v>57</v>
      </c>
      <c r="B129" s="3553"/>
      <c r="C129" s="562" t="s">
        <v>1998</v>
      </c>
      <c r="D129" s="535" t="s">
        <v>1999</v>
      </c>
      <c r="E129" s="583">
        <v>0.1</v>
      </c>
      <c r="F129" s="562">
        <v>15</v>
      </c>
    </row>
    <row r="130" spans="1:6" ht="24">
      <c r="A130" s="562">
        <v>58</v>
      </c>
      <c r="B130" s="3553" t="s">
        <v>2000</v>
      </c>
      <c r="C130" s="562" t="s">
        <v>2001</v>
      </c>
      <c r="D130" s="535" t="s">
        <v>2002</v>
      </c>
      <c r="E130" s="583">
        <v>0.1</v>
      </c>
      <c r="F130" s="562">
        <v>15</v>
      </c>
    </row>
    <row r="131" spans="1:6" ht="24">
      <c r="A131" s="562">
        <v>59</v>
      </c>
      <c r="B131" s="3553"/>
      <c r="C131" s="562" t="s">
        <v>2003</v>
      </c>
      <c r="D131" s="535" t="s">
        <v>2004</v>
      </c>
      <c r="E131" s="583">
        <v>0.1</v>
      </c>
      <c r="F131" s="562">
        <v>15</v>
      </c>
    </row>
    <row r="132" spans="1:6" ht="24">
      <c r="A132" s="562">
        <v>60</v>
      </c>
      <c r="B132" s="3551" t="s">
        <v>2005</v>
      </c>
      <c r="C132" s="562" t="s">
        <v>2006</v>
      </c>
      <c r="D132" s="535" t="s">
        <v>2007</v>
      </c>
      <c r="E132" s="583">
        <v>0.1</v>
      </c>
      <c r="F132" s="562">
        <v>15</v>
      </c>
    </row>
    <row r="133" spans="1:6" ht="24">
      <c r="A133" s="562">
        <v>61</v>
      </c>
      <c r="B133" s="3552"/>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53" t="s">
        <v>2013</v>
      </c>
      <c r="C135" s="562" t="s">
        <v>2014</v>
      </c>
      <c r="D135" s="535" t="s">
        <v>2015</v>
      </c>
      <c r="E135" s="583">
        <v>0.1</v>
      </c>
      <c r="F135" s="562">
        <v>15</v>
      </c>
    </row>
    <row r="136" spans="1:6" ht="13.5">
      <c r="A136" s="562">
        <v>64</v>
      </c>
      <c r="B136" s="3553"/>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4" t="s">
        <v>2035</v>
      </c>
      <c r="C1" s="3554"/>
      <c r="D1" s="3554"/>
      <c r="E1" s="3554"/>
      <c r="F1" s="3554"/>
      <c r="G1" s="3555" t="s">
        <v>2036</v>
      </c>
      <c r="H1" s="3555"/>
      <c r="I1" s="3555"/>
      <c r="J1" s="3555"/>
      <c r="K1" s="3555"/>
      <c r="L1" s="3555"/>
      <c r="N1" s="3555" t="s">
        <v>2037</v>
      </c>
      <c r="O1" s="3555"/>
      <c r="P1" s="3555"/>
      <c r="Q1" s="3555"/>
      <c r="S1" s="3555" t="s">
        <v>2038</v>
      </c>
      <c r="T1" s="3555"/>
      <c r="U1" s="3555"/>
      <c r="V1" s="3555"/>
      <c r="X1" s="3556" t="s">
        <v>2039</v>
      </c>
      <c r="Y1" s="3555"/>
      <c r="Z1" s="3555"/>
      <c r="AA1" s="3555"/>
      <c r="AB1" s="3555"/>
      <c r="AD1" s="3556" t="s">
        <v>2040</v>
      </c>
      <c r="AE1" s="3555"/>
      <c r="AF1" s="3555"/>
      <c r="AG1" s="3555"/>
      <c r="AH1" s="3555"/>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8"/>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59">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7"/>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313.95436799999999</v>
      </c>
      <c r="D24" s="387">
        <f t="shared" si="201"/>
        <v>313.95436799999999</v>
      </c>
      <c r="E24" s="387">
        <f t="shared" si="202"/>
        <v>596.63028431999999</v>
      </c>
      <c r="F24" s="387">
        <f t="shared" si="203"/>
        <v>274.74220703999998</v>
      </c>
      <c r="G24" s="355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58"/>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59">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360.06949782209398</v>
      </c>
      <c r="C28" s="387">
        <f t="shared" si="212"/>
        <v>289.84672674747799</v>
      </c>
      <c r="D28" s="387">
        <f t="shared" si="213"/>
        <v>289.84672674747799</v>
      </c>
      <c r="E28" s="387">
        <f t="shared" si="214"/>
        <v>501.06543001181501</v>
      </c>
      <c r="F28" s="387">
        <f t="shared" si="214"/>
        <v>256.82882500745001</v>
      </c>
      <c r="G28" s="3557"/>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284.30282172386302</v>
      </c>
      <c r="D29" s="387">
        <f t="shared" si="213"/>
        <v>284.30282172386302</v>
      </c>
      <c r="E29" s="387">
        <f t="shared" si="214"/>
        <v>479.58023546306902</v>
      </c>
      <c r="F29" s="387">
        <f t="shared" si="214"/>
        <v>253.25788877571199</v>
      </c>
      <c r="G29" s="3560"/>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6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7"/>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322.34053690220799</v>
      </c>
      <c r="C32" s="387">
        <f t="shared" si="216"/>
        <v>271.461607704225</v>
      </c>
      <c r="D32" s="387">
        <f t="shared" si="213"/>
        <v>271.461607704225</v>
      </c>
      <c r="E32" s="387">
        <f t="shared" si="217"/>
        <v>442.69434542172502</v>
      </c>
      <c r="F32" s="387">
        <f t="shared" si="217"/>
        <v>241.34030753190899</v>
      </c>
      <c r="G32" s="355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319.87748030386803</v>
      </c>
      <c r="C33" s="387">
        <f t="shared" si="216"/>
        <v>269.60135833173598</v>
      </c>
      <c r="D33" s="387">
        <f t="shared" si="213"/>
        <v>269.60135833173598</v>
      </c>
      <c r="E33" s="387">
        <f t="shared" si="217"/>
        <v>439.18089823583801</v>
      </c>
      <c r="F33" s="387">
        <f t="shared" si="217"/>
        <v>239.23503918706299</v>
      </c>
      <c r="G33" s="356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61">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7"/>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v>
      </c>
      <c r="C36" s="387">
        <f t="shared" si="218"/>
        <v>263.03901319069001</v>
      </c>
      <c r="D36" s="387">
        <f t="shared" si="213"/>
        <v>263.03901319069001</v>
      </c>
      <c r="E36" s="387">
        <f t="shared" si="219"/>
        <v>433.65745506782798</v>
      </c>
      <c r="F36" s="387">
        <f t="shared" si="219"/>
        <v>233.23005080045701</v>
      </c>
      <c r="G36" s="355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307.34512863658699</v>
      </c>
      <c r="C37" s="401">
        <f t="shared" si="218"/>
        <v>257.80556031626998</v>
      </c>
      <c r="D37" s="401">
        <f t="shared" si="213"/>
        <v>257.80556031626998</v>
      </c>
      <c r="E37" s="401">
        <f t="shared" si="219"/>
        <v>422.70928459677202</v>
      </c>
      <c r="F37" s="401">
        <f t="shared" si="219"/>
        <v>229.738032703366</v>
      </c>
      <c r="G37" s="3560"/>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2080</v>
      </c>
      <c r="B38" s="393">
        <v>299</v>
      </c>
      <c r="C38" s="393">
        <v>252</v>
      </c>
      <c r="D38" s="393">
        <f t="shared" si="213"/>
        <v>252</v>
      </c>
      <c r="E38" s="393">
        <v>409</v>
      </c>
      <c r="F38" s="394">
        <v>227</v>
      </c>
      <c r="G38" s="3562">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3"/>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2082</v>
      </c>
      <c r="B40" s="387">
        <f t="shared" si="222"/>
        <v>288.264905382878</v>
      </c>
      <c r="C40" s="387">
        <f t="shared" si="222"/>
        <v>243.64564425013299</v>
      </c>
      <c r="D40" s="387">
        <f t="shared" si="213"/>
        <v>243.64564425013299</v>
      </c>
      <c r="E40" s="387">
        <f t="shared" si="223"/>
        <v>393.31080825986498</v>
      </c>
      <c r="F40" s="387">
        <f t="shared" si="223"/>
        <v>223.079037905512</v>
      </c>
      <c r="G40" s="3563"/>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282.50186729015797</v>
      </c>
      <c r="C41" s="387">
        <f t="shared" si="222"/>
        <v>238.097961741555</v>
      </c>
      <c r="D41" s="387">
        <f t="shared" si="213"/>
        <v>238.097961741555</v>
      </c>
      <c r="E41" s="387">
        <f t="shared" si="223"/>
        <v>385.33438646014099</v>
      </c>
      <c r="F41" s="387">
        <f t="shared" si="223"/>
        <v>221.550340555677</v>
      </c>
      <c r="G41" s="3564"/>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2084</v>
      </c>
      <c r="B42" s="404">
        <v>278</v>
      </c>
      <c r="C42" s="404">
        <v>234</v>
      </c>
      <c r="D42" s="404">
        <f t="shared" si="213"/>
        <v>234</v>
      </c>
      <c r="E42" s="404">
        <v>379</v>
      </c>
      <c r="F42" s="405">
        <v>220</v>
      </c>
      <c r="G42" s="3561">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2085</v>
      </c>
      <c r="B43" s="387">
        <f>B42/(1+N42)</f>
        <v>275.49301357645402</v>
      </c>
      <c r="C43" s="387">
        <f>C42/(1+O42)</f>
        <v>232.41954707985701</v>
      </c>
      <c r="D43" s="387">
        <f t="shared" si="213"/>
        <v>232.41954707985701</v>
      </c>
      <c r="E43" s="387">
        <f t="shared" ref="E43:F45" si="224">E42/(1+P42)</f>
        <v>375.32184591008098</v>
      </c>
      <c r="F43" s="387">
        <f t="shared" si="224"/>
        <v>218.03766105054501</v>
      </c>
      <c r="G43" s="355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275.24529281292303</v>
      </c>
      <c r="C44" s="387">
        <f>C43/(1+O43)</f>
        <v>231.74747938962699</v>
      </c>
      <c r="D44" s="387">
        <f t="shared" si="213"/>
        <v>231.74747938962699</v>
      </c>
      <c r="E44" s="387">
        <f t="shared" si="224"/>
        <v>375.35938184826603</v>
      </c>
      <c r="F44" s="387">
        <f t="shared" si="224"/>
        <v>216.78033510692501</v>
      </c>
      <c r="G44" s="355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275.19025476196998</v>
      </c>
      <c r="C45" s="406">
        <v>232</v>
      </c>
      <c r="D45" s="406">
        <f t="shared" si="213"/>
        <v>232</v>
      </c>
      <c r="E45" s="387">
        <f t="shared" si="224"/>
        <v>375.65990977608698</v>
      </c>
      <c r="F45" s="387">
        <f t="shared" si="224"/>
        <v>214.12518283971301</v>
      </c>
      <c r="G45" s="356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2088</v>
      </c>
      <c r="B46" s="393">
        <v>275</v>
      </c>
      <c r="C46" s="393">
        <v>232</v>
      </c>
      <c r="D46" s="393">
        <f t="shared" si="213"/>
        <v>232</v>
      </c>
      <c r="E46" s="393">
        <v>376</v>
      </c>
      <c r="F46" s="394">
        <v>213</v>
      </c>
      <c r="G46" s="3561">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230.18088050139701</v>
      </c>
      <c r="D48" s="387">
        <f t="shared" si="213"/>
        <v>230.18088050139701</v>
      </c>
      <c r="E48" s="387">
        <f t="shared" si="226"/>
        <v>377.58482925212297</v>
      </c>
      <c r="F48" s="387">
        <f t="shared" si="226"/>
        <v>210.906879978479</v>
      </c>
      <c r="G48" s="3557">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2091</v>
      </c>
      <c r="B49" s="387">
        <f t="shared" si="225"/>
        <v>276.29854502841999</v>
      </c>
      <c r="C49" s="387">
        <f t="shared" si="225"/>
        <v>229.79023709833001</v>
      </c>
      <c r="D49" s="387">
        <f t="shared" si="213"/>
        <v>229.79023709833001</v>
      </c>
      <c r="E49" s="387">
        <f t="shared" si="226"/>
        <v>379.78759731655902</v>
      </c>
      <c r="F49" s="387">
        <f t="shared" si="226"/>
        <v>211.32953905659201</v>
      </c>
      <c r="G49" s="3560">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2092</v>
      </c>
      <c r="B50" s="393">
        <v>269</v>
      </c>
      <c r="C50" s="393">
        <v>221</v>
      </c>
      <c r="D50" s="393">
        <f t="shared" si="213"/>
        <v>221</v>
      </c>
      <c r="E50" s="393">
        <v>373</v>
      </c>
      <c r="F50" s="394">
        <v>196</v>
      </c>
      <c r="G50" s="3561">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7">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2094</v>
      </c>
      <c r="B52" s="387">
        <f t="shared" si="227"/>
        <v>242.95398227588399</v>
      </c>
      <c r="C52" s="387">
        <f t="shared" si="227"/>
        <v>199.591370536141</v>
      </c>
      <c r="D52" s="387">
        <f t="shared" si="213"/>
        <v>199.591370536141</v>
      </c>
      <c r="E52" s="387">
        <f t="shared" si="228"/>
        <v>335.92189522342102</v>
      </c>
      <c r="F52" s="387">
        <f t="shared" si="228"/>
        <v>183.101399911095</v>
      </c>
      <c r="G52" s="3557">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2095</v>
      </c>
      <c r="B53" s="387">
        <f t="shared" si="227"/>
        <v>232.06990378821601</v>
      </c>
      <c r="C53" s="387">
        <f t="shared" si="227"/>
        <v>192.74878854286899</v>
      </c>
      <c r="D53" s="387">
        <f t="shared" si="213"/>
        <v>192.74878854286899</v>
      </c>
      <c r="E53" s="387">
        <f t="shared" si="228"/>
        <v>319.71247284993001</v>
      </c>
      <c r="F53" s="387">
        <f t="shared" si="228"/>
        <v>175.670536228624</v>
      </c>
      <c r="G53" s="3560">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2096</v>
      </c>
      <c r="B54" s="393">
        <v>220</v>
      </c>
      <c r="C54" s="393">
        <v>187</v>
      </c>
      <c r="D54" s="393">
        <f t="shared" si="213"/>
        <v>187</v>
      </c>
      <c r="E54" s="393">
        <v>301</v>
      </c>
      <c r="F54" s="394">
        <v>168</v>
      </c>
      <c r="G54" s="3561">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7">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v>
      </c>
      <c r="D56" s="387">
        <f t="shared" si="213"/>
        <v>181.695678122472</v>
      </c>
      <c r="E56" s="387">
        <f t="shared" si="230"/>
        <v>286.13517466736698</v>
      </c>
      <c r="F56" s="387">
        <f t="shared" si="230"/>
        <v>165.47535084591101</v>
      </c>
      <c r="G56" s="355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208.834545378754</v>
      </c>
      <c r="C57" s="387">
        <f t="shared" si="229"/>
        <v>183.77230517090399</v>
      </c>
      <c r="D57" s="387">
        <f t="shared" si="213"/>
        <v>183.77230517090399</v>
      </c>
      <c r="E57" s="387">
        <f t="shared" si="230"/>
        <v>281.10342338870902</v>
      </c>
      <c r="F57" s="387">
        <f t="shared" si="230"/>
        <v>168.97309388942301</v>
      </c>
      <c r="G57" s="356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2100</v>
      </c>
      <c r="B58" s="404">
        <v>214</v>
      </c>
      <c r="C58" s="404">
        <v>188</v>
      </c>
      <c r="D58" s="404">
        <f t="shared" si="213"/>
        <v>188</v>
      </c>
      <c r="E58" s="404">
        <v>289</v>
      </c>
      <c r="F58" s="405">
        <v>166</v>
      </c>
      <c r="G58" s="356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206.31694671589099</v>
      </c>
      <c r="C60" s="387">
        <f t="shared" si="231"/>
        <v>183.61041121036101</v>
      </c>
      <c r="D60" s="387">
        <f t="shared" si="213"/>
        <v>183.61041121036101</v>
      </c>
      <c r="E60" s="387">
        <f t="shared" si="232"/>
        <v>276.66850301795603</v>
      </c>
      <c r="F60" s="387">
        <f t="shared" si="232"/>
        <v>165.136093827861</v>
      </c>
      <c r="G60" s="355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2103</v>
      </c>
      <c r="B61" s="407">
        <f t="shared" si="231"/>
        <v>196.62341248059801</v>
      </c>
      <c r="C61" s="407">
        <f t="shared" si="231"/>
        <v>170.99125648199001</v>
      </c>
      <c r="D61" s="407">
        <f t="shared" si="213"/>
        <v>170.99125648199001</v>
      </c>
      <c r="E61" s="407">
        <f t="shared" si="232"/>
        <v>266.07857570490103</v>
      </c>
      <c r="F61" s="407">
        <f t="shared" si="232"/>
        <v>154.53499328828499</v>
      </c>
      <c r="G61" s="356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2104</v>
      </c>
      <c r="B62" s="393">
        <v>188</v>
      </c>
      <c r="C62" s="393">
        <v>165</v>
      </c>
      <c r="D62" s="393">
        <f t="shared" si="213"/>
        <v>165</v>
      </c>
      <c r="E62" s="393">
        <v>254</v>
      </c>
      <c r="F62" s="394">
        <v>148</v>
      </c>
      <c r="G62" s="3561">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7">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2106</v>
      </c>
      <c r="B64" s="387">
        <f t="shared" si="235"/>
        <v>168.820177487156</v>
      </c>
      <c r="C64" s="387">
        <f t="shared" si="235"/>
        <v>148.06267029972801</v>
      </c>
      <c r="D64" s="387">
        <f t="shared" si="213"/>
        <v>148.06267029972801</v>
      </c>
      <c r="E64" s="387">
        <f t="shared" si="236"/>
        <v>216.46288379323701</v>
      </c>
      <c r="F64" s="387">
        <f t="shared" si="236"/>
        <v>134.23529411764699</v>
      </c>
      <c r="G64" s="3557">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2107</v>
      </c>
      <c r="B65" s="387">
        <f t="shared" si="235"/>
        <v>163.849135917795</v>
      </c>
      <c r="C65" s="387">
        <f t="shared" si="235"/>
        <v>145.028337874659</v>
      </c>
      <c r="D65" s="387">
        <f t="shared" si="213"/>
        <v>145.028337874659</v>
      </c>
      <c r="E65" s="387">
        <f t="shared" si="236"/>
        <v>204.95180722891601</v>
      </c>
      <c r="F65" s="387">
        <f t="shared" si="236"/>
        <v>125.959203036053</v>
      </c>
      <c r="G65" s="3560">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2108</v>
      </c>
      <c r="B66" s="397">
        <v>159</v>
      </c>
      <c r="C66" s="397">
        <v>141</v>
      </c>
      <c r="D66" s="397">
        <f t="shared" si="213"/>
        <v>141</v>
      </c>
      <c r="E66" s="397">
        <v>195</v>
      </c>
      <c r="F66" s="398">
        <v>122</v>
      </c>
      <c r="G66" s="3561">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7">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2110</v>
      </c>
      <c r="B68" s="387">
        <f t="shared" si="239"/>
        <v>146.57412060301499</v>
      </c>
      <c r="C68" s="387">
        <f t="shared" si="239"/>
        <v>136.468319559229</v>
      </c>
      <c r="D68" s="387">
        <f t="shared" si="213"/>
        <v>136.468319559229</v>
      </c>
      <c r="E68" s="387">
        <f t="shared" si="240"/>
        <v>166.73864894795099</v>
      </c>
      <c r="F68" s="387">
        <f t="shared" si="240"/>
        <v>115.058823529412</v>
      </c>
      <c r="G68" s="3557">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2111</v>
      </c>
      <c r="B69" s="387">
        <f t="shared" si="239"/>
        <v>144.04145728643201</v>
      </c>
      <c r="C69" s="387">
        <f t="shared" si="239"/>
        <v>136.123966942149</v>
      </c>
      <c r="D69" s="387">
        <f t="shared" si="213"/>
        <v>136.123966942149</v>
      </c>
      <c r="E69" s="387">
        <f t="shared" si="240"/>
        <v>158.32225913621301</v>
      </c>
      <c r="F69" s="387">
        <f t="shared" si="240"/>
        <v>114.04278074866301</v>
      </c>
      <c r="G69" s="3560">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2112</v>
      </c>
      <c r="B70" s="397">
        <v>138</v>
      </c>
      <c r="C70" s="397">
        <v>131</v>
      </c>
      <c r="D70" s="397">
        <f t="shared" si="213"/>
        <v>131</v>
      </c>
      <c r="E70" s="397">
        <v>155</v>
      </c>
      <c r="F70" s="398">
        <v>114</v>
      </c>
      <c r="G70" s="3561">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7">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2114</v>
      </c>
      <c r="B72" s="387">
        <f t="shared" si="243"/>
        <v>124.290322580645</v>
      </c>
      <c r="C72" s="387">
        <f t="shared" si="243"/>
        <v>123.896860986547</v>
      </c>
      <c r="D72" s="387">
        <f t="shared" si="213"/>
        <v>123.896860986547</v>
      </c>
      <c r="E72" s="387">
        <f t="shared" si="244"/>
        <v>138.005076142132</v>
      </c>
      <c r="F72" s="387">
        <f t="shared" si="244"/>
        <v>107.96106557377</v>
      </c>
      <c r="G72" s="3557">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2115</v>
      </c>
      <c r="B73" s="387">
        <f t="shared" si="243"/>
        <v>122.57204301075301</v>
      </c>
      <c r="C73" s="387">
        <f t="shared" si="243"/>
        <v>123.493273542601</v>
      </c>
      <c r="D73" s="387">
        <f t="shared" si="213"/>
        <v>123.493273542601</v>
      </c>
      <c r="E73" s="387">
        <f t="shared" si="244"/>
        <v>129.82233502538099</v>
      </c>
      <c r="F73" s="387">
        <f t="shared" si="244"/>
        <v>107.39446721311501</v>
      </c>
      <c r="G73" s="3560">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2116</v>
      </c>
      <c r="B74" s="404">
        <v>121</v>
      </c>
      <c r="C74" s="404">
        <v>122</v>
      </c>
      <c r="D74" s="404">
        <f t="shared" si="213"/>
        <v>122</v>
      </c>
      <c r="E74" s="404">
        <v>124</v>
      </c>
      <c r="F74" s="405">
        <v>107</v>
      </c>
      <c r="G74" s="3561">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7">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2118</v>
      </c>
      <c r="B76" s="387">
        <f t="shared" si="247"/>
        <v>116.99099099099099</v>
      </c>
      <c r="C76" s="387">
        <f t="shared" si="247"/>
        <v>118.848484848485</v>
      </c>
      <c r="D76" s="387">
        <f t="shared" si="213"/>
        <v>118.848484848485</v>
      </c>
      <c r="E76" s="387">
        <f t="shared" si="248"/>
        <v>117.60960960961</v>
      </c>
      <c r="F76" s="387">
        <f t="shared" si="248"/>
        <v>104</v>
      </c>
      <c r="G76" s="3557">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v>
      </c>
      <c r="C77" s="407">
        <f t="shared" si="247"/>
        <v>115.212121212121</v>
      </c>
      <c r="D77" s="407">
        <f t="shared" si="213"/>
        <v>115.212121212121</v>
      </c>
      <c r="E77" s="407">
        <f t="shared" si="248"/>
        <v>110.402402402402</v>
      </c>
      <c r="F77" s="407">
        <f t="shared" si="248"/>
        <v>104</v>
      </c>
      <c r="G77" s="3560">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2120</v>
      </c>
      <c r="B78" s="461">
        <v>111</v>
      </c>
      <c r="C78" s="461">
        <v>114</v>
      </c>
      <c r="D78" s="461">
        <f t="shared" si="213"/>
        <v>114</v>
      </c>
      <c r="E78" s="461">
        <v>108</v>
      </c>
      <c r="F78" s="462">
        <v>104</v>
      </c>
      <c r="G78" s="3561">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7">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7">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60">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61">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7">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7">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6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177"/>
      <c r="B4" s="3231" t="s">
        <v>95</v>
      </c>
      <c r="C4" s="3231"/>
      <c r="D4" s="3231"/>
      <c r="E4" s="3177"/>
    </row>
    <row r="5" spans="1:5" ht="15.75">
      <c r="A5" s="3176"/>
      <c r="B5" s="3232" t="s">
        <v>96</v>
      </c>
      <c r="C5" s="3178" t="s">
        <v>97</v>
      </c>
      <c r="D5" s="3179">
        <f ca="1">结果表!H101</f>
        <v>8022</v>
      </c>
      <c r="E5" s="3176"/>
    </row>
    <row r="6" spans="1:5" ht="15.75">
      <c r="A6" s="3176"/>
      <c r="B6" s="3232"/>
      <c r="C6" s="3178" t="s">
        <v>98</v>
      </c>
      <c r="D6" s="3179" t="str">
        <f ca="1">NUMBERSTRING(INT(D5*10000),2)&amp;"元整"</f>
        <v>捌仟零贰拾贰万元整</v>
      </c>
      <c r="E6" s="3176"/>
    </row>
    <row r="7" spans="1:5" ht="15.75">
      <c r="A7" s="3176"/>
      <c r="B7" s="3233"/>
      <c r="C7" s="3180" t="s">
        <v>99</v>
      </c>
      <c r="D7" s="3181">
        <f ca="1">结果表!H102</f>
        <v>4876</v>
      </c>
      <c r="E7" s="3176"/>
    </row>
    <row r="8" spans="1:5" ht="15.75">
      <c r="A8" s="3176"/>
      <c r="B8" s="3234" t="str">
        <f>结果表!E103</f>
        <v>2.估价师知悉的法定优先受偿款</v>
      </c>
      <c r="C8" s="3182" t="s">
        <v>100</v>
      </c>
      <c r="D8" s="3181">
        <f>结果表!H103</f>
        <v>0</v>
      </c>
      <c r="E8" s="3176"/>
    </row>
    <row r="9" spans="1:5" ht="15.75">
      <c r="A9" s="3176"/>
      <c r="B9" s="3235"/>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36" t="str">
        <f>结果表!E107</f>
        <v>3.房地产抵押价值</v>
      </c>
      <c r="C13" s="3186" t="s">
        <v>97</v>
      </c>
      <c r="D13" s="3187">
        <f ca="1">结果表!H107</f>
        <v>8022</v>
      </c>
      <c r="E13" s="3176"/>
    </row>
    <row r="14" spans="1:5" ht="15.75">
      <c r="A14" s="3176"/>
      <c r="B14" s="3232"/>
      <c r="C14" s="3178" t="s">
        <v>98</v>
      </c>
      <c r="D14" s="3179" t="str">
        <f ca="1">NUMBERSTRING(INT(D13*10000),2)&amp;"元整"</f>
        <v>捌仟零贰拾贰万元整</v>
      </c>
      <c r="E14" s="3176"/>
    </row>
    <row r="15" spans="1:5" ht="15">
      <c r="A15" s="3176"/>
      <c r="B15" s="3233"/>
      <c r="C15" s="3180" t="s">
        <v>99</v>
      </c>
      <c r="D15" s="3188">
        <f ca="1">结果表!H108</f>
        <v>4876</v>
      </c>
      <c r="E15" s="3176"/>
    </row>
    <row r="16" spans="1:5" ht="15">
      <c r="A16" s="3176"/>
      <c r="B16" s="3234" t="str">
        <f>结果表!E109</f>
        <v>——</v>
      </c>
      <c r="C16" s="3186" t="s">
        <v>97</v>
      </c>
      <c r="D16" s="3189" t="str">
        <f>结果表!H109</f>
        <v>——</v>
      </c>
      <c r="E16" s="3176"/>
    </row>
    <row r="17" spans="1:5" ht="15.75">
      <c r="A17" s="3176"/>
      <c r="B17" s="3237"/>
      <c r="C17" s="3178" t="s">
        <v>98</v>
      </c>
      <c r="D17" s="3179" t="e">
        <f>NUMBERSTRING(INT(D16*10000),2)&amp;"元整"</f>
        <v>#VALUE!</v>
      </c>
      <c r="E17" s="3176"/>
    </row>
    <row r="18" spans="1:5" ht="15">
      <c r="A18" s="3176"/>
      <c r="B18" s="3235"/>
      <c r="C18" s="3180" t="s">
        <v>99</v>
      </c>
      <c r="D18" s="3188" t="str">
        <f>结果表!H110</f>
        <v>——</v>
      </c>
      <c r="E18" s="3176"/>
    </row>
    <row r="19" spans="1:5" ht="15.75">
      <c r="A19" s="3176"/>
      <c r="B19" s="3236" t="str">
        <f>结果表!E111</f>
        <v>——</v>
      </c>
      <c r="C19" s="3186" t="s">
        <v>97</v>
      </c>
      <c r="D19" s="3181" t="str">
        <f>结果表!H111</f>
        <v>——</v>
      </c>
      <c r="E19" s="3176"/>
    </row>
    <row r="20" spans="1:5" ht="15.75">
      <c r="A20" s="3176"/>
      <c r="B20" s="3232"/>
      <c r="C20" s="3178" t="s">
        <v>98</v>
      </c>
      <c r="D20" s="3179" t="e">
        <f>NUMBERSTRING(INT(D19*10000),2)&amp;"元整"</f>
        <v>#VALUE!</v>
      </c>
      <c r="E20" s="3176"/>
    </row>
    <row r="21" spans="1:5" ht="15">
      <c r="A21" s="3176"/>
      <c r="B21" s="3238"/>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29163</v>
      </c>
      <c r="C2" s="152" t="s">
        <v>2156</v>
      </c>
      <c r="D2" s="149"/>
      <c r="E2" s="149"/>
      <c r="F2" s="149"/>
      <c r="G2" s="149"/>
    </row>
    <row r="3" spans="1:7" s="138" customFormat="1" ht="18" customHeight="1">
      <c r="A3" s="153" t="s">
        <v>2157</v>
      </c>
      <c r="B3" s="154">
        <f ca="1">ROUND(B2*10000/'数据-汇总表'!E3,0)</f>
        <v>17726</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16452.330000000002</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329</v>
      </c>
      <c r="D19" s="184">
        <f>'数据-汇总表'!E3</f>
        <v>16452.330000000002</v>
      </c>
      <c r="E19" s="160">
        <f>'数据-取费表'!B31</f>
        <v>200</v>
      </c>
      <c r="F19" s="185"/>
      <c r="G19" s="172" t="s">
        <v>2181</v>
      </c>
    </row>
    <row r="20" spans="1:7" s="140" customFormat="1" ht="13.5" customHeight="1">
      <c r="A20" s="183" t="s">
        <v>2182</v>
      </c>
      <c r="B20" s="159" t="s">
        <v>2183</v>
      </c>
      <c r="C20" s="186">
        <f>ROUND((C5+C19)*F20,0)</f>
        <v>407</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1547</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25</v>
      </c>
      <c r="D24" s="196"/>
      <c r="E24" s="196"/>
      <c r="F24" s="197"/>
      <c r="G24" s="198" t="s">
        <v>2194</v>
      </c>
    </row>
    <row r="25" spans="1:7" s="140" customFormat="1" ht="24">
      <c r="A25" s="194" t="s">
        <v>930</v>
      </c>
      <c r="B25" s="164" t="s">
        <v>2195</v>
      </c>
      <c r="C25" s="195">
        <f ca="1">ROUND(IF('数据-取费表'!B22&lt;=1,C20*F22*'数据-取费表'!B23/2,C20*(POWER((1+F22),'数据-取费表'!B23/2)-1)),0)</f>
        <v>15</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622</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622</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22905</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6461</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5758</v>
      </c>
      <c r="D34" s="166"/>
      <c r="E34" s="169"/>
      <c r="F34" s="215">
        <f>IF('数据-取费表'!B24=0,1,'数据-取费表'!N16)</f>
        <v>1</v>
      </c>
      <c r="G34" s="168" t="s">
        <v>2212</v>
      </c>
    </row>
    <row r="35" spans="1:7" ht="13.5" customHeight="1">
      <c r="A35" s="194" t="s">
        <v>928</v>
      </c>
      <c r="B35" s="164" t="s">
        <v>2213</v>
      </c>
      <c r="C35" s="169">
        <f>ROUND(C34*F35,0)</f>
        <v>173</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115</v>
      </c>
      <c r="D36" s="169"/>
      <c r="E36" s="169"/>
      <c r="F36" s="216">
        <f>'数据-取费表'!B34</f>
        <v>0.02</v>
      </c>
      <c r="G36" s="217" t="s">
        <v>2216</v>
      </c>
    </row>
    <row r="37" spans="1:7" s="142" customFormat="1" ht="13.5" customHeight="1">
      <c r="A37" s="194" t="s">
        <v>972</v>
      </c>
      <c r="B37" s="164" t="s">
        <v>2217</v>
      </c>
      <c r="C37" s="207">
        <f>ROUND(E37*D37*F34/10000,0)</f>
        <v>329</v>
      </c>
      <c r="D37" s="166">
        <f>'数据-汇总表'!E3</f>
        <v>16452.330000000002</v>
      </c>
      <c r="E37" s="207">
        <f>'数据-取费表'!B35</f>
        <v>200</v>
      </c>
      <c r="F37" s="216"/>
      <c r="G37" s="218" t="s">
        <v>2218</v>
      </c>
    </row>
    <row r="38" spans="1:7" ht="13.5" customHeight="1">
      <c r="A38" s="194" t="s">
        <v>994</v>
      </c>
      <c r="B38" s="164" t="s">
        <v>2171</v>
      </c>
      <c r="C38" s="169">
        <f>ROUND(C34*F38,0)</f>
        <v>86</v>
      </c>
      <c r="D38" s="169"/>
      <c r="E38" s="169"/>
      <c r="F38" s="216">
        <f>'数据-取费表'!B36</f>
        <v>1.4999999999999999E-2</v>
      </c>
      <c r="G38" s="168" t="s">
        <v>2214</v>
      </c>
    </row>
    <row r="39" spans="1:7" s="140" customFormat="1" ht="13.5" customHeight="1">
      <c r="A39" s="183" t="s">
        <v>2179</v>
      </c>
      <c r="B39" s="159" t="s">
        <v>2183</v>
      </c>
      <c r="C39" s="186">
        <f>ROUND(C33*F20,0)</f>
        <v>129</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244</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239</v>
      </c>
      <c r="D42" s="196"/>
      <c r="E42" s="196"/>
      <c r="F42" s="197"/>
      <c r="G42" s="3417" t="s">
        <v>2222</v>
      </c>
    </row>
    <row r="43" spans="1:7" ht="13.5" customHeight="1">
      <c r="A43" s="194" t="s">
        <v>928</v>
      </c>
      <c r="B43" s="164" t="s">
        <v>2193</v>
      </c>
      <c r="C43" s="196">
        <f ca="1">ROUND(IF('数据-取费表'!B22&lt;=1,C39*F22*'数据-取费表'!B21/2,C39*(POWER((1+F22),'数据-取费表'!B21/2)-1)),0)</f>
        <v>5</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198</v>
      </c>
      <c r="D45" s="189">
        <f>C47</f>
        <v>0</v>
      </c>
      <c r="E45" s="190" t="s">
        <v>2220</v>
      </c>
      <c r="F45" s="204"/>
      <c r="G45" s="205" t="s">
        <v>2223</v>
      </c>
    </row>
    <row r="46" spans="1:7" s="140" customFormat="1" ht="13.5" customHeight="1">
      <c r="A46" s="194" t="s">
        <v>926</v>
      </c>
      <c r="B46" s="206" t="s">
        <v>2224</v>
      </c>
      <c r="C46" s="207">
        <f>ROUND((C33+C39)*F27,0)</f>
        <v>198</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7032</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6258</v>
      </c>
      <c r="D51" s="186"/>
      <c r="E51" s="186"/>
      <c r="F51" s="221"/>
      <c r="G51" s="191" t="s">
        <v>2235</v>
      </c>
    </row>
    <row r="52" spans="1:7" s="139" customFormat="1" ht="15.75">
      <c r="A52" s="222" t="s">
        <v>2236</v>
      </c>
      <c r="B52" s="223"/>
      <c r="C52" s="224">
        <f ca="1">C31+C51</f>
        <v>29163</v>
      </c>
      <c r="D52" s="223"/>
      <c r="E52" s="223"/>
      <c r="F52" s="223"/>
      <c r="G52" s="225"/>
    </row>
    <row r="55" spans="1:7" ht="15">
      <c r="B55" s="226" t="s">
        <v>2237</v>
      </c>
      <c r="C55" s="227"/>
    </row>
    <row r="56" spans="1:7">
      <c r="B56" s="228" t="s">
        <v>2238</v>
      </c>
      <c r="C56" s="229">
        <f ca="1">ROUND(C51/C52,3)</f>
        <v>0.215</v>
      </c>
    </row>
    <row r="57" spans="1:7">
      <c r="B57" s="228" t="s">
        <v>2239</v>
      </c>
      <c r="C57" s="230">
        <f ca="1">1-C56</f>
        <v>0.78500000000000003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3171" t="s">
        <v>110</v>
      </c>
      <c r="E3" s="3171" t="s">
        <v>111</v>
      </c>
      <c r="F3" s="3171" t="s">
        <v>110</v>
      </c>
      <c r="G3" s="3171" t="s">
        <v>111</v>
      </c>
      <c r="H3" s="3171" t="s">
        <v>110</v>
      </c>
      <c r="I3" s="3171" t="s">
        <v>111</v>
      </c>
    </row>
    <row r="4" spans="1:9" ht="15">
      <c r="A4" s="3172" t="str">
        <f>项目基本情况!S2</f>
        <v>北京市房地产</v>
      </c>
      <c r="B4" s="3171">
        <f>项目基本情况!C17</f>
        <v>16452.330000000002</v>
      </c>
      <c r="C4" s="3171">
        <f>项目基本情况!C18</f>
        <v>0</v>
      </c>
      <c r="D4" s="3171">
        <f ca="1">结果表!D118</f>
        <v>5559</v>
      </c>
      <c r="E4" s="3171">
        <f ca="1">结果表!E118</f>
        <v>3379</v>
      </c>
      <c r="F4" s="3171">
        <f ca="1">结果表!F118</f>
        <v>2463</v>
      </c>
      <c r="G4" s="3171">
        <f ca="1">结果表!G118</f>
        <v>1497</v>
      </c>
      <c r="H4" s="3171">
        <f ca="1">结果表!H118</f>
        <v>8022</v>
      </c>
      <c r="I4" s="3171">
        <f ca="1">结果表!I118</f>
        <v>4876</v>
      </c>
    </row>
    <row r="5" spans="1:9" ht="30" customHeight="1">
      <c r="A5" s="3241" t="s">
        <v>112</v>
      </c>
      <c r="B5" s="3241"/>
      <c r="C5" s="3241"/>
      <c r="D5" s="3242" t="str">
        <f ca="1">结果表!D119</f>
        <v>伍仟伍佰伍拾玖万元整</v>
      </c>
      <c r="E5" s="3242"/>
      <c r="F5" s="3242" t="str">
        <f ca="1">结果表!F119</f>
        <v>贰仟肆佰陆拾叁万元整</v>
      </c>
      <c r="G5" s="3242"/>
      <c r="H5" s="3242" t="str">
        <f ca="1">结果表!H119</f>
        <v>捌仟零贰拾贰万元整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112</v>
      </c>
      <c r="B7" s="3241"/>
      <c r="C7" s="3241"/>
      <c r="D7" s="3244" t="str">
        <f>结果表!D121</f>
        <v>零元整</v>
      </c>
      <c r="E7" s="3245"/>
      <c r="F7" s="3245"/>
      <c r="G7" s="3245"/>
      <c r="H7" s="3245"/>
      <c r="I7" s="3246"/>
    </row>
    <row r="8" spans="1:9" ht="15.75">
      <c r="A8" s="3243" t="str">
        <f>结果表!A122</f>
        <v>房地产抵押价值</v>
      </c>
      <c r="B8" s="3243"/>
      <c r="C8" s="3243"/>
      <c r="D8" s="3243">
        <f ca="1">结果表!D122</f>
        <v>8022</v>
      </c>
      <c r="E8" s="3243"/>
      <c r="F8" s="3243"/>
      <c r="G8" s="3243"/>
      <c r="H8" s="3243"/>
      <c r="I8" s="3243"/>
    </row>
    <row r="9" spans="1:9" ht="15">
      <c r="A9" s="3241" t="s">
        <v>112</v>
      </c>
      <c r="B9" s="3241"/>
      <c r="C9" s="3241"/>
      <c r="D9" s="3242" t="str">
        <f ca="1">结果表!D123</f>
        <v>捌仟零贰拾贰万元整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112</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
      <c r="A13" s="3247" t="s">
        <v>112</v>
      </c>
      <c r="B13" s="3247"/>
      <c r="C13" s="3247"/>
      <c r="D13" s="3248" t="e">
        <f>结果表!D127</f>
        <v>#VALUE!</v>
      </c>
      <c r="E13" s="3248"/>
      <c r="F13" s="3248"/>
      <c r="G13" s="3248"/>
      <c r="H13" s="3248"/>
      <c r="I13" s="3248"/>
    </row>
    <row r="14" spans="1:9">
      <c r="A14" s="3249" t="s">
        <v>113</v>
      </c>
      <c r="B14" s="3249"/>
      <c r="C14" s="3249"/>
      <c r="D14" s="3249"/>
      <c r="E14" s="3249"/>
      <c r="F14" s="3249"/>
      <c r="G14" s="3249"/>
      <c r="H14" s="3249"/>
      <c r="I14" s="3249"/>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0" t="s">
        <v>114</v>
      </c>
      <c r="B1" s="3250"/>
      <c r="C1" s="3250"/>
      <c r="D1" s="3250"/>
    </row>
    <row r="2" spans="1:4" ht="18">
      <c r="A2" s="3251" t="s">
        <v>115</v>
      </c>
      <c r="B2" s="3251"/>
      <c r="C2" s="3251"/>
      <c r="D2" s="3251"/>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1" t="s">
        <v>121</v>
      </c>
      <c r="B6" s="3251"/>
      <c r="C6" s="3251"/>
      <c r="D6" s="3251"/>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2"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129</v>
      </c>
      <c r="B22" s="3257"/>
      <c r="C22" s="3257"/>
      <c r="D22" s="3257"/>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2" t="s">
        <v>146</v>
      </c>
      <c r="B15" s="3259" t="s">
        <v>147</v>
      </c>
      <c r="C15" s="3260"/>
    </row>
    <row r="16" spans="1:7" ht="13.5">
      <c r="A16" s="3263"/>
      <c r="B16" s="3259" t="s">
        <v>148</v>
      </c>
      <c r="C16" s="3260"/>
    </row>
    <row r="17" spans="1:3" ht="13.5">
      <c r="A17" s="3263"/>
      <c r="B17" s="3266" t="s">
        <v>149</v>
      </c>
      <c r="C17" s="3148" t="s">
        <v>146</v>
      </c>
    </row>
    <row r="18" spans="1:3" ht="13.5">
      <c r="A18" s="3263"/>
      <c r="B18" s="3266"/>
      <c r="C18" s="3148" t="s">
        <v>150</v>
      </c>
    </row>
    <row r="19" spans="1:3" ht="13.5">
      <c r="A19" s="3263"/>
      <c r="B19" s="3266"/>
      <c r="C19" s="3148" t="s">
        <v>151</v>
      </c>
    </row>
    <row r="20" spans="1:3" ht="13.5">
      <c r="A20" s="3264"/>
      <c r="B20" s="3261" t="s">
        <v>152</v>
      </c>
      <c r="C20" s="3260"/>
    </row>
    <row r="21" spans="1:3" ht="13.5">
      <c r="A21" s="3149" t="s">
        <v>153</v>
      </c>
      <c r="B21" s="3150"/>
      <c r="C21" s="3151"/>
    </row>
    <row r="22" spans="1:3" ht="13.5">
      <c r="A22" s="3265" t="s">
        <v>154</v>
      </c>
      <c r="B22" s="3261" t="s">
        <v>155</v>
      </c>
      <c r="C22" s="3260"/>
    </row>
    <row r="23" spans="1:3" ht="13.5">
      <c r="A23" s="3265"/>
      <c r="B23" s="3261" t="s">
        <v>156</v>
      </c>
      <c r="C23" s="3260"/>
    </row>
    <row r="24" spans="1:3" ht="13.5">
      <c r="A24" s="3265"/>
      <c r="B24" s="3261" t="s">
        <v>157</v>
      </c>
      <c r="C24" s="3260"/>
    </row>
    <row r="25" spans="1:3" ht="13.5">
      <c r="A25" s="3265"/>
      <c r="B25" s="3266" t="s">
        <v>158</v>
      </c>
      <c r="C25" s="3148" t="s">
        <v>159</v>
      </c>
    </row>
    <row r="26" spans="1:3" ht="13.5">
      <c r="A26" s="3265"/>
      <c r="B26" s="3266"/>
      <c r="C26" s="3148" t="s">
        <v>160</v>
      </c>
    </row>
    <row r="27" spans="1:3" ht="13.5">
      <c r="A27" s="3265"/>
      <c r="B27" s="3266"/>
      <c r="C27" s="3148" t="s">
        <v>161</v>
      </c>
    </row>
    <row r="28" spans="1:3" ht="13.5">
      <c r="A28" s="3265"/>
      <c r="B28" s="3266"/>
      <c r="C28" s="3148" t="s">
        <v>162</v>
      </c>
    </row>
    <row r="29" spans="1:3" ht="13.5">
      <c r="A29" s="3265"/>
      <c r="B29" s="3266"/>
      <c r="C29" s="3148" t="s">
        <v>163</v>
      </c>
    </row>
    <row r="30" spans="1:3" ht="13.5">
      <c r="A30" s="3265"/>
      <c r="B30" s="3266"/>
      <c r="C30" s="3148" t="s">
        <v>164</v>
      </c>
    </row>
    <row r="31" spans="1:3" ht="13.5">
      <c r="A31" s="3265"/>
      <c r="B31" s="3266"/>
      <c r="C31" s="3148" t="s">
        <v>165</v>
      </c>
    </row>
    <row r="32" spans="1:3" ht="13.5">
      <c r="A32" s="3265"/>
      <c r="B32" s="3266"/>
      <c r="C32" s="3148" t="s">
        <v>166</v>
      </c>
    </row>
    <row r="33" spans="1:3" ht="13.5">
      <c r="A33" s="3265"/>
      <c r="B33" s="3266"/>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44785</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f ca="1">IF(C4&lt;B2,"已过期",1119970066)</f>
        <v>1119970066</v>
      </c>
      <c r="C4" s="3118">
        <v>44876</v>
      </c>
      <c r="D4" s="3119" t="str">
        <f ca="1">A4&amp;"（注册号："&amp;B4&amp;"）"</f>
        <v>梁津（注册号：1119970066）</v>
      </c>
      <c r="E4" s="3120" t="s">
        <v>184</v>
      </c>
      <c r="F4" s="3117">
        <f ca="1">IF(G4&lt;B2,"已过期",96010014)</f>
        <v>96010014</v>
      </c>
      <c r="G4" s="3121">
        <v>47118</v>
      </c>
      <c r="H4" s="3122" t="str">
        <f ca="1">E4&amp;"（注册号："&amp;F4&amp;"）"</f>
        <v>梁津（注册号：96010014）</v>
      </c>
    </row>
    <row r="5" spans="1:8" ht="24" customHeight="1">
      <c r="A5" s="3117" t="s">
        <v>185</v>
      </c>
      <c r="B5" s="3117">
        <f ca="1">IF(C5&lt;B2,"已过期",1119970111)</f>
        <v>1119970111</v>
      </c>
      <c r="C5" s="3118">
        <v>44876</v>
      </c>
      <c r="D5" s="3119" t="str">
        <f t="shared" ref="D5:D16" ca="1" si="0">A5&amp;"（注册号："&amp;B5&amp;"）"</f>
        <v>叶凌（注册号：1119970111）</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f ca="1">IF(C7&lt;B2,"已过期",1120000080)</f>
        <v>1120000080</v>
      </c>
      <c r="C7" s="3118">
        <v>44876</v>
      </c>
      <c r="D7" s="3119" t="str">
        <f t="shared" ca="1" si="0"/>
        <v>欧红伟（注册号：1120000080）</v>
      </c>
      <c r="E7" s="3120" t="s">
        <v>187</v>
      </c>
      <c r="F7" s="3117">
        <f ca="1">IF(G7&lt;B2,"已过期",2000110082)</f>
        <v>2000110082</v>
      </c>
      <c r="G7" s="3121">
        <v>46387</v>
      </c>
      <c r="H7" s="3122" t="str">
        <f t="shared" ca="1" si="1"/>
        <v>欧红伟（注册号：2000110082）</v>
      </c>
    </row>
    <row r="8" spans="1:8" ht="24" customHeight="1">
      <c r="A8" s="3117" t="s">
        <v>188</v>
      </c>
      <c r="B8" s="3117">
        <f ca="1">IF(C8&lt;B2,"已过期",1419970001)</f>
        <v>1419970001</v>
      </c>
      <c r="C8" s="3118">
        <v>44899</v>
      </c>
      <c r="D8" s="3119" t="str">
        <f t="shared" ca="1" si="0"/>
        <v>吴薇（注册号：1419970001）</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f ca="1">IF(C11&lt;B2,"已过期",1120070131)</f>
        <v>1120070131</v>
      </c>
      <c r="C11" s="3118">
        <v>44849</v>
      </c>
      <c r="D11" s="3119" t="str">
        <f t="shared" ca="1" si="0"/>
        <v>郑燚（注册号：1120070131）</v>
      </c>
      <c r="E11" s="3120" t="s">
        <v>191</v>
      </c>
      <c r="F11" s="3117">
        <f ca="1">IF(G11&lt;B2,"已过期",2014110011)</f>
        <v>2014110011</v>
      </c>
      <c r="G11" s="3121">
        <v>49302</v>
      </c>
      <c r="H11" s="3122" t="str">
        <f t="shared" ca="1" si="1"/>
        <v>郑燚（注册号：2014110011）</v>
      </c>
    </row>
    <row r="12" spans="1:8" ht="24" customHeight="1">
      <c r="A12" s="3117" t="s">
        <v>192</v>
      </c>
      <c r="B12" s="3117">
        <f ca="1">IF(C12&lt;B2,"已过期",1120040230)</f>
        <v>1120040230</v>
      </c>
      <c r="C12" s="3123">
        <v>44864</v>
      </c>
      <c r="D12" s="3119" t="str">
        <f t="shared" ca="1" si="0"/>
        <v>苏海（注册号：1120040230）</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2022-08-12T01:33:38Z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7EA7F88DA8E84E6AB484287874F2C7CE</vt:lpwstr>
  </property>
</Properties>
</file>