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F6" i="74" l="1"/>
  <c r="G14" i="7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F26" i="67"/>
  <c r="E2" i="69"/>
  <c r="F30" i="15"/>
  <c r="B7" i="76"/>
  <c r="F26" i="15"/>
  <c r="M36" i="15"/>
  <c r="F7" i="15"/>
  <c r="F6" i="67"/>
  <c r="F5" i="73"/>
  <c r="F43" i="67"/>
  <c r="M22" i="67"/>
  <c r="B13" i="76"/>
  <c r="F7" i="73"/>
  <c r="C71" i="15"/>
  <c r="M26" i="15"/>
  <c r="F52" i="15"/>
  <c r="F6" i="73"/>
  <c r="M8" i="67"/>
  <c r="E7" i="76"/>
  <c r="M26" i="67"/>
  <c r="F9" i="15"/>
  <c r="B8" i="76"/>
  <c r="F48" i="15"/>
  <c r="E10" i="76"/>
  <c r="B11" i="76"/>
  <c r="L56" i="15"/>
  <c r="M30" i="15"/>
  <c r="E13" i="76"/>
  <c r="D34" i="9"/>
  <c r="D35" i="9"/>
  <c r="C76" i="67"/>
  <c r="F13" i="67"/>
  <c r="AO13" i="1"/>
  <c r="F7" i="67"/>
  <c r="D6" i="73"/>
  <c r="M9" i="15"/>
  <c r="F32" i="15"/>
  <c r="M24" i="67"/>
  <c r="M6" i="15"/>
  <c r="F3" i="73"/>
  <c r="F38" i="67"/>
  <c r="M29" i="67"/>
  <c r="E11" i="76"/>
  <c r="M28" i="67"/>
  <c r="C88" i="15"/>
  <c r="F6" i="15"/>
  <c r="F4" i="73"/>
  <c r="F38" i="15"/>
  <c r="E8" i="76"/>
  <c r="B10" i="76"/>
  <c r="B12" i="76"/>
  <c r="J15" i="67"/>
  <c r="F16" i="67"/>
  <c r="M28" i="15"/>
  <c r="M22" i="15"/>
  <c r="M9" i="67"/>
  <c r="M31" i="15"/>
  <c r="M8" i="15"/>
  <c r="B9" i="76"/>
  <c r="F8" i="67"/>
  <c r="F8" i="15"/>
  <c r="F24" i="15"/>
  <c r="F40" i="67"/>
  <c r="F36" i="67"/>
  <c r="F20" i="31"/>
  <c r="F9" i="67"/>
  <c r="M24" i="15"/>
  <c r="E12" i="76"/>
  <c r="M6" i="67"/>
  <c r="L47" i="67"/>
  <c r="M23" i="67"/>
  <c r="F37" i="67"/>
  <c r="F22" i="15"/>
  <c r="F28" i="15"/>
  <c r="F42" i="67"/>
  <c r="L8" i="15" l="1"/>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M26" i="81"/>
  <c r="F26" i="81"/>
  <c r="M22" i="81"/>
  <c r="M8" i="81"/>
  <c r="F38" i="81"/>
  <c r="M6" i="81"/>
  <c r="F24" i="81"/>
  <c r="M36" i="81"/>
  <c r="F7" i="81"/>
  <c r="F48" i="81"/>
  <c r="L56" i="81"/>
  <c r="D3" i="73"/>
  <c r="F6" i="81"/>
  <c r="D5" i="73"/>
  <c r="C16" i="67"/>
  <c r="C71" i="81"/>
  <c r="M31" i="81"/>
  <c r="F8" i="81"/>
  <c r="F32" i="81"/>
  <c r="D4" i="73"/>
  <c r="C38" i="15"/>
  <c r="C19" i="81"/>
  <c r="F30" i="81"/>
  <c r="L57" i="15"/>
  <c r="L48" i="67"/>
  <c r="L57" i="81"/>
  <c r="F9" i="81"/>
  <c r="M28" i="81"/>
  <c r="M24" i="81"/>
  <c r="M9" i="81"/>
  <c r="M30" i="81"/>
  <c r="F22" i="81"/>
  <c r="D7" i="73"/>
  <c r="F28" i="81"/>
  <c r="C88" i="81"/>
  <c r="F52"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G1" i="73"/>
  <c r="C38" i="81"/>
  <c r="G16" i="1" l="1"/>
  <c r="F12" i="39" s="1"/>
  <c r="U7" i="3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J12" i="39"/>
  <c r="W12" i="39" s="1"/>
  <c r="J12" i="40"/>
  <c r="AC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7" i="67"/>
  <c r="F29" i="15"/>
  <c r="M29" i="15"/>
  <c r="M29" i="81"/>
  <c r="F41" i="67"/>
  <c r="F29" i="81"/>
  <c r="W12" i="40" l="1"/>
  <c r="F12" i="40"/>
  <c r="H12" i="39"/>
  <c r="U12" i="39" s="1"/>
  <c r="J6" i="81"/>
  <c r="J16" i="81" s="1"/>
  <c r="C57" i="15"/>
  <c r="C26" i="15"/>
  <c r="C28" i="15"/>
  <c r="D16" i="80"/>
  <c r="C16" i="80" s="1"/>
  <c r="C14" i="80" s="1"/>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6" i="81"/>
  <c r="C39" i="15"/>
  <c r="C14" i="67"/>
  <c r="C39" i="81"/>
  <c r="D17" i="80" l="1"/>
  <c r="C17" i="80" s="1"/>
  <c r="S12" i="40"/>
  <c r="AA12" i="40"/>
  <c r="E54" i="34"/>
  <c r="F54" i="34"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M21" i="67"/>
  <c r="F35" i="67"/>
  <c r="M21" i="15"/>
  <c r="F21" i="81"/>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4"/>
  <c r="F2" i="37"/>
  <c r="F2" i="36"/>
  <c r="F2" i="35"/>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6" i="1"/>
  <c r="AO8" i="1"/>
  <c r="AO9"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<sst xmlns="http://schemas.openxmlformats.org/spreadsheetml/2006/main" count="9067" uniqueCount="4070">
  <si>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</si>
  <si>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</si>
  <si>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</si>
  <si>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</si>
  <si>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</si>
  <si>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</si>
  <si>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</si>
  <si>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</si>
  <si>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</si>
  <si>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</si>
  <si>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</si>
  <si>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</si>
  <si>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</si>
  <si>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</si>
  <si>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</si>
  <si>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</si>
  <si>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</si>
  <si>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</si>
  <si>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</si>
  <si>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</si>
  <si>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</si>
  <si>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</si>
  <si>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</si>
  <si>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</si>
  <si>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</si>
  <si>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</si>
  <si>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</si>
  <si>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</si>
  <si>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</si>
  <si>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</si>
  <si>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</si>
  <si>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</si>
  <si>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</si>
  <si>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</si>
  <si>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</si>
  <si>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</si>
  <si>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</si>
  <si>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</si>
  <si>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</si>
  <si>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</si>
  <si>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</si>
  <si>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</si>
  <si>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</si>
  <si>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</si>
  <si>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</si>
  <si>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</si>
  <si>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</si>
  <si>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</si>
  <si>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</si>
  <si>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</si>
  <si>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</si>
  <si>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</si>
  <si>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</si>
  <si>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</si>
  <si>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</si>
  <si>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</si>
  <si>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</si>
  <si>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</si>
  <si>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</si>
  <si>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</si>
  <si>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</si>
  <si>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</si>
  <si>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</si>
  <si>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</si>
  <si>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</si>
  <si>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</si>
  <si>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</si>
  <si>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</si>
  <si>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</si>
  <si>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</si>
  <si>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</si>
  <si>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</si>
  <si>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</si>
  <si>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</si>
  <si>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</si>
  <si>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</si>
  <si>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</si>
  <si>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</si>
  <si>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</si>
  <si>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</si>
  <si>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</si>
  <si>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</si>
  <si>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</si>
  <si>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</si>
  <si>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</si>
  <si>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</si>
  <si>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</si>
  <si>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</si>
  <si>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</si>
  <si>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</si>
  <si>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</si>
  <si>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</si>
  <si>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</si>
  <si>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</si>
  <si>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</si>
  <si>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</si>
  <si>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</si>
  <si>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</si>
  <si>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</si>
  <si>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</si>
  <si>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</si>
  <si>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</si>
  <si>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</si>
  <si>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</si>
  <si>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</si>
  <si>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</si>
  <si>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</si>
  <si>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</si>
  <si>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</si>
  <si>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</si>
  <si>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</si>
  <si>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</si>
  <si>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</si>
  <si>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</si>
  <si>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</si>
  <si>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</si>
  <si>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</si>
  <si>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</si>
  <si>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</si>
  <si>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</si>
  <si>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</si>
  <si>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</si>
  <si>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</si>
  <si>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</si>
  <si>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</si>
  <si>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</si>
  <si>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</si>
  <si>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</si>
  <si>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</si>
  <si>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</si>
  <si>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</si>
  <si>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</si>
  <si>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</si>
  <si>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</si>
  <si>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</si>
  <si>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</si>
  <si>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</si>
  <si>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</si>
  <si>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</si>
  <si>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</si>
  <si>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</si>
  <si>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</si>
  <si>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</si>
  <si>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</si>
  <si>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</si>
  <si>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</si>
  <si>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</si>
  <si>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</si>
  <si>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</si>
  <si>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</si>
  <si>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</si>
  <si>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</si>
  <si>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</si>
  <si>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</si>
  <si>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</si>
  <si>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</si>
  <si>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</si>
  <si>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</si>
  <si>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</si>
  <si>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</si>
  <si>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</si>
  <si>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</si>
  <si>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</si>
  <si>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</si>
  <si>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</si>
  <si>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</si>
  <si>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</si>
  <si>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</si>
  <si>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</si>
  <si>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</si>
  <si>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</si>
  <si>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</si>
  <si>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</si>
  <si>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</si>
  <si>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</si>
  <si>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</si>
  <si>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</si>
  <si>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</si>
  <si>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</si>
  <si>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</si>
  <si>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</si>
  <si>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</si>
  <si>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</si>
  <si>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</si>
  <si>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</si>
  <si>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</si>
  <si>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</si>
  <si>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</si>
  <si>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</si>
  <si>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</si>
  <si>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</si>
  <si>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</si>
  <si>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</si>
  <si>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</si>
  <si>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</si>
  <si>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</si>
  <si>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</si>
  <si>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</si>
  <si>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</si>
  <si>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</si>
  <si>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</si>
  <si>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</si>
  <si>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</si>
  <si>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</si>
  <si>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</si>
  <si>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</si>
  <si>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</si>
  <si>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</si>
  <si>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</si>
  <si>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</si>
  <si>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</si>
  <si>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</si>
  <si>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</si>
  <si>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</si>
  <si>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</si>
  <si>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</si>
  <si>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</si>
  <si>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</si>
  <si>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</si>
  <si>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</si>
  <si>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</si>
  <si>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</si>
  <si>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</si>
  <si>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</si>
  <si>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</si>
  <si>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</si>
  <si>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</si>
  <si>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</si>
  <si>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</si>
  <si>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</si>
  <si>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</si>
  <si>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</si>
  <si>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</si>
  <si>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</si>
  <si>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</si>
  <si>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</si>
  <si>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</si>
  <si>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</si>
  <si>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</si>
  <si>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</si>
  <si>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</si>
  <si>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</si>
  <si>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</si>
  <si>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</si>
  <si>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</si>
  <si>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</si>
  <si>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</si>
  <si>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</si>
  <si>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</si>
  <si>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</si>
  <si>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</si>
  <si>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</si>
  <si>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</si>
  <si>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</si>
  <si>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</si>
  <si>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</si>
  <si>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</si>
  <si>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</si>
  <si>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</si>
  <si>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</si>
  <si>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</si>
  <si>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</si>
  <si>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</si>
  <si>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</si>
  <si>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</si>
  <si>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</si>
  <si>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</si>
  <si>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</si>
  <si>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</si>
  <si>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</si>
  <si>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</si>
  <si>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</si>
  <si>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</si>
  <si>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</si>
  <si>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</si>
  <si>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</si>
  <si>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</si>
  <si>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</si>
  <si>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</si>
  <si>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</si>
  <si>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</si>
  <si>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</si>
  <si>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</si>
  <si>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</si>
  <si>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</si>
  <si>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</si>
  <si>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</si>
  <si>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</si>
  <si>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</si>
  <si>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</si>
  <si>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</si>
  <si>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</si>
  <si>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</si>
  <si>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</si>
  <si>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</si>
  <si>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</si>
  <si>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</si>
  <si>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</si>
  <si>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</si>
  <si>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</si>
  <si>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</si>
  <si>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</si>
  <si>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</si>
  <si>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</si>
  <si>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</si>
  <si>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</si>
  <si>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</si>
  <si>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</si>
  <si>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</si>
  <si>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</si>
  <si>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</si>
  <si>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</si>
  <si>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</si>
  <si>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</si>
  <si>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</si>
  <si>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</si>
  <si>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</si>
  <si>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</si>
  <si>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</si>
  <si>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</si>
  <si>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</si>
  <si>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</si>
  <si>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</si>
  <si>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</si>
  <si>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</si>
  <si>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</si>
  <si>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</si>
  <si>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</si>
  <si>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</si>
  <si>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</si>
  <si>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</si>
  <si>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</si>
  <si>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</si>
  <si>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</si>
  <si>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</si>
  <si>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</si>
  <si>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</si>
  <si>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</si>
  <si>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</si>
  <si>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</si>
  <si>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</si>
  <si>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</si>
  <si>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</si>
  <si>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</si>
  <si>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</si>
  <si>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</si>
  <si>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</si>
  <si>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</si>
  <si>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</si>
  <si>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</si>
  <si>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</si>
  <si>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</si>
  <si>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</si>
  <si>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</si>
  <si>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</si>
  <si>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</si>
  <si>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</si>
  <si>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</si>
  <si>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</si>
  <si>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</si>
  <si>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</si>
  <si>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</si>
  <si>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</si>
  <si>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</si>
  <si>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</si>
  <si>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</si>
  <si>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</si>
  <si>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</si>
  <si>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</si>
  <si>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</si>
  <si>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</si>
  <si>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</si>
  <si>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</si>
  <si>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</si>
  <si>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</si>
  <si>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</si>
  <si>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</si>
  <si>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</si>
  <si>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</si>
  <si>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</si>
  <si>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</si>
  <si>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</si>
  <si>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</si>
  <si>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</si>
  <si>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</si>
  <si>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</si>
  <si>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</si>
  <si>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</si>
  <si>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</si>
  <si>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</si>
  <si>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</si>
  <si>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</si>
  <si>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</si>
  <si>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</si>
  <si>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</si>
  <si>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</si>
  <si>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</si>
  <si>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</si>
  <si>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</si>
  <si>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</si>
  <si>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</si>
  <si>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</si>
  <si>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</si>
  <si>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</si>
  <si>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</si>
  <si>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</si>
  <si>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</si>
  <si>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</si>
  <si>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</si>
  <si>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</si>
  <si>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</si>
  <si>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</si>
  <si>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</si>
  <si>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</si>
  <si>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</si>
  <si>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</si>
  <si>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</si>
  <si>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</si>
  <si>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</si>
  <si>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</si>
  <si>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</si>
  <si>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</si>
  <si>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</si>
  <si>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</si>
  <si>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</si>
  <si>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</si>
  <si>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</si>
  <si>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</si>
  <si>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</si>
  <si>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</si>
  <si>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</si>
  <si>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</si>
  <si>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</si>
  <si>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</si>
  <si>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</si>
  <si>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</si>
  <si>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</si>
  <si>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</si>
  <si>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</si>
  <si>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</si>
  <si>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</si>
  <si>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</si>
  <si>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</si>
  <si>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</si>
  <si>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</si>
  <si>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</si>
  <si>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</si>
  <si>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</si>
  <si>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</si>
  <si>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</si>
  <si>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</si>
  <si>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</si>
  <si>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</si>
  <si>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</si>
  <si>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</si>
  <si>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</si>
  <si>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</si>
  <si>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</si>
  <si>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</si>
  <si>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</si>
  <si>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</si>
  <si>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</si>
  <si>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</si>
  <si>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</si>
  <si>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</si>
  <si>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</si>
  <si>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</si>
  <si>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</si>
  <si>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</si>
  <si>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</si>
  <si>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</si>
  <si>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</si>
  <si>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</si>
  <si>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</si>
  <si>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</si>
  <si>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</si>
  <si>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</si>
  <si>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</si>
  <si>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</si>
  <si>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</si>
  <si>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</si>
  <si>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</si>
  <si>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</si>
  <si>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</si>
  <si>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</si>
  <si>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</si>
  <si>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</si>
  <si>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</si>
  <si>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</si>
  <si>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</si>
  <si>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</si>
  <si>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</si>
  <si>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</si>
  <si>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</si>
  <si>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</si>
  <si>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</si>
  <si>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</si>
  <si>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</si>
  <si>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</si>
  <si>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</si>
  <si>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</si>
  <si>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</si>
  <si>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</si>
  <si>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</si>
  <si>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</si>
  <si>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</si>
  <si>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</si>
  <si>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</si>
  <si>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</si>
  <si>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</si>
  <si>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</si>
  <si>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</si>
  <si>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</si>
  <si>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</si>
  <si>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</si>
  <si>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</si>
  <si>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</si>
  <si>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</si>
  <si>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</si>
  <si>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</si>
  <si>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</si>
  <si>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</si>
  <si>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</si>
  <si>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</si>
  <si>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</si>
  <si>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</si>
  <si>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</si>
  <si>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</si>
  <si>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</si>
  <si>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</si>
  <si>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</si>
  <si>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</si>
  <si>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</si>
  <si>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</si>
  <si>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</si>
  <si>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</si>
  <si>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</si>
  <si>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</si>
  <si>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</si>
  <si>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</si>
  <si>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</si>
  <si>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</si>
  <si>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</si>
  <si>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</si>
  <si>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</si>
  <si>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</si>
  <si>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</si>
  <si>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</si>
  <si>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</si>
  <si>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</si>
  <si>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</si>
  <si>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</si>
  <si>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</si>
  <si>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</si>
  <si>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</si>
  <si>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</si>
  <si>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</si>
  <si>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</si>
  <si>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</si>
  <si>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</si>
  <si>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</si>
  <si>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</si>
  <si>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</si>
  <si>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</si>
  <si>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</si>
  <si>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</si>
  <si>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</si>
  <si>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</si>
  <si>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</si>
  <si>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</si>
  <si>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</si>
  <si>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</si>
  <si>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</si>
  <si>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</si>
  <si>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</si>
  <si>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</si>
  <si>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</si>
  <si>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</si>
  <si>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</si>
  <si>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</si>
  <si>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</si>
  <si>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</si>
  <si>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</si>
  <si>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</si>
  <si>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</si>
  <si>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</si>
  <si>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</si>
  <si>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</si>
  <si>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</si>
  <si>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</si>
  <si>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</si>
  <si>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</si>
  <si>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</si>
  <si>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</si>
  <si>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</si>
  <si>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</si>
  <si>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</si>
  <si>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</si>
  <si>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</si>
  <si>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</si>
  <si>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</si>
  <si>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</si>
  <si>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</si>
  <si>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</si>
  <si>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</si>
  <si>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</si>
  <si>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</si>
  <si>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</si>
  <si>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</si>
  <si>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</si>
  <si>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</si>
  <si>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</si>
  <si>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</si>
  <si>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</si>
  <si>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</si>
  <si>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</si>
  <si>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</si>
  <si>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</si>
  <si>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</si>
  <si>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</si>
  <si>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</si>
  <si>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</si>
  <si>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</si>
  <si>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</si>
  <si>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</si>
  <si>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</si>
  <si>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</si>
  <si>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</si>
  <si>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</si>
  <si>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</si>
  <si>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</si>
  <si>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</si>
  <si>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</si>
  <si>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</si>
  <si>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</si>
  <si>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</si>
  <si>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</si>
  <si>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</si>
  <si>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</si>
  <si>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</si>
  <si>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</si>
  <si>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</si>
  <si>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</si>
  <si>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</si>
  <si>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</si>
  <si>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</si>
  <si>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</si>
  <si>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</si>
  <si>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</si>
  <si>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</si>
  <si>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</si>
  <si>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</si>
  <si>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</si>
  <si>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</si>
  <si>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</si>
  <si>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</si>
  <si>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</si>
  <si>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</si>
  <si>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</si>
  <si>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</si>
  <si>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</si>
  <si>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</si>
  <si>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</si>
  <si>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</si>
  <si>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</si>
  <si>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</si>
  <si>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</si>
  <si>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</si>
  <si>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</si>
  <si>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</si>
  <si>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</si>
  <si>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</si>
  <si>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</si>
  <si>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</si>
  <si>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</si>
  <si>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</si>
  <si>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</si>
  <si>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</si>
  <si>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</si>
  <si>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</si>
  <si>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</si>
  <si>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</si>
  <si>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</si>
  <si>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</si>
  <si>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</si>
  <si>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</si>
  <si>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</si>
  <si>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</si>
  <si>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</si>
  <si>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</si>
  <si>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</si>
  <si>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</si>
  <si>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</si>
  <si>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</si>
  <si>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</si>
  <si>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</si>
  <si>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</si>
  <si>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</si>
  <si>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</si>
  <si>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</si>
  <si>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</si>
  <si>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</si>
  <si>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</si>
  <si>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</si>
  <si>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</si>
  <si>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</si>
  <si>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</si>
  <si>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</si>
  <si>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</si>
  <si>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</si>
  <si>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</si>
  <si>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</si>
  <si>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</si>
  <si>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</si>
  <si>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</si>
  <si>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</si>
  <si>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</si>
  <si>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</si>
  <si>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</si>
  <si>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</si>
  <si>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</si>
  <si>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</si>
  <si>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</si>
  <si>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</si>
  <si>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</si>
  <si>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</si>
  <si>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</si>
  <si>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</si>
  <si>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</si>
  <si>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</si>
  <si>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</si>
  <si>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</si>
  <si>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</si>
  <si>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</si>
  <si>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</si>
  <si>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</si>
  <si>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</si>
  <si>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</si>
  <si>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</si>
  <si>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</si>
  <si>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</si>
  <si>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</si>
  <si>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</si>
  <si>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</si>
  <si>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</si>
  <si>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</si>
  <si>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</si>
  <si>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</si>
  <si>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</si>
  <si>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</si>
  <si>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</si>
  <si>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</si>
  <si>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</si>
  <si>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</si>
  <si>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</si>
  <si>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</si>
  <si>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</si>
  <si>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</si>
  <si>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</si>
  <si>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</si>
  <si>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</si>
  <si>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</si>
  <si>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</si>
  <si>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</si>
  <si>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</si>
  <si>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</si>
  <si>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</si>
  <si>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</si>
  <si>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</si>
  <si>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</si>
  <si>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</si>
  <si>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</si>
  <si>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</si>
  <si>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</si>
  <si>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</si>
  <si>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</si>
  <si>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</si>
  <si>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</si>
  <si>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</si>
  <si>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</si>
  <si>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</si>
  <si>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</si>
  <si>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</si>
  <si>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</si>
  <si>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</si>
  <si>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</si>
  <si>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</si>
  <si>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</si>
  <si>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</si>
  <si>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</si>
  <si>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</si>
  <si>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</si>
  <si>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</si>
  <si>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</si>
  <si>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</si>
  <si>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</si>
  <si>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</si>
  <si>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</si>
  <si>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</si>
  <si>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</si>
  <si>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</si>
  <si>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</si>
  <si>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</si>
  <si>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</si>
  <si>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</si>
  <si>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</si>
  <si>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</si>
  <si>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</si>
  <si>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</si>
  <si>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</si>
  <si>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</si>
  <si>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</si>
  <si>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</si>
  <si>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</si>
  <si>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</si>
  <si>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</si>
  <si>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</si>
  <si>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</si>
  <si>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</si>
  <si>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</si>
  <si>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</si>
  <si>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</si>
  <si>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</si>
  <si>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</si>
  <si>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</si>
  <si>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</si>
  <si>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</si>
  <si>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</si>
  <si>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</si>
  <si>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</si>
  <si>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</si>
  <si>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</si>
  <si>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</si>
  <si>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</si>
  <si>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</si>
  <si>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</si>
  <si>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</si>
  <si>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</si>
  <si>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</si>
  <si>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</si>
  <si>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</si>
  <si>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</si>
  <si>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</si>
  <si>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</si>
  <si>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</si>
  <si>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</si>
  <si>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</si>
  <si>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</si>
  <si>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</si>
  <si>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</si>
  <si>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</si>
  <si>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</si>
  <si>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</si>
  <si>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</si>
  <si>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</si>
  <si>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</si>
  <si>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</si>
  <si>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</si>
  <si>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</si>
  <si>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</si>
  <si>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</si>
  <si>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</si>
  <si>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</si>
  <si>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</si>
  <si>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</si>
  <si>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</si>
  <si>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</si>
  <si>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</si>
  <si>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</si>
  <si>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</si>
  <si>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</si>
  <si>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</si>
  <si>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</si>
  <si>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</si>
  <si>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</si>
  <si>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</si>
  <si>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</si>
  <si>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</si>
  <si>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</si>
  <si>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</si>
  <si>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</si>
  <si>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</si>
  <si>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</si>
  <si>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</si>
  <si>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</si>
  <si>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</si>
  <si>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</si>
  <si>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</si>
  <si>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</si>
  <si>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</si>
  <si>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</si>
  <si>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</si>
  <si>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</si>
  <si>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</si>
  <si>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</si>
  <si>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</si>
  <si>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</si>
  <si>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</si>
  <si>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</si>
  <si>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</si>
  <si>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</si>
  <si>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</si>
  <si>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</si>
  <si>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</si>
  <si>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</si>
  <si>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</si>
  <si>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</si>
  <si>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</si>
  <si>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</si>
  <si>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</si>
  <si>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</si>
  <si>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</si>
  <si>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</si>
  <si>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</si>
  <si>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</si>
  <si>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</si>
  <si>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</si>
  <si>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</si>
  <si>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</si>
  <si>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</si>
  <si>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</si>
  <si>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</si>
  <si>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</si>
  <si>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</si>
  <si>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</si>
  <si>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</si>
  <si>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</si>
  <si>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</si>
  <si>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</si>
  <si>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</si>
  <si>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</si>
  <si>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</si>
  <si>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</si>
  <si>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</si>
  <si>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</si>
  <si>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</si>
  <si>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</si>
  <si>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</si>
  <si>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</si>
  <si>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</si>
  <si>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</si>
  <si>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</si>
  <si>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</si>
  <si>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</si>
  <si>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</si>
  <si>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</si>
  <si>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</si>
  <si>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</si>
  <si>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</si>
  <si>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</si>
  <si>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</si>
  <si>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</si>
  <si>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</si>
  <si>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</si>
  <si>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</si>
  <si>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</si>
  <si>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</si>
  <si>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</si>
  <si>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</si>
  <si>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</si>
  <si>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</si>
  <si>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</si>
  <si>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</si>
  <si>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</si>
  <si>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</si>
  <si>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</si>
  <si>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</si>
  <si>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</si>
  <si>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</si>
  <si>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</si>
  <si>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</si>
  <si>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</si>
  <si>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</si>
  <si>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</si>
  <si>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</si>
  <si>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</si>
  <si>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</si>
  <si>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</si>
  <si>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</si>
  <si>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</si>
  <si>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</si>
  <si>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</si>
  <si>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</si>
  <si>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</si>
  <si>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</si>
  <si>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</si>
  <si>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</si>
  <si>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</si>
  <si>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</si>
  <si>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</si>
  <si>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</si>
  <si>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</si>
  <si>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</si>
  <si>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</si>
  <si>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</si>
  <si>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</si>
  <si>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</si>
  <si>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</si>
  <si>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</si>
  <si>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</si>
  <si>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</si>
  <si>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</si>
  <si>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</si>
  <si>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</si>
  <si>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</si>
  <si>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</si>
  <si>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</si>
  <si>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</si>
  <si>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</si>
  <si>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</si>
  <si>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</si>
  <si>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</si>
  <si>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</si>
  <si>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</si>
  <si>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</si>
  <si>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</si>
  <si>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</si>
  <si>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</si>
  <si>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</si>
  <si>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</si>
  <si>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</si>
  <si>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</si>
  <si>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</si>
  <si>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</si>
  <si>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</si>
  <si>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</si>
  <si>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</si>
  <si>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</si>
  <si>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</si>
  <si>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</si>
  <si>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</si>
  <si>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</si>
  <si>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</si>
  <si>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</si>
  <si>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</si>
  <si>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</si>
  <si>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</si>
  <si>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</si>
  <si>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</si>
  <si>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</si>
  <si>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</si>
  <si>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</si>
  <si>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</si>
  <si>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</si>
  <si>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</si>
  <si>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</si>
  <si>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</si>
  <si>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</si>
  <si>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</si>
  <si>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</si>
  <si>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</si>
  <si>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</si>
  <si>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</si>
  <si>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</si>
  <si>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</si>
  <si>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</si>
  <si>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</si>
  <si>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</si>
  <si>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</si>
  <si>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</si>
  <si>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</si>
  <si>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</si>
  <si>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</si>
  <si>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</si>
  <si>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</si>
  <si>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</si>
  <si>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</si>
  <si>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</si>
  <si>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</si>
  <si>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</si>
  <si>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</si>
  <si>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</si>
  <si>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</si>
  <si>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</si>
  <si>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</si>
  <si>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</si>
  <si>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</si>
  <si>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</si>
  <si>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</si>
  <si>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</si>
  <si>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</si>
  <si>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</si>
  <si>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</si>
  <si>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</si>
  <si>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</si>
  <si>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</si>
  <si>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</si>
  <si>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</si>
  <si>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</si>
  <si>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</si>
  <si>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</si>
  <si>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</si>
  <si>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</si>
  <si>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</si>
  <si>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</si>
  <si>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</si>
  <si>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</si>
  <si>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</si>
  <si>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</si>
  <si>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</si>
  <si>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</si>
  <si>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</si>
  <si>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</si>
  <si>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</si>
  <si>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</si>
  <si>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</si>
  <si>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</si>
  <si>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</si>
  <si>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</si>
  <si>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</si>
  <si>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</si>
  <si>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</si>
  <si>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</si>
  <si>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</si>
  <si>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</si>
  <si>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</si>
  <si>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</si>
  <si>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</si>
  <si>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</si>
  <si>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</si>
  <si>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</si>
  <si>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</si>
  <si>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</si>
  <si>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</si>
  <si>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</si>
  <si>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</si>
  <si>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</si>
  <si>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</si>
  <si>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</si>
  <si>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</si>
  <si>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</si>
  <si>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</si>
  <si>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</si>
  <si>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</si>
  <si>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</si>
  <si>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</si>
  <si>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</si>
  <si>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</si>
  <si>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</si>
  <si>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</si>
  <si>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</si>
  <si>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</si>
  <si>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</si>
  <si>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</si>
  <si>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</si>
  <si>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</si>
  <si>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</si>
  <si>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</si>
  <si>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</si>
  <si>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</si>
  <si>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</si>
  <si>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</si>
  <si>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</si>
  <si>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</si>
  <si>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</si>
  <si>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</si>
  <si>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</si>
  <si>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</si>
  <si>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</si>
  <si>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</si>
  <si>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</si>
  <si>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</si>
  <si>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</si>
  <si>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</si>
  <si>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</si>
  <si>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</si>
  <si>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</si>
  <si>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</si>
  <si>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</si>
  <si>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</si>
  <si>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</si>
  <si>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</si>
  <si>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</si>
  <si>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</si>
  <si>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</si>
  <si>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</si>
  <si>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</si>
  <si>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</si>
  <si>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</si>
  <si>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</si>
  <si>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</si>
  <si>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</si>
  <si>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</si>
  <si>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</si>
  <si>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</si>
  <si>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</si>
  <si>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</si>
  <si>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</si>
  <si>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</si>
  <si>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</si>
  <si>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</si>
  <si>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</si>
  <si>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</si>
  <si>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</si>
  <si>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</si>
  <si>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</si>
  <si>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</si>
  <si>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</si>
  <si>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</si>
  <si>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</si>
  <si>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</si>
  <si>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</si>
  <si>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</si>
  <si>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</si>
  <si>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</si>
  <si>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</si>
  <si>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</si>
  <si>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</si>
  <si>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</si>
  <si>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</si>
  <si>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</si>
  <si>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</si>
  <si>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</si>
  <si>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</si>
  <si>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</si>
  <si>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</si>
  <si>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</si>
  <si>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</si>
  <si>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</si>
  <si>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</si>
  <si>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</si>
  <si>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</si>
  <si>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</si>
  <si>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</si>
  <si>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</si>
  <si>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</si>
  <si>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</si>
  <si>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</si>
  <si>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</si>
  <si>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</si>
  <si>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</si>
  <si>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</si>
  <si>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</si>
  <si>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</si>
  <si>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</si>
  <si>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</si>
  <si>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</si>
  <si>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</si>
  <si>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</si>
  <si>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</si>
  <si>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</si>
  <si>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</si>
  <si>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</si>
  <si>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</si>
  <si>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</si>
  <si>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</si>
  <si>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</si>
  <si>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</si>
  <si>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</si>
  <si>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</si>
  <si>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</si>
  <si>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</si>
  <si>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</si>
  <si>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</si>
  <si>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</si>
  <si>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</si>
  <si>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</si>
  <si>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</si>
  <si>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</si>
  <si>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</si>
  <si>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</si>
  <si>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</si>
  <si>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</si>
  <si>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</si>
  <si>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</si>
  <si>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</si>
  <si>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</si>
  <si>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</si>
  <si>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</si>
  <si>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</si>
  <si>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</si>
  <si>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</si>
  <si>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</si>
  <si>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</si>
  <si>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</si>
  <si>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</si>
  <si>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</si>
  <si>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</si>
  <si>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</si>
  <si>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</si>
  <si>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</si>
  <si>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</si>
  <si>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</si>
  <si>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</si>
  <si>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</si>
  <si>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</si>
  <si>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</si>
  <si>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</si>
  <si>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</si>
  <si>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</si>
  <si>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</si>
  <si>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</si>
  <si>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</si>
  <si>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</si>
  <si>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</si>
  <si>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</si>
  <si>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</si>
  <si>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</si>
  <si>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</si>
  <si>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</si>
  <si>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</si>
  <si>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</si>
  <si>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</si>
  <si>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</si>
  <si>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</si>
  <si>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</si>
  <si>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</si>
  <si>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</si>
  <si>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</si>
  <si>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</si>
  <si>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</si>
  <si>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</si>
  <si>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</si>
  <si>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</si>
  <si>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</si>
  <si>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</si>
  <si>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</si>
  <si>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</si>
  <si>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</si>
  <si>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</si>
  <si>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</si>
  <si>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</si>
  <si>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</si>
  <si>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</si>
  <si>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</si>
  <si>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</si>
  <si>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</si>
  <si>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</si>
  <si>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</si>
  <si>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</si>
  <si>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</si>
  <si>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</si>
  <si>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</si>
  <si>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</si>
  <si>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</si>
  <si>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</si>
  <si>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</si>
  <si>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</si>
  <si>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</si>
  <si>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</si>
  <si>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</si>
  <si>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</si>
  <si>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</si>
  <si>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</si>
  <si>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</si>
  <si>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</si>
  <si>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</si>
  <si>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</si>
  <si>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</si>
  <si>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</si>
  <si>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</si>
  <si>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</si>
  <si>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</si>
  <si>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</si>
  <si>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</si>
  <si>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</si>
  <si>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</si>
  <si>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</si>
  <si>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</si>
  <si>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</si>
  <si>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</si>
  <si>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</si>
  <si>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</si>
  <si>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</si>
  <si>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</si>
  <si>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</si>
  <si>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</si>
  <si>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</si>
  <si>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</si>
  <si>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</si>
  <si>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</si>
  <si>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</si>
  <si>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</si>
  <si>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</si>
  <si>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</si>
  <si>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</si>
  <si>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</si>
  <si>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</si>
  <si>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</si>
  <si>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</si>
  <si>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</si>
  <si>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</si>
  <si>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</si>
  <si>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</si>
  <si>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</si>
  <si>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</si>
  <si>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</si>
  <si>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</si>
  <si>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</si>
  <si>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</si>
  <si>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</si>
  <si>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</si>
  <si>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</si>
  <si>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</si>
  <si>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</si>
  <si>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</si>
  <si>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</si>
  <si>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</si>
  <si>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</si>
  <si>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</si>
  <si>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</si>
  <si>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</si>
  <si>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</si>
  <si>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</si>
  <si>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</si>
  <si>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</si>
  <si>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</si>
  <si>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</si>
  <si>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</si>
  <si>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</si>
  <si>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</si>
  <si>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</si>
  <si>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</si>
  <si>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</si>
  <si>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</si>
  <si>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</si>
  <si>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</si>
  <si>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</si>
  <si>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</si>
  <si>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</si>
  <si>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</si>
  <si>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</si>
  <si>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</si>
  <si>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</si>
  <si>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</si>
  <si>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</si>
  <si>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</si>
  <si>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</si>
  <si>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</si>
  <si>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</si>
  <si>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</si>
  <si>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</si>
  <si>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</si>
  <si>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</si>
  <si>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</si>
  <si>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</si>
  <si>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</si>
  <si>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</si>
  <si>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</si>
  <si>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</si>
  <si>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</si>
  <si>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</si>
  <si>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</si>
  <si>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</si>
  <si>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</si>
  <si>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</si>
  <si>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</si>
  <si>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</si>
  <si>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</si>
  <si>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</si>
  <si>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</si>
  <si>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</si>
  <si>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</si>
  <si>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</si>
  <si>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</si>
  <si>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</si>
  <si>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</si>
  <si>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</si>
  <si>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</si>
  <si>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</si>
  <si>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</si>
  <si>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</si>
  <si>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</si>
  <si>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</si>
  <si>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</si>
  <si>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</si>
  <si>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</si>
  <si>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</si>
  <si>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</si>
  <si>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</si>
  <si>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</si>
  <si>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</si>
  <si>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</si>
  <si>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</si>
  <si>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</si>
  <si>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</si>
  <si>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</si>
  <si>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</si>
  <si>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</si>
  <si>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</si>
  <si>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</si>
  <si>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</si>
  <si>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</si>
  <si>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</si>
  <si>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</si>
  <si>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</si>
  <si>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</si>
  <si>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</si>
  <si>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</si>
  <si>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</si>
  <si>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</si>
  <si>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</si>
  <si>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</si>
  <si>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</si>
  <si>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</si>
  <si>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</si>
  <si>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</si>
  <si>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</si>
  <si>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</si>
  <si>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</si>
  <si>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</si>
  <si>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</si>
  <si>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</si>
  <si>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</si>
  <si>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</si>
  <si>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</si>
  <si>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</si>
  <si>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</si>
  <si>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</si>
  <si>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</si>
  <si>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</si>
  <si>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</si>
  <si>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</si>
  <si>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</si>
  <si>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</si>
  <si>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</si>
  <si>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</si>
  <si>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</si>
  <si>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</si>
  <si>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</si>
  <si>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</si>
  <si>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</si>
  <si>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</si>
  <si>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</si>
  <si>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</si>
  <si>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</si>
  <si>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</si>
  <si>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</si>
  <si>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</si>
  <si>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</si>
  <si>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</si>
  <si>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</si>
  <si>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</si>
  <si>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</si>
  <si>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</si>
  <si>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</si>
  <si>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</si>
  <si>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</si>
  <si>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</si>
  <si>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</si>
  <si>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</si>
  <si>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</si>
  <si>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</si>
  <si>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</si>
  <si>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</si>
  <si>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</si>
  <si>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</si>
  <si>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</si>
  <si>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</si>
  <si>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</si>
  <si>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</si>
  <si>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</si>
  <si>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</si>
  <si>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</si>
  <si>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</si>
  <si>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</si>
  <si>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</si>
  <si>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</si>
  <si>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</si>
  <si>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</si>
  <si>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</si>
  <si>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</si>
  <si>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</si>
  <si>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</si>
  <si>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</si>
  <si>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</si>
  <si>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</si>
  <si>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</si>
  <si>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</si>
  <si>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</si>
  <si>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</si>
  <si>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</si>
  <si>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</si>
  <si>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</si>
  <si>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</si>
  <si>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</si>
  <si>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</si>
  <si>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</si>
  <si>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</si>
  <si>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</si>
  <si>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</si>
  <si>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</si>
  <si>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</si>
  <si>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</si>
  <si>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</si>
  <si>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</si>
  <si>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</si>
  <si>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</si>
  <si>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</si>
  <si>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</si>
  <si>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</si>
  <si>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</si>
  <si>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</si>
  <si>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</si>
  <si>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</si>
  <si>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</si>
  <si>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</si>
  <si>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</si>
  <si>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</si>
  <si>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</si>
  <si>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</si>
  <si>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</si>
  <si>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</si>
  <si>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</si>
  <si>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</si>
  <si>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</si>
  <si>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</si>
  <si>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</si>
  <si>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</si>
  <si>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</si>
  <si>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</si>
  <si>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</si>
  <si>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</si>
  <si>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</si>
  <si>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</si>
  <si>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</si>
  <si>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</si>
  <si>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</si>
  <si>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</si>
  <si>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</si>
  <si>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</si>
  <si>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</si>
  <si>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</si>
  <si>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</si>
  <si>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</si>
  <si>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</si>
  <si>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</si>
  <si>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</si>
  <si>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</si>
  <si>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</si>
  <si>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</si>
  <si>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</si>
  <si>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</si>
  <si>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</si>
  <si>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</si>
  <si>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</si>
  <si>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</si>
  <si>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</si>
  <si>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</si>
  <si>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</si>
  <si>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</si>
  <si>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</si>
  <si>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</si>
  <si>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</si>
  <si>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</si>
  <si>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</si>
  <si>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</si>
  <si>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</si>
  <si>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</si>
  <si>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</si>
  <si>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</si>
  <si>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</si>
  <si>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</si>
  <si>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</si>
  <si>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</si>
  <si>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</si>
  <si>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</si>
  <si>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</si>
  <si>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</si>
  <si>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</si>
  <si>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</si>
  <si>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</si>
  <si>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</si>
  <si>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</si>
  <si>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</si>
  <si>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</si>
  <si>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</si>
  <si>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</si>
  <si>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</si>
  <si>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</si>
  <si>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</si>
  <si>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</si>
  <si>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</si>
  <si>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</si>
  <si>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</si>
  <si>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</si>
  <si>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</si>
  <si>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</si>
  <si>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</si>
  <si>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</si>
  <si>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</si>
  <si>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</si>
  <si>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</si>
  <si>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</si>
  <si>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</si>
  <si>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</si>
  <si>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</si>
  <si>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</si>
  <si>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</si>
  <si>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</si>
  <si>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</si>
  <si>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</si>
  <si>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</si>
  <si>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</si>
  <si>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</si>
  <si>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</si>
  <si>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</si>
  <si>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</si>
  <si>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</si>
  <si>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</si>
  <si>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</si>
  <si>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</si>
  <si>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</si>
  <si>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</si>
  <si>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</si>
  <si>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</si>
  <si>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</si>
  <si>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</si>
  <si>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</si>
  <si>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</si>
  <si>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</si>
  <si>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</si>
  <si>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</si>
  <si>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</si>
  <si>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</si>
  <si>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</si>
  <si>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</si>
  <si>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</si>
  <si>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</si>
  <si>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</si>
  <si>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</si>
  <si>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</si>
  <si>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</si>
  <si>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</si>
  <si>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</si>
  <si>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</si>
  <si>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</si>
  <si>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</si>
  <si>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</si>
  <si>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</si>
  <si>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</si>
  <si>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</si>
  <si>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</si>
  <si>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</si>
  <si>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</si>
  <si>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</si>
  <si>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</si>
  <si>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</si>
  <si>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</si>
  <si>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</si>
  <si>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</si>
  <si>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</si>
  <si>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</si>
  <si>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</si>
  <si>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</si>
  <si>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</si>
  <si>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</si>
  <si>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</si>
  <si>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</si>
  <si>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</si>
  <si>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</si>
  <si>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</si>
  <si>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</si>
  <si>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</si>
  <si>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</si>
  <si>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</si>
  <si>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</si>
  <si>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</si>
  <si>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</si>
  <si>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</si>
  <si>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</si>
  <si>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</si>
  <si>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</si>
  <si>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</si>
  <si>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</si>
  <si>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</si>
  <si>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</si>
  <si>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</si>
  <si>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</si>
  <si>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</si>
  <si>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</si>
  <si>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</si>
  <si>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</si>
  <si>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</si>
  <si>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</si>
  <si>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</si>
  <si>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</si>
  <si>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</si>
  <si>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</si>
  <si>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</si>
  <si>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</si>
  <si>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</si>
  <si>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</si>
  <si>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</si>
  <si>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</si>
  <si>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</si>
  <si>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</si>
  <si>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</si>
  <si>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</si>
  <si>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</si>
  <si>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</si>
  <si>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</si>
  <si>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</si>
  <si>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</si>
  <si>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</si>
  <si>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</si>
  <si>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</si>
  <si>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</si>
  <si>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</si>
  <si>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</si>
  <si>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</si>
  <si>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</si>
  <si>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</si>
  <si>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</si>
  <si>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</si>
  <si>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</si>
  <si>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</si>
  <si>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</si>
  <si>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</si>
  <si>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</si>
  <si>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</si>
  <si>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</si>
  <si>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</si>
  <si>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</si>
  <si>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</si>
  <si>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</si>
  <si>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</si>
  <si>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</si>
  <si>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</si>
  <si>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</si>
  <si>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</si>
  <si>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</si>
  <si>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</si>
  <si>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</si>
  <si>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</si>
  <si>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</si>
  <si>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</si>
  <si>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</si>
  <si>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</si>
  <si>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</si>
  <si>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</si>
  <si>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</si>
  <si>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</si>
  <si>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</si>
  <si>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</si>
  <si>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</si>
  <si>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</si>
  <si>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</si>
  <si>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</si>
  <si>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</si>
  <si>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</si>
  <si>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</si>
  <si>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</si>
  <si>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</si>
  <si>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</si>
  <si>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</si>
  <si>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</si>
  <si>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</si>
  <si>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</si>
  <si>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</si>
  <si>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</si>
  <si>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</si>
  <si>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</si>
  <si>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</si>
  <si>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</si>
  <si>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</si>
  <si>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</si>
  <si>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</si>
  <si>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</si>
  <si>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</si>
  <si>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</si>
  <si>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</si>
  <si>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</si>
  <si>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</si>
  <si>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</si>
  <si>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</si>
  <si>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</si>
  <si>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</si>
  <si>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</si>
  <si>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</si>
  <si>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</si>
  <si>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</si>
  <si>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</si>
  <si>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</si>
  <si>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</si>
  <si>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</si>
  <si>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</si>
  <si>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</si>
  <si>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</si>
  <si>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</si>
  <si>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</si>
  <si>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</si>
  <si>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</si>
  <si>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</si>
  <si>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</si>
  <si>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</si>
  <si>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</si>
  <si>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</si>
  <si>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</si>
  <si>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</si>
  <si>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</si>
  <si>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</si>
  <si>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</si>
  <si>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</si>
  <si>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</si>
  <si>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</si>
  <si>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</si>
  <si>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</si>
  <si>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</si>
  <si>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</si>
  <si>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</si>
  <si>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</si>
  <si>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</si>
  <si>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</si>
  <si>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</si>
  <si>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</si>
  <si>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</si>
  <si>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</si>
  <si>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</si>
  <si>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</si>
  <si>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</si>
  <si>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</si>
  <si>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</si>
  <si>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</si>
  <si>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</si>
  <si>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</si>
  <si>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</si>
  <si>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</si>
  <si>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</si>
  <si>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</si>
  <si>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</si>
  <si>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</si>
  <si>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</si>
  <si>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</si>
  <si>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</si>
  <si>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</si>
  <si>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</si>
  <si>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</si>
  <si>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</si>
  <si>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</si>
  <si>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</si>
  <si>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</si>
  <si>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</si>
  <si>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</si>
  <si>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</si>
  <si>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</si>
  <si>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</si>
  <si>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</si>
  <si>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</si>
  <si>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</si>
  <si>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</si>
  <si>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</si>
  <si>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</si>
  <si>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</si>
  <si>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</si>
  <si>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</si>
  <si>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</si>
  <si>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</si>
  <si>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</si>
  <si>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</si>
  <si>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</si>
  <si>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</si>
  <si>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</si>
  <si>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</si>
  <si>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</si>
  <si>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</si>
  <si>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</si>
  <si>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</si>
  <si>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</si>
  <si>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</si>
  <si>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</si>
  <si>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</si>
  <si>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</si>
  <si>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</si>
  <si>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</si>
  <si>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</si>
  <si>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</si>
  <si>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</si>
  <si>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</si>
  <si>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</si>
  <si>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</si>
  <si>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</si>
  <si>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</si>
  <si>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</si>
  <si>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</si>
  <si>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</si>
  <si>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</si>
  <si>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</si>
  <si>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</si>
  <si>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</si>
  <si>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</si>
  <si>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</si>
  <si>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</si>
  <si>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</si>
  <si>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</si>
  <si>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</si>
  <si>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</si>
  <si>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</si>
  <si>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</si>
  <si>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</si>
  <si>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</si>
  <si>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</si>
  <si>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</si>
  <si>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</si>
  <si>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</si>
  <si>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</si>
  <si>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</si>
  <si>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</si>
  <si>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</si>
  <si>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</si>
  <si>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</si>
  <si>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</si>
  <si>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</si>
  <si>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</si>
  <si>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</si>
  <si>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</si>
  <si>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</si>
  <si>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</si>
  <si>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</si>
  <si>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</si>
  <si>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</si>
  <si>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</si>
  <si>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</si>
  <si>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</si>
  <si>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</si>
  <si>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</si>
  <si>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</si>
  <si>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</si>
  <si>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</si>
  <si>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</si>
  <si>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</si>
  <si>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</si>
  <si>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</si>
  <si>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</si>
  <si>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</si>
  <si>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</si>
  <si>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</si>
  <si>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</si>
  <si>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</si>
  <si>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</si>
  <si>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</si>
  <si>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</si>
  <si>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</si>
  <si>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</si>
  <si>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</si>
  <si>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</si>
  <si>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</si>
  <si>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</si>
  <si>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</si>
  <si>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</si>
  <si>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</si>
  <si>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</si>
  <si>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</si>
  <si>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</si>
  <si>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</si>
  <si>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</si>
  <si>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</si>
  <si>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</si>
  <si>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</si>
  <si>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</si>
  <si>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</si>
  <si>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</si>
  <si>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</si>
  <si>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</si>
  <si>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</si>
  <si>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</si>
  <si>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</si>
  <si>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</si>
  <si>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</si>
  <si>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</si>
  <si>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</si>
  <si>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</si>
  <si>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</si>
  <si>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</si>
  <si>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</si>
  <si>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</si>
  <si>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</si>
  <si>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</si>
  <si>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</si>
  <si>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</si>
  <si>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</si>
  <si>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</si>
  <si>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</si>
  <si>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</si>
  <si>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</si>
  <si>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</si>
  <si>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</si>
  <si>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</si>
  <si>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</si>
  <si>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</si>
  <si>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</si>
  <si>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</si>
  <si>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</si>
  <si>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</si>
  <si>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</si>
  <si>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</si>
  <si>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</si>
  <si>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</si>
  <si>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</si>
  <si>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</si>
  <si>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</si>
  <si>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</si>
  <si>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</si>
  <si>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</si>
  <si>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</si>
  <si>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</si>
  <si>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</si>
  <si>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</si>
  <si>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</si>
  <si>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</si>
  <si>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</si>
  <si>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</si>
  <si>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</si>
  <si>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</si>
  <si>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</si>
  <si>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</si>
  <si>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</si>
  <si>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</si>
  <si>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</si>
  <si>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</si>
  <si>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</si>
  <si>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</si>
  <si>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</si>
  <si>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</si>
  <si>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</si>
  <si>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</si>
  <si>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</si>
  <si>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</si>
  <si>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</si>
  <si>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</si>
  <si>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</si>
  <si>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</si>
  <si>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</si>
  <si>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</si>
  <si>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</si>
  <si>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</si>
  <si>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</si>
  <si>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</si>
  <si>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</si>
  <si>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</si>
  <si>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</si>
  <si>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</si>
  <si>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</si>
  <si>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</si>
  <si>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</si>
  <si>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</si>
  <si>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</si>
  <si>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</si>
  <si>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</si>
  <si>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</si>
  <si>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</si>
  <si>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</si>
  <si>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</si>
  <si>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</si>
  <si>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</si>
  <si>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</si>
  <si>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</si>
  <si>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</si>
  <si>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</si>
  <si>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</si>
  <si>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</si>
  <si>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</si>
  <si>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</si>
  <si>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</si>
  <si>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</si>
  <si>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</si>
  <si>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</si>
  <si>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</si>
  <si>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</si>
  <si>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</si>
  <si>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</si>
  <si>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</si>
  <si>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</si>
  <si>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</si>
  <si>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</si>
  <si>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</si>
  <si>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</si>
  <si>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</si>
  <si>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</si>
  <si>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</si>
  <si>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</si>
  <si>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</si>
  <si>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</si>
  <si>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</si>
  <si>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</si>
  <si>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</si>
  <si>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</si>
  <si>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</si>
  <si>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</si>
  <si>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</si>
  <si>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</si>
  <si>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</si>
  <si>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</si>
  <si>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</si>
  <si>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</si>
  <si>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</si>
  <si>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</si>
  <si>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</si>
  <si>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</si>
  <si>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</si>
  <si>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</si>
  <si>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</si>
  <si>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</si>
  <si>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</si>
  <si>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</si>
  <si>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</si>
  <si>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</si>
  <si>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</si>
  <si>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</si>
  <si>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</si>
  <si>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</si>
  <si>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</si>
  <si>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</si>
  <si>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</si>
  <si>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</si>
  <si>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</si>
  <si>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</si>
  <si>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</si>
  <si>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</si>
  <si>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</si>
  <si>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</si>
  <si>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</si>
  <si>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</si>
  <si>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</si>
  <si>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</si>
  <si>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</si>
  <si>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</si>
  <si>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</si>
  <si>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</si>
  <si>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</si>
  <si>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</si>
  <si>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</si>
  <si>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</si>
  <si>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</si>
  <si>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</si>
  <si>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</si>
  <si>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</si>
  <si>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</si>
  <si>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</si>
  <si>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</si>
  <si>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</si>
  <si>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</si>
  <si>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</si>
  <si>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</si>
  <si>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</si>
  <si>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</si>
  <si>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</si>
  <si>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</si>
  <si>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</si>
  <si>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</si>
  <si>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</si>
  <si>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</si>
  <si>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</si>
  <si>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</si>
  <si>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</si>
  <si>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</si>
  <si>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</si>
  <si>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</si>
  <si>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</si>
  <si>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</si>
  <si>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</si>
  <si>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</si>
  <si>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</si>
  <si>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</si>
  <si>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</si>
  <si>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</si>
  <si>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</si>
  <si>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</si>
  <si>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</si>
  <si>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</si>
  <si>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</si>
  <si>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</si>
  <si>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</si>
  <si>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</si>
  <si>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</si>
  <si>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</si>
  <si>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</si>
  <si>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</si>
  <si>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</si>
  <si>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</si>
  <si>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</si>
  <si>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</si>
  <si>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</si>
  <si>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</si>
  <si>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</si>
  <si>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</si>
  <si>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</si>
  <si>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</si>
  <si>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</si>
  <si>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</si>
  <si>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</si>
  <si>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</si>
  <si>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</si>
  <si>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</si>
  <si>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</si>
  <si>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</si>
  <si>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</si>
  <si>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</si>
  <si>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</si>
  <si>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</si>
  <si>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</si>
  <si>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</si>
  <si>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</si>
  <si>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</si>
  <si>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</si>
  <si>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</si>
  <si>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</si>
  <si>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</si>
  <si>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</si>
  <si>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</si>
  <si>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</si>
  <si>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</si>
  <si>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</si>
  <si>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</si>
  <si>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</si>
  <si>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</si>
  <si>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</si>
  <si>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</si>
  <si>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</si>
  <si>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</si>
  <si>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</si>
  <si>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</si>
  <si>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</si>
  <si>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</si>
  <si>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</si>
  <si>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</si>
  <si>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</si>
  <si>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</si>
  <si>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</si>
  <si>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</si>
  <si>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</si>
  <si>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</si>
  <si>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</si>
  <si>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</si>
  <si>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</si>
  <si>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</si>
  <si>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</si>
  <si>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</si>
  <si>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</si>
  <si>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</si>
  <si>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</si>
  <si>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</si>
  <si>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</si>
  <si>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</si>
  <si>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</si>
  <si>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</si>
  <si>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</si>
  <si>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</si>
  <si>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</si>
  <si>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</si>
  <si>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</si>
  <si>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</si>
  <si>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</si>
  <si>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</si>
  <si>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</si>
  <si>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</si>
  <si>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</si>
  <si>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</si>
  <si>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</si>
  <si>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</si>
  <si>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</si>
  <si>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</si>
  <si>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</si>
  <si>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</si>
  <si>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</si>
  <si>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</si>
  <si>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</si>
  <si>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</si>
  <si>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</si>
  <si>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</si>
  <si>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</si>
  <si>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</si>
  <si>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</si>
  <si>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</si>
  <si>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</si>
  <si>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</si>
  <si>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</si>
  <si>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</si>
  <si>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</si>
  <si>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</si>
  <si>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</si>
  <si>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</si>
  <si>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</si>
  <si>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</si>
  <si>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</si>
  <si>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</si>
  <si>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</si>
  <si>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</si>
  <si>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</si>
  <si>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</si>
  <si>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</si>
  <si>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</si>
  <si>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</si>
  <si>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</si>
  <si>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</si>
  <si>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</si>
  <si>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</si>
  <si>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</si>
  <si>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</si>
  <si>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</si>
  <si>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</si>
  <si>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</si>
  <si>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</si>
  <si>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</si>
  <si>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</si>
  <si>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</si>
  <si>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</si>
  <si>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</si>
  <si>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</si>
  <si>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</si>
  <si>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</si>
  <si>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</si>
  <si>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</si>
  <si>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</si>
  <si>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</si>
  <si>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</si>
  <si>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</si>
  <si>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</si>
  <si>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</si>
  <si>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</si>
  <si>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</si>
  <si>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</si>
  <si>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</si>
  <si>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</si>
  <si>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</si>
  <si>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</si>
  <si>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</si>
  <si>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</si>
  <si>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</si>
  <si>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</si>
  <si>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</si>
  <si>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</si>
  <si>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</si>
  <si>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</si>
  <si>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</si>
  <si>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</si>
  <si>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</si>
  <si>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</si>
  <si>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</si>
  <si>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</si>
  <si>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</si>
  <si>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</si>
  <si>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</si>
  <si>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</si>
  <si>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</si>
  <si>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</si>
  <si>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</si>
  <si>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</si>
  <si>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</si>
  <si>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</si>
  <si>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</si>
  <si>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</si>
  <si>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</si>
  <si>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</si>
  <si>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</si>
  <si>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</si>
  <si>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</si>
  <si>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</si>
  <si>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</si>
  <si>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</si>
  <si>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</si>
  <si>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</si>
  <si>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</si>
  <si>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</si>
  <si>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</si>
  <si>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</si>
  <si>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</si>
  <si>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</si>
  <si>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</si>
  <si>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</si>
  <si>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</si>
  <si>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</si>
  <si>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</si>
  <si>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</si>
  <si>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</si>
  <si>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</si>
  <si>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</si>
  <si>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</si>
  <si>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</si>
  <si>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</si>
  <si>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</si>
  <si>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</si>
  <si>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</si>
  <si>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</si>
  <si>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</si>
  <si>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</si>
  <si>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</si>
  <si>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</si>
  <si>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</si>
  <si>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</si>
  <si>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</si>
  <si>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</si>
  <si>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</si>
  <si>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</si>
  <si>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</si>
  <si>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</si>
  <si>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</si>
  <si>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</si>
  <si>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</si>
  <si>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</si>
  <si>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</si>
  <si>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</si>
  <si>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</si>
  <si>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</si>
  <si>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</si>
  <si>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</si>
  <si>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</si>
  <si>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</si>
  <si>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</si>
  <si>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</si>
  <si>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</si>
  <si>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</si>
  <si>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</si>
  <si>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</si>
  <si>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</si>
  <si>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</si>
  <si>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</si>
  <si>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</si>
  <si>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</si>
  <si>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</si>
  <si>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</si>
  <si>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</si>
  <si>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</si>
  <si>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</si>
  <si>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</si>
  <si>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</si>
  <si>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</si>
  <si>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</si>
  <si>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</si>
  <si>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</si>
  <si>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</si>
  <si>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</si>
  <si>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</si>
  <si>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</si>
  <si>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</si>
  <si>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</si>
  <si>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</si>
  <si>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</si>
  <si>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</si>
  <si>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</si>
  <si>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</si>
  <si>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</si>
  <si>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</si>
  <si>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</si>
  <si>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</si>
  <si>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</si>
  <si>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</si>
  <si>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</si>
  <si>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</si>
  <si>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</si>
  <si>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</si>
  <si>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</si>
  <si>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</si>
  <si>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</si>
  <si>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</si>
  <si>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</si>
  <si>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</si>
  <si>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</si>
  <si>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</si>
  <si>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</si>
  <si>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</si>
  <si>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</si>
  <si>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</si>
  <si>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</si>
  <si>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</si>
  <si>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</si>
  <si>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</si>
  <si>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</si>
  <si>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</si>
  <si>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</si>
  <si>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</si>
  <si>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</si>
  <si>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</si>
  <si>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</si>
  <si>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</si>
  <si>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</si>
  <si>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</si>
  <si>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</si>
  <si>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</si>
  <si>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</si>
  <si>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</si>
  <si>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</si>
  <si>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</si>
  <si>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</si>
  <si>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</si>
  <si>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</si>
  <si>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</si>
  <si>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</si>
  <si>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</si>
  <si>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</si>
  <si>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</si>
  <si>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</si>
  <si>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</si>
  <si>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</si>
  <si>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</si>
  <si>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</si>
  <si>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</si>
  <si>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</si>
  <si>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</si>
  <si>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</si>
  <si>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</si>
  <si>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</si>
  <si>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</si>
  <si>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</si>
  <si>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</si>
  <si>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</si>
  <si>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</si>
  <si>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</si>
  <si>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</si>
  <si>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</si>
  <si>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</si>
  <si>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</si>
  <si>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</si>
  <si>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</si>
  <si>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</si>
  <si>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</si>
  <si>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</si>
  <si>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</si>
  <si>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</si>
  <si>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</si>
  <si>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</si>
  <si>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</si>
  <si>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</si>
  <si>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</si>
  <si>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</si>
  <si>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</si>
  <si>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</si>
  <si>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</si>
  <si>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</si>
  <si>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</si>
  <si>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</si>
  <si>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</si>
  <si>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</si>
  <si>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</si>
  <si>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</si>
  <si>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</si>
  <si>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</si>
  <si>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</si>
  <si>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</si>
  <si>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</si>
  <si>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</si>
  <si>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</si>
  <si>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</si>
  <si>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</si>
  <si>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</si>
  <si>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</si>
  <si>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</si>
  <si>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</si>
  <si>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</si>
  <si>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</si>
  <si>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</si>
  <si>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</si>
  <si>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</si>
  <si>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</si>
  <si>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</si>
  <si>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</si>
  <si>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</si>
  <si>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</si>
  <si>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</si>
  <si>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</si>
  <si>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</si>
  <si>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</si>
  <si>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</si>
  <si>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</si>
  <si>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</si>
  <si>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</si>
  <si>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</si>
  <si>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</si>
  <si>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</si>
  <si>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</si>
  <si>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</si>
  <si>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</si>
  <si>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</si>
  <si>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</si>
  <si>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</si>
  <si>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</si>
  <si>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</si>
  <si>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</si>
  <si>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</si>
  <si>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</si>
  <si>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</si>
  <si>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</si>
  <si>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</si>
  <si>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</si>
  <si>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</si>
  <si>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</si>
  <si>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</si>
  <si>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</si>
  <si>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</si>
  <si>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</si>
  <si>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</si>
  <si>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</si>
  <si>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</si>
  <si>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</si>
  <si>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</si>
  <si>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</si>
  <si>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</si>
  <si>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</si>
  <si>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</si>
  <si>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</si>
  <si>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</si>
  <si>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</si>
  <si>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</si>
  <si>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</si>
  <si>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</si>
  <si>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</si>
  <si>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</si>
  <si>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</si>
  <si>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</si>
  <si>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</si>
  <si>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</si>
  <si>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</si>
  <si>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</si>
  <si>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</si>
  <si>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</si>
  <si>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</si>
  <si>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</si>
  <si>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</si>
  <si>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</si>
  <si>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</si>
  <si>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</si>
  <si>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</si>
  <si>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</si>
  <si>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</si>
  <si>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</si>
  <si>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</si>
  <si>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</si>
  <si>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</si>
  <si>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</si>
  <si>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</si>
  <si>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</si>
  <si>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</si>
  <si>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</si>
  <si>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</si>
  <si>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</si>
  <si>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</si>
  <si>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</si>
  <si>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</si>
  <si>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</si>
  <si>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</si>
  <si>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</si>
  <si>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</si>
  <si>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</si>
  <si>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</si>
  <si>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</si>
  <si>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</si>
  <si>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</si>
  <si>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</si>
  <si>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</si>
  <si>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</si>
  <si>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</si>
  <si>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</si>
  <si>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</si>
  <si>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</si>
  <si>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</si>
  <si>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</si>
  <si>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</si>
  <si>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</si>
  <si>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</si>
  <si>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</si>
  <si>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</si>
  <si>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</si>
  <si>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</si>
  <si>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</si>
  <si>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</si>
  <si>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</si>
  <si>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</si>
  <si>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</si>
  <si>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</si>
  <si>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</si>
  <si>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</si>
  <si>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</si>
  <si>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</si>
  <si>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</si>
  <si>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</si>
  <si>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</si>
  <si>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</si>
  <si>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</si>
  <si>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</si>
  <si>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</si>
  <si>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</si>
  <si>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</si>
  <si>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</si>
  <si>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</si>
  <si>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</si>
  <si>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</si>
  <si>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</si>
  <si>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</si>
  <si>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</si>
  <si>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</si>
  <si>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</si>
  <si>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</si>
  <si>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</si>
  <si>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</si>
  <si>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</si>
  <si>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</si>
  <si>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</si>
  <si>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</si>
  <si>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</si>
  <si>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</si>
  <si>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</si>
  <si>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</si>
  <si>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</si>
  <si>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</si>
  <si>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</si>
  <si>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</si>
  <si>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</si>
  <si>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</si>
  <si>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</si>
  <si>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</si>
  <si>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</si>
  <si>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</si>
  <si>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</si>
  <si>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</si>
  <si>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</si>
  <si>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</si>
  <si>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</si>
  <si>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</si>
  <si>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</si>
  <si>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</si>
  <si>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</si>
  <si>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</si>
  <si>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</si>
  <si>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</si>
  <si>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</si>
  <si>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</si>
  <si>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</si>
  <si>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</si>
  <si>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</si>
  <si>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</si>
  <si>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</si>
  <si>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</si>
  <si>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</si>
  <si>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</si>
  <si>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</si>
  <si>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</si>
  <si>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</si>
  <si>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</si>
  <si>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</si>
  <si>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</si>
  <si>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</si>
  <si>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</si>
  <si>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</si>
  <si>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</si>
  <si>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</si>
  <si>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</si>
  <si>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</si>
  <si>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</si>
  <si>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</si>
  <si>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</si>
  <si>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</si>
  <si>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</si>
  <si>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</si>
  <si>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</si>
  <si>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</si>
  <si>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</si>
  <si>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</si>
  <si>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</si>
  <si>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</si>
  <si>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</si>
  <si>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</si>
  <si>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</si>
  <si>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</si>
  <si>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</si>
  <si>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</si>
  <si>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</si>
  <si>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</si>
  <si>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</si>
  <si>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</si>
  <si>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</si>
  <si>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</si>
  <si>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</si>
  <si>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</si>
  <si>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</si>
  <si>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</si>
  <si>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</si>
  <si>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</si>
  <si>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</si>
  <si>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</si>
  <si>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</si>
  <si>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</si>
  <si>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</si>
  <si>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</si>
  <si>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</si>
  <si>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</si>
  <si>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</si>
  <si>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</si>
  <si>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</si>
  <si>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</si>
  <si>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</si>
  <si>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</si>
  <si>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</si>
  <si>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</si>
  <si>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</si>
  <si>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</si>
  <si>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</si>
  <si>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</si>
  <si>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</si>
  <si>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</si>
  <si>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</si>
  <si>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</si>
  <si>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</si>
  <si>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</si>
  <si>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</si>
  <si>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</si>
  <si>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</si>
  <si>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</si>
  <si>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</si>
  <si>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</si>
  <si>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</si>
  <si>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</si>
  <si>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</si>
  <si>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</si>
  <si>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</si>
  <si>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</si>
  <si>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</si>
  <si>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</si>
  <si>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</si>
  <si>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</si>
  <si>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</si>
  <si>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</si>
  <si>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</si>
  <si>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</si>
  <si>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</si>
  <si>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</si>
  <si>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</si>
  <si>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</si>
  <si>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</si>
  <si>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</si>
  <si>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</si>
  <si>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</si>
  <si>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</si>
  <si>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</si>
  <si>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</si>
  <si>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</si>
  <si>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</si>
  <si>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</si>
  <si>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</si>
  <si>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</si>
  <si>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</si>
  <si>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</si>
  <si>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</si>
  <si>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</si>
  <si>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</si>
  <si>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</si>
  <si>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</si>
  <si>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</si>
  <si>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</si>
  <si>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</si>
  <si>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</si>
  <si>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</si>
  <si>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</si>
  <si>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</si>
  <si>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</si>
  <si>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</si>
  <si>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</si>
  <si>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</si>
  <si>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</si>
  <si>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</si>
  <si>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</si>
  <si>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</si>
  <si>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</si>
  <si>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</si>
  <si>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</si>
  <si>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</si>
  <si>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</si>
  <si>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</si>
  <si>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</si>
  <si>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</si>
  <si>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</si>
  <si>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</si>
  <si>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</si>
  <si>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</si>
  <si>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</si>
  <si>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</si>
  <si>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</si>
  <si>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</si>
  <si>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</si>
  <si>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</si>
  <si>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</si>
  <si>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</si>
  <si>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</si>
  <si>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</si>
  <si>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</si>
  <si>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</si>
  <si>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</si>
  <si>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</si>
  <si>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</si>
  <si>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</si>
  <si>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</si>
  <si>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</si>
  <si>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</si>
  <si>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</si>
  <si>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</si>
  <si>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</si>
  <si>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</si>
  <si>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</si>
  <si>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</si>
  <si>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</si>
  <si>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</si>
  <si>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</si>
  <si>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</si>
  <si>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</si>
  <si>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</si>
  <si>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</si>
  <si>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</si>
  <si>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</si>
  <si>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</si>
  <si>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</si>
  <si>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</si>
  <si>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</si>
  <si>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</si>
  <si>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</si>
  <si>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</si>
  <si>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</si>
  <si>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</si>
  <si>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</si>
  <si>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</si>
  <si>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</si>
  <si>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</si>
  <si>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</si>
  <si>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</si>
  <si>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</si>
  <si>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</si>
  <si>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</si>
  <si>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</si>
  <si>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</si>
  <si>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</si>
  <si>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</si>
  <si>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</si>
  <si>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</si>
  <si>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</si>
  <si>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</si>
  <si>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</si>
  <si>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</si>
  <si>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</si>
  <si>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</si>
  <si>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</si>
  <si>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</si>
  <si>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</si>
  <si>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</si>
  <si>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</si>
  <si>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</si>
  <si>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</si>
  <si>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</si>
  <si>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</si>
  <si>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</si>
  <si>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</si>
  <si>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</si>
  <si>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</si>
  <si>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</si>
  <si>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</si>
  <si>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</si>
  <si>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</si>
  <si>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</si>
  <si>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</si>
  <si>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</si>
  <si>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</si>
  <si>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</si>
  <si>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</si>
  <si>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</si>
  <si>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</si>
  <si>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</si>
  <si>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</si>
  <si>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</si>
  <si>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</si>
  <si>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</si>
  <si>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</si>
  <si>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</si>
  <si>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</si>
  <si>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</si>
  <si>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</si>
  <si>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</si>
  <si>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</si>
  <si>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</si>
  <si>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</si>
  <si>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</si>
  <si>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</si>
  <si>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</si>
  <si>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</si>
  <si>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</si>
  <si>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</si>
  <si>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</si>
  <si>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</si>
  <si>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</si>
  <si>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</si>
  <si>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</si>
  <si>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</si>
  <si>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</si>
  <si>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</si>
  <si>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</si>
  <si>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</si>
  <si>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</si>
  <si>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</si>
  <si>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</si>
  <si>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</si>
  <si>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</si>
  <si>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</si>
  <si>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</si>
  <si>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</si>
  <si>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</si>
  <si>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</si>
  <si>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</si>
  <si>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</si>
  <si>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</si>
  <si>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</si>
  <si>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</si>
  <si>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</si>
  <si>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</si>
  <si>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</si>
  <si>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</si>
  <si>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</si>
  <si>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</si>
  <si>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</si>
  <si>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</si>
  <si>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</si>
  <si>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</si>
  <si>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</si>
  <si>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</si>
  <si>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</si>
  <si>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</si>
  <si>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</si>
  <si>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</si>
  <si>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</si>
  <si>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</si>
  <si>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</si>
  <si>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</si>
  <si>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</si>
  <si>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</si>
  <si>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</si>
  <si>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</si>
  <si>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</si>
  <si>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</si>
  <si>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</si>
  <si>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</si>
  <si>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</si>
  <si>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</si>
  <si>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</si>
  <si>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</si>
  <si>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</si>
  <si>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</si>
  <si>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</si>
  <si>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</si>
  <si>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</si>
  <si>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</si>
  <si>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</si>
  <si>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</si>
  <si>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</si>
  <si>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</si>
  <si>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</si>
  <si>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</si>
  <si>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</si>
  <si>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</si>
  <si>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</si>
  <si>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</si>
  <si>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</si>
  <si>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</si>
  <si>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</si>
  <si>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</si>
  <si>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</si>
  <si>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</si>
  <si>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</si>
  <si>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</si>
  <si>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</si>
  <si>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</si>
  <si>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</si>
  <si>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</si>
  <si>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</si>
  <si>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</si>
  <si>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</si>
  <si>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</si>
  <si>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</si>
  <si>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</si>
  <si>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</si>
  <si>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</si>
  <si>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</si>
  <si>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</si>
  <si>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</si>
  <si>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</si>
  <si>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</si>
  <si>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</si>
  <si>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</si>
  <si>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</si>
  <si>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</si>
  <si>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</si>
  <si>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</si>
  <si>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</si>
  <si>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</si>
  <si>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</si>
  <si>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</si>
  <si>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</si>
  <si>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</si>
  <si>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</si>
  <si>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</si>
  <si>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</si>
  <si>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</si>
  <si>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</si>
  <si>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</si>
  <si>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</si>
  <si>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</si>
  <si>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</si>
  <si>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</si>
  <si>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</si>
  <si>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</si>
  <si>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</si>
  <si>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</si>
  <si>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</si>
  <si>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</si>
  <si>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</si>
  <si>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</si>
  <si>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</si>
  <si>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</si>
  <si>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</si>
  <si>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</si>
  <si>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</si>
  <si>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</si>
  <si>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</si>
  <si>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</si>
  <si>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</si>
  <si>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</si>
  <si>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</si>
  <si>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</si>
  <si>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</si>
  <si>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</si>
  <si>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</si>
  <si>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</si>
  <si>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</si>
  <si>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</si>
  <si>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</si>
  <si>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</si>
  <si>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</si>
  <si>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</si>
  <si>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</si>
  <si>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</si>
  <si>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</si>
  <si>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</si>
  <si>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</si>
  <si>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</si>
  <si>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</si>
  <si>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</si>
  <si>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</si>
  <si>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</si>
  <si>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</si>
  <si>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</si>
  <si>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</si>
  <si>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</si>
  <si>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</si>
  <si>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</si>
  <si>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</si>
  <si>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</si>
  <si>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</si>
  <si>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</si>
  <si>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</si>
  <si>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</si>
  <si>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</si>
  <si>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</si>
  <si>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</si>
  <si>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</si>
  <si>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</si>
  <si>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</si>
  <si>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</si>
  <si>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</si>
  <si>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</si>
  <si>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</si>
  <si>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</si>
  <si>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</si>
  <si>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</si>
  <si>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</si>
  <si>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</si>
  <si>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</si>
  <si>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</si>
  <si>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</si>
  <si>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</si>
  <si>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</si>
  <si>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</si>
  <si>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</si>
  <si>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</si>
  <si>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</si>
  <si>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</si>
  <si>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</si>
  <si>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</si>
  <si>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</si>
  <si>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</si>
  <si>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</si>
  <si>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</si>
  <si>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</si>
  <si>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</si>
  <si>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</si>
  <si>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</si>
  <si>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</si>
  <si>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</si>
  <si>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</si>
  <si>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</si>
  <si>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</si>
  <si>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</si>
  <si>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</si>
  <si>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</si>
  <si>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</si>
  <si>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</si>
  <si>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</si>
  <si>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</si>
  <si>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</si>
  <si>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</si>
  <si>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</si>
  <si>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</si>
  <si>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</si>
  <si>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</si>
  <si>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</si>
  <si>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</si>
  <si>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</si>
  <si>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</si>
  <si>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</si>
  <si>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</si>
  <si>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</si>
  <si>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</si>
  <si>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</si>
  <si>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</si>
  <si>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</si>
  <si>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</si>
  <si>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</si>
  <si>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</si>
  <si>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</si>
  <si>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</si>
  <si>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</si>
  <si>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</si>
  <si>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</si>
  <si>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</si>
  <si>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</si>
  <si>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</si>
  <si>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</si>
  <si>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</si>
  <si>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</si>
  <si>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</si>
  <si>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</si>
  <si>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</si>
  <si>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</si>
  <si>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</si>
  <si>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</si>
  <si>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</si>
  <si>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</si>
  <si>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</si>
  <si>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</si>
  <si>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</si>
  <si>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</si>
  <si>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</si>
  <si>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</si>
  <si>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</si>
  <si>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</si>
  <si>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</si>
  <si>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</si>
  <si>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</si>
  <si>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</si>
  <si>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</si>
  <si>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</si>
  <si>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</si>
  <si>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</si>
  <si>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</si>
  <si>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</si>
  <si>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</si>
  <si>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</si>
  <si>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</si>
  <si>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</si>
  <si>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</si>
  <si>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</si>
  <si>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</si>
  <si>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</si>
  <si>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</si>
  <si>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</si>
  <si>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</si>
  <si>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</si>
  <si>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</si>
  <si>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</si>
  <si>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</si>
  <si>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</si>
  <si>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</si>
  <si>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</si>
  <si>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</si>
  <si>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</si>
  <si>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</si>
  <si>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</si>
  <si>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</si>
  <si>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</si>
  <si>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</si>
  <si>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</si>
  <si>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</si>
  <si>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</si>
  <si>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</si>
  <si>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</si>
  <si>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</si>
  <si>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</si>
  <si>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</si>
  <si>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</si>
  <si>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</si>
  <si>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</si>
  <si>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</si>
  <si>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</si>
  <si>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</si>
  <si>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</si>
  <si>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</si>
  <si>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</si>
  <si>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</si>
  <si>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</si>
  <si>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</si>
  <si>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</si>
  <si>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</si>
  <si>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</si>
  <si>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</si>
  <si>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</si>
  <si>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</si>
  <si>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</si>
  <si>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</si>
  <si>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</si>
  <si>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</si>
  <si>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</si>
  <si>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</si>
  <si>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</si>
  <si>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</si>
  <si>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</si>
  <si>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</si>
  <si>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</si>
  <si>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</si>
  <si>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</si>
  <si>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</si>
  <si>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</si>
  <si>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</si>
  <si>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</si>
  <si>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</si>
  <si>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</si>
  <si>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</si>
  <si>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</si>
  <si>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</si>
  <si>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</si>
  <si>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</si>
  <si>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</si>
  <si>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</si>
  <si>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</si>
  <si>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</si>
  <si>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</si>
  <si>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</si>
  <si>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</si>
  <si>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</si>
  <si>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</si>
  <si>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</si>
  <si>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</si>
  <si>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</si>
  <si>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</si>
  <si>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</si>
  <si>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</si>
  <si>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</si>
  <si>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</si>
  <si>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</si>
  <si>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</si>
  <si>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</si>
  <si>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</si>
  <si>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</si>
  <si>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</si>
  <si>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</si>
  <si>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</si>
  <si>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</si>
  <si>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</si>
  <si>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</si>
  <si>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</si>
  <si>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</si>
  <si>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</si>
  <si>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</si>
  <si>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</si>
  <si>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</si>
  <si>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</si>
  <si>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</si>
  <si>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</si>
  <si>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</si>
  <si>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</si>
  <si>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</si>
  <si>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</si>
  <si>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</si>
  <si>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</si>
  <si>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</si>
  <si>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</si>
  <si>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</si>
  <si>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</si>
  <si>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</si>
  <si>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</si>
  <si>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</si>
  <si>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</si>
  <si>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</si>
  <si>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</si>
  <si>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</si>
  <si>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</si>
  <si>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</si>
  <si>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</si>
  <si>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</si>
  <si>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</si>
  <si>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</si>
  <si>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</si>
  <si>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</si>
  <si>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</si>
  <si>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</si>
  <si>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</si>
  <si>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</si>
  <si>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</si>
  <si>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</si>
  <si>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</si>
  <si>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</si>
  <si>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</si>
  <si>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</si>
  <si>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</si>
  <si>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</si>
  <si>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</si>
  <si>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</si>
  <si>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</si>
  <si>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</si>
  <si>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</si>
  <si>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</si>
  <si>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</si>
  <si>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</si>
  <si>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</si>
  <si>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</si>
  <si>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</si>
  <si>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</si>
  <si>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</si>
  <si>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</si>
  <si>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</si>
  <si>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</si>
  <si>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</si>
  <si>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</si>
  <si>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</si>
  <si>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</si>
  <si>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</si>
  <si>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</si>
  <si>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</si>
  <si>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</si>
  <si>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</si>
  <si>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</si>
  <si>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</si>
  <si>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</si>
  <si>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</si>
  <si>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</si>
  <si>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</si>
  <si>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</si>
  <si>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</si>
  <si>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</si>
  <si>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</si>
  <si>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</si>
  <si>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</si>
  <si>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</si>
  <si>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</si>
  <si>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</si>
  <si>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</si>
  <si>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</si>
  <si>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</si>
  <si>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</si>
  <si>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</si>
  <si>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</si>
  <si>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</si>
  <si>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</si>
  <si>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</si>
  <si>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</si>
  <si>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</si>
  <si>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</si>
  <si>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</si>
  <si>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</si>
  <si>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</si>
  <si>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</si>
  <si>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</si>
  <si>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</si>
  <si>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</si>
  <si>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</si>
  <si>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</si>
  <si>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</si>
  <si>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</si>
  <si>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</si>
  <si>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</si>
  <si>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</si>
  <si>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</si>
  <si>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</si>
  <si>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</si>
  <si>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</si>
  <si>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</si>
  <si>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</si>
  <si>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</si>
  <si>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</si>
  <si>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</si>
  <si>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</si>
  <si>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</si>
  <si>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</si>
  <si>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</si>
  <si>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</si>
  <si>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</si>
  <si>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</si>
  <si>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</si>
  <si>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</si>
  <si>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</si>
  <si>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</si>
  <si>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</si>
  <si>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</si>
  <si>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</si>
  <si>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</si>
  <si>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</si>
  <si>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</si>
  <si>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</si>
  <si>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</si>
  <si>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</si>
  <si>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</si>
  <si>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</si>
  <si>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</si>
  <si>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</si>
  <si>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</si>
  <si>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</si>
  <si>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</si>
  <si>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</si>
  <si>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</si>
  <si>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</si>
  <si>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</si>
  <si>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</si>
  <si>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</si>
  <si>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</si>
  <si>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</si>
  <si>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</si>
  <si>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</si>
  <si>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</si>
  <si>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</si>
  <si>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</si>
  <si>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</si>
  <si>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</si>
  <si>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</si>
  <si>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</si>
  <si>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</si>
  <si>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</si>
  <si>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</si>
  <si>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</si>
  <si>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</si>
  <si>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</si>
  <si>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</si>
  <si>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</si>
  <si>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</si>
  <si>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</si>
  <si>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</si>
  <si>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</si>
  <si>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</si>
  <si>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</si>
  <si>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</si>
  <si>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</si>
  <si>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</si>
  <si>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</si>
  <si>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</si>
  <si>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</si>
  <si>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</si>
  <si>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</si>
  <si>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</si>
  <si>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</si>
  <si>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</si>
  <si>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</si>
  <si>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</si>
  <si>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</si>
  <si>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</si>
  <si>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</si>
  <si>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</si>
  <si>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</si>
  <si>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</si>
  <si>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</si>
  <si>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</si>
  <si>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</si>
  <si>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</si>
  <si>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</si>
  <si>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</si>
  <si>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</si>
  <si>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</si>
  <si>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</si>
  <si>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</si>
  <si>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</si>
  <si>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</si>
  <si>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</si>
  <si>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</si>
  <si>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</si>
  <si>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</si>
  <si>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</si>
  <si>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</si>
  <si>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</si>
  <si>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</si>
  <si>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</si>
  <si>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</si>
  <si>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</si>
  <si>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</si>
  <si>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</si>
  <si>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</si>
  <si>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</si>
  <si>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</si>
  <si>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</si>
  <si>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</si>
  <si>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</si>
  <si>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</si>
  <si>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</si>
  <si>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</si>
  <si>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</si>
  <si>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</si>
  <si>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</si>
  <si>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</si>
  <si>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</si>
  <si>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</si>
  <si>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</si>
  <si>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</si>
  <si>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</si>
  <si>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</si>
  <si>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</si>
  <si>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</si>
  <si>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</si>
  <si>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</si>
  <si>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</si>
  <si>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</si>
  <si>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</si>
  <si>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</si>
  <si>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</si>
  <si>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</si>
  <si>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</si>
  <si>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</si>
  <si>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</si>
  <si>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</si>
  <si>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</si>
  <si>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</si>
  <si>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</si>
  <si>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</si>
  <si>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</si>
  <si>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</si>
  <si>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</si>
  <si>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</si>
  <si>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</si>
  <si>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</si>
  <si>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</si>
  <si>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</si>
  <si>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</si>
  <si>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</si>
  <si>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</si>
  <si>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</si>
  <si>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</si>
  <si>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</si>
  <si>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</si>
  <si>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</si>
  <si>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</si>
  <si>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</si>
  <si>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</si>
  <si>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</si>
  <si>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</si>
  <si>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</si>
  <si>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</si>
  <si>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</si>
  <si>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</si>
  <si>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</si>
  <si>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</si>
  <si>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</si>
  <si>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</si>
  <si>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</si>
  <si>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</si>
  <si>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</si>
  <si>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</si>
  <si>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</si>
  <si>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</si>
  <si>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</si>
  <si>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</si>
  <si>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</si>
  <si>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</si>
  <si>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</si>
  <si>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</si>
  <si>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</si>
  <si>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</si>
  <si>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</si>
  <si>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</si>
  <si>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</si>
  <si>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</si>
  <si>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</si>
  <si>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</si>
  <si>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</si>
  <si>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</si>
  <si>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</si>
  <si>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</si>
  <si>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</si>
  <si>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</si>
  <si>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</si>
  <si>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</si>
  <si>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</si>
  <si>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</si>
  <si>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</si>
  <si>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</si>
  <si>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</si>
  <si>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</si>
  <si>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</si>
  <si>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</si>
  <si>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</si>
  <si>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</si>
  <si>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</si>
  <si>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</si>
  <si>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</si>
  <si>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</si>
  <si>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</si>
  <si>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</si>
  <si>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</si>
  <si>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</si>
  <si>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</si>
  <si>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</si>
  <si>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</si>
  <si>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</si>
  <si>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</si>
  <si>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</si>
  <si>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</si>
  <si>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</si>
  <si>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</si>
  <si>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</si>
  <si>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</si>
  <si>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</si>
  <si>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</si>
  <si>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</si>
  <si>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</si>
  <si>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</si>
  <si>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</si>
  <si>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</si>
  <si>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</si>
  <si>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</si>
  <si>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</si>
  <si>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</si>
  <si>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</si>
  <si>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</si>
  <si>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</si>
  <si>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</si>
  <si>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</si>
  <si>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</si>
  <si>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</si>
  <si>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</si>
  <si>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</si>
  <si>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</si>
  <si>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</si>
  <si>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</si>
  <si>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</si>
  <si>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</si>
  <si>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</si>
  <si>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</si>
  <si>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</si>
  <si>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</si>
  <si>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</si>
  <si>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</si>
  <si>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</si>
  <si>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</si>
  <si>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</si>
  <si>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</si>
  <si>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</si>
  <si>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</si>
  <si>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</si>
  <si>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</si>
  <si>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</si>
  <si>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</si>
  <si>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</si>
  <si>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</si>
  <si>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</si>
  <si>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</si>
  <si>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</si>
  <si>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</si>
  <si>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</si>
  <si>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</si>
  <si>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</si>
  <si>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</si>
  <si>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</si>
  <si>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</si>
  <si>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</si>
  <si>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</si>
  <si>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</si>
  <si>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</si>
  <si>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</si>
  <si>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</si>
  <si>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</si>
  <si>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</si>
  <si>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</si>
  <si>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</si>
  <si>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</si>
  <si>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</si>
  <si>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</si>
  <si>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</si>
  <si>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</si>
  <si>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</si>
  <si>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</si>
  <si>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</si>
  <si>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</si>
  <si>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</si>
  <si>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</si>
  <si>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</si>
  <si>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</si>
  <si>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</si>
  <si>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</si>
  <si>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</si>
  <si>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</si>
  <si>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</si>
  <si>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</si>
  <si>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</si>
  <si>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</si>
  <si>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</si>
  <si>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</si>
  <si>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</si>
  <si>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</si>
  <si>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</si>
  <si>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</si>
  <si>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</si>
  <si>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</si>
  <si>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</si>
  <si>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</si>
  <si>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</si>
  <si>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</si>
  <si>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</si>
  <si>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</si>
  <si>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</si>
  <si>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</si>
  <si>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</si>
  <si>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</si>
  <si>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</si>
  <si>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</si>
  <si>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</si>
  <si>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</si>
  <si>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</si>
  <si>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</si>
  <si>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</si>
  <si>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</si>
  <si>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</si>
  <si>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</si>
  <si>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</si>
  <si>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</si>
  <si>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</si>
  <si>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</si>
  <si>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</si>
  <si>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</si>
  <si>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</si>
  <si>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</si>
  <si>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</si>
  <si>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</si>
  <si>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</si>
  <si>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</si>
  <si>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</si>
  <si>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</si>
  <si>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</si>
  <si>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</si>
  <si>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</si>
  <si>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</si>
  <si>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</si>
  <si>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</si>
  <si>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</si>
  <si>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</si>
  <si>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</si>
  <si>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</si>
  <si>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</si>
  <si>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</si>
  <si>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</si>
  <si>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</si>
  <si>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</si>
  <si>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</si>
  <si>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</si>
  <si>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</si>
  <si>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</si>
  <si>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</si>
  <si>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</si>
  <si>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</si>
  <si>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</si>
  <si>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</si>
  <si>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</si>
  <si>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</si>
  <si>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</si>
  <si>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</si>
  <si>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</si>
  <si>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</si>
  <si>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</si>
  <si>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</si>
  <si>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</si>
  <si>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</si>
  <si>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</si>
  <si>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</si>
  <si>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</si>
  <si>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</si>
  <si>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</si>
  <si>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</si>
  <si>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</si>
  <si>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</si>
  <si>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</si>
  <si>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</si>
  <si>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</si>
  <si>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</si>
  <si>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</si>
  <si>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</si>
  <si>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</si>
  <si>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</si>
  <si>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</si>
  <si>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</si>
  <si>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</si>
  <si>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</si>
  <si>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</si>
  <si>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</si>
  <si>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</si>
  <si>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</si>
  <si>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</si>
  <si>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</si>
  <si>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</si>
  <si>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</si>
  <si>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</si>
  <si>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</si>
  <si>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</si>
  <si>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</si>
  <si>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</si>
  <si>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</si>
  <si>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</si>
  <si>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</si>
  <si>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</si>
  <si>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</si>
  <si>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</si>
  <si>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</si>
  <si>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</si>
  <si>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</si>
  <si>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</si>
  <si>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</si>
  <si>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</si>
  <si>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</si>
  <si>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</si>
  <si>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</si>
  <si>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</si>
  <si>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</si>
  <si>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</si>
  <si>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</si>
  <si>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</si>
  <si>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</si>
  <si>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</si>
  <si>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</si>
  <si>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</si>
  <si>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</si>
  <si>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</si>
  <si>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</si>
  <si>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</si>
  <si>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</si>
  <si>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</si>
  <si>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</si>
  <si>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</si>
  <si>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</si>
  <si>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</si>
  <si>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</si>
  <si>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</si>
  <si>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</si>
  <si>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</si>
  <si>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</si>
  <si>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</si>
  <si>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</si>
  <si>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</si>
  <si>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</si>
  <si>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</si>
  <si>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</si>
  <si>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</si>
  <si>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</si>
  <si>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</si>
  <si>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</si>
  <si>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</si>
  <si>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</si>
  <si>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</si>
  <si>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</si>
  <si>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</si>
  <si>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</si>
  <si>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</si>
  <si>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</si>
  <si>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</si>
  <si>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</si>
  <si>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</si>
  <si>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</si>
  <si>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</si>
  <si>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</si>
  <si>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</si>
  <si>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</si>
  <si>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</si>
  <si>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</si>
  <si>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</si>
  <si>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</si>
  <si>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</si>
  <si>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</si>
  <si>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</si>
  <si>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</si>
  <si>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</si>
  <si>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</si>
  <si>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</si>
  <si>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单价</t>
    <phoneticPr fontId="134" type="noConversion"/>
  </si>
  <si>
    <t>总价</t>
    <phoneticPr fontId="134" type="noConversion"/>
  </si>
  <si>
    <t>2025年报告</t>
    <phoneticPr fontId="134" type="noConversion"/>
  </si>
  <si>
    <t>复评单价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</si>
</sst>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390048</xdr:colOff>
      <xdr:row>13</xdr:row>
      <xdr:rowOff>152102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9048" cy="2380952"/>
        </a:xfrm>
        <a:prstGeom prst="rect">
          <a:avLst/>
        </a:prstGeom>
      </xdr:spPr>
    </xdr:pic>
    <xdr:clientData/>
  </xdr:twoCellAnchor>
  <xdr:twoCellAnchor editAs="oneCell">
    <xdr:from>
      <xdr:col>0</xdr:col>
      <xdr:colOff>0</xdr:colOff>
      <xdr:row>14</xdr:row>
      <xdr:rowOff>0</xdr:rowOff>
    </xdr:from>
    <xdr:to>
      <xdr:col>5</xdr:col>
      <xdr:colOff>532905</xdr:colOff>
      <xdr:row>20</xdr:row>
      <xdr:rowOff>152252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961905" cy="1180952"/>
        </a:xfrm>
        <a:prstGeom prst="rect">
          <a:avLst/>
        </a:prstGeom>
      </xdr:spPr>
    </xdr:pic>
    <xdr:clientData/>
  </xdr:twoCellAnchor>
  <xdr:twoCellAnchor editAs="oneCell">
    <xdr:from>
      <xdr:col>0</xdr:col>
      <xdr:colOff>0</xdr:colOff>
      <xdr:row>21</xdr:row>
      <xdr:rowOff>0</xdr:rowOff>
    </xdr:from>
    <xdr:to>
      <xdr:col>5</xdr:col>
      <xdr:colOff>409095</xdr:colOff>
      <xdr:row>41</xdr:row>
      <xdr:rowOff>94809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3523809"/>
        </a:xfrm>
        <a:prstGeom prst="rect">
          <a:avLst/>
        </a:prstGeom>
      </xdr:spPr>
    </xdr:pic>
    <xdr:clientData/>
  </xdr:twoCellAnchor>
  <xdr:twoCellAnchor editAs="oneCell">
    <xdr:from>
      <xdr:col>6</xdr:col>
      <xdr:colOff>0</xdr:colOff>
      <xdr:row>0</xdr:row>
      <xdr:rowOff>0</xdr:rowOff>
    </xdr:from>
    <xdr:to>
      <xdr:col>11</xdr:col>
      <xdr:colOff>580524</xdr:colOff>
      <xdr:row>7</xdr:row>
      <xdr:rowOff>133183</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4009524" cy="1333333"/>
        </a:xfrm>
        <a:prstGeom prst="rect">
          <a:avLst/>
        </a:prstGeom>
      </xdr:spPr>
    </xdr:pic>
    <xdr:clientData/>
  </xdr:twoCellAnchor>
  <xdr:twoCellAnchor editAs="oneCell">
    <xdr:from>
      <xdr:col>6</xdr:col>
      <xdr:colOff>0</xdr:colOff>
      <xdr:row>8</xdr:row>
      <xdr:rowOff>0</xdr:rowOff>
    </xdr:from>
    <xdr:to>
      <xdr:col>11</xdr:col>
      <xdr:colOff>371000</xdr:colOff>
      <xdr:row>21</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371600"/>
          <a:ext cx="3800000" cy="2400000"/>
        </a:xfrm>
        <a:prstGeom prst="rect">
          <a:avLst/>
        </a:prstGeom>
      </xdr:spPr>
    </xdr:pic>
    <xdr:clientData/>
  </xdr:twoCellAnchor>
  <xdr:twoCellAnchor editAs="oneCell">
    <xdr:from>
      <xdr:col>6</xdr:col>
      <xdr:colOff>0</xdr:colOff>
      <xdr:row>22</xdr:row>
      <xdr:rowOff>0</xdr:rowOff>
    </xdr:from>
    <xdr:to>
      <xdr:col>11</xdr:col>
      <xdr:colOff>418619</xdr:colOff>
      <xdr:row>28</xdr:row>
      <xdr:rowOff>133205</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3771900"/>
          <a:ext cx="3847619" cy="1161905"/>
        </a:xfrm>
        <a:prstGeom prst="rect">
          <a:avLst/>
        </a:prstGeom>
      </xdr:spPr>
    </xdr:pic>
    <xdr:clientData/>
  </xdr:twoCellAnchor>
  <xdr:twoCellAnchor editAs="oneCell">
    <xdr:from>
      <xdr:col>6</xdr:col>
      <xdr:colOff>0</xdr:colOff>
      <xdr:row>29</xdr:row>
      <xdr:rowOff>0</xdr:rowOff>
    </xdr:from>
    <xdr:to>
      <xdr:col>11</xdr:col>
      <xdr:colOff>418619</xdr:colOff>
      <xdr:row>43</xdr:row>
      <xdr:rowOff>133033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4972050"/>
          <a:ext cx="3847619" cy="2533333"/>
        </a:xfrm>
        <a:prstGeom prst="rect">
          <a:avLst/>
        </a:prstGeom>
      </xdr:spPr>
    </xdr:pic>
    <xdr:clientData/>
  </xdr:twoCellAnchor>
  <xdr:twoCellAnchor editAs="oneCell">
    <xdr:from>
      <xdr:col>12</xdr:col>
      <xdr:colOff>0</xdr:colOff>
      <xdr:row>0</xdr:row>
      <xdr:rowOff>0</xdr:rowOff>
    </xdr:from>
    <xdr:to>
      <xdr:col>17</xdr:col>
      <xdr:colOff>523381</xdr:colOff>
      <xdr:row>7</xdr:row>
      <xdr:rowOff>47469</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0"/>
          <a:ext cx="395238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2026年2月10日</v>
      </c>
    </row>
    <row r="13" spans="1:2" s="843" customFormat="1">
      <c r="A13" s="841" t="s">
        <v>523</v>
      </c>
      <c r="B13" s="842" t="str">
        <f>'预评函-1'!A18</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7"/>
      <c r="B54" s="1160" t="s">
        <v>379</v>
      </c>
      <c r="C54" s="1157" t="s">
        <v>577</v>
      </c>
    </row>
    <row r="55" spans="1:4">
      <c r="A55" s="4667"/>
      <c r="B55" s="1160" t="s">
        <v>380</v>
      </c>
      <c r="C55" s="1157" t="s">
        <v>578</v>
      </c>
    </row>
    <row r="56" spans="1:4">
      <c r="A56" s="4667"/>
      <c r="B56" s="1160" t="s">
        <v>381</v>
      </c>
      <c r="C56" s="1157" t="s">
        <v>582</v>
      </c>
    </row>
    <row r="57" spans="1:4">
      <c r="A57" s="466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2" sqref="G2:G5"/>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68" t="s">
        <v>2469</v>
      </c>
      <c r="J2" s="4669"/>
      <c r="K2" s="4669"/>
      <c r="L2" s="4669"/>
      <c r="M2" s="4669"/>
      <c r="N2" s="4669"/>
      <c r="O2" s="4669"/>
      <c r="P2" s="4669"/>
      <c r="Q2" s="4669"/>
      <c r="R2" s="4670"/>
    </row>
    <row r="3" spans="1:19">
      <c r="A3" s="2384" t="s">
        <v>2390</v>
      </c>
      <c r="B3" s="2385">
        <f>项目基本情况!D3</f>
        <v>46063</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3">
        <v>80</v>
      </c>
      <c r="K4" s="4333">
        <v>70</v>
      </c>
      <c r="L4" s="4333">
        <v>20</v>
      </c>
      <c r="M4" s="4333">
        <v>30</v>
      </c>
      <c r="N4" s="3779">
        <v>45</v>
      </c>
      <c r="O4" s="3779">
        <v>60</v>
      </c>
      <c r="P4" s="3779">
        <v>50</v>
      </c>
      <c r="Q4" s="3779">
        <v>20</v>
      </c>
      <c r="R4" s="4334">
        <v>375</v>
      </c>
    </row>
    <row r="5" spans="1:19">
      <c r="A5" s="3778">
        <v>40</v>
      </c>
      <c r="B5" s="2385">
        <v>46375</v>
      </c>
      <c r="C5" s="3779">
        <f>ROUNDDOWN(MIN((B5-B3)/365,A5),2)</f>
        <v>0.85</v>
      </c>
      <c r="D5" s="3780">
        <f>IF(ISERROR(ROUND(POWER(1+E5,A5-C5)*(POWER(1+E5,C5)-1)/(POWER(1+E5,A5)-1),3)),0,ROUND(POWER(1+E5,A5-C5)*(POWER(1+E5,C5)-1)/(POWER(1+E5,A5)-1),4))</f>
        <v>4.1399999999999999E-2</v>
      </c>
      <c r="E5" s="3781">
        <v>0.04</v>
      </c>
      <c r="F5" s="2383"/>
      <c r="I5" s="3758" t="s">
        <v>2471</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10.86</v>
      </c>
      <c r="D6" s="3780">
        <f>IF(ISERROR(ROUND(POWER(1+E6,A6-C6)*(POWER(1+E6,C6)-1)/(POWER(1+E6,A6)-1),3)),0,ROUND(POWER(1+E6,A6-C6)*(POWER(1+E6,C6)-1)/(POWER(1+E6,A6)-1),4))</f>
        <v>0.40360000000000001</v>
      </c>
      <c r="E6" s="3781">
        <v>0.04</v>
      </c>
      <c r="F6" s="2383"/>
      <c r="I6" s="3760" t="s">
        <v>2472</v>
      </c>
      <c r="J6" s="4335">
        <v>60</v>
      </c>
      <c r="K6" s="4335">
        <v>50</v>
      </c>
      <c r="L6" s="4335">
        <v>10</v>
      </c>
      <c r="M6" s="4335">
        <v>20</v>
      </c>
      <c r="N6" s="4336">
        <v>35</v>
      </c>
      <c r="O6" s="4336">
        <v>40</v>
      </c>
      <c r="P6" s="4336">
        <v>30</v>
      </c>
      <c r="Q6" s="4336">
        <v>10</v>
      </c>
      <c r="R6" s="4337">
        <v>255</v>
      </c>
    </row>
    <row r="7" spans="1:19">
      <c r="A7" s="3778">
        <v>70</v>
      </c>
      <c r="B7" s="2385">
        <v>57333</v>
      </c>
      <c r="C7" s="3779">
        <f>ROUNDDOWN(MIN((B7-B3)/365,A7),2)</f>
        <v>30.87</v>
      </c>
      <c r="D7" s="3780">
        <f>IF(ISERROR(ROUND(POWER(1+E7,A7-C7)*(POWER(1+E7,C7)-1)/(POWER(1+E7,A7)-1),3)),0,ROUND(POWER(1+E7,A7-C7)*(POWER(1+E7,C7)-1)/(POWER(1+E7,A7)-1),4))</f>
        <v>0.75019999999999998</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68" t="s">
        <v>3670</v>
      </c>
      <c r="J8" s="4669"/>
      <c r="K8" s="4669"/>
      <c r="L8" s="4669"/>
      <c r="M8" s="4669"/>
      <c r="N8" s="4669"/>
      <c r="O8" s="4669"/>
      <c r="P8" s="4669"/>
      <c r="Q8" s="4669"/>
      <c r="R8" s="4670"/>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73" t="s">
        <v>3874</v>
      </c>
    </row>
    <row r="10" spans="1:19">
      <c r="A10" s="2384" t="s">
        <v>2397</v>
      </c>
      <c r="B10" s="2386"/>
      <c r="C10" s="2386"/>
      <c r="D10" s="2386" t="s">
        <v>2395</v>
      </c>
      <c r="E10" s="2386"/>
      <c r="F10" s="2387" t="s">
        <v>2394</v>
      </c>
      <c r="I10" s="3758" t="s">
        <v>2470</v>
      </c>
      <c r="J10" s="4333">
        <f>ROUND(J4/$K$7,0)</f>
        <v>23</v>
      </c>
      <c r="K10" s="4333">
        <f t="shared" ref="K10:Q12" si="0">ROUND(K4/$K$7,0)</f>
        <v>20</v>
      </c>
      <c r="L10" s="4333">
        <f t="shared" si="0"/>
        <v>6</v>
      </c>
      <c r="M10" s="4333">
        <f t="shared" si="0"/>
        <v>9</v>
      </c>
      <c r="N10" s="4333">
        <f t="shared" si="0"/>
        <v>13</v>
      </c>
      <c r="O10" s="4333">
        <f t="shared" si="0"/>
        <v>17</v>
      </c>
      <c r="P10" s="4333">
        <f t="shared" si="0"/>
        <v>14</v>
      </c>
      <c r="Q10" s="4333">
        <f t="shared" si="0"/>
        <v>6</v>
      </c>
      <c r="R10" s="4338">
        <f>SUM(J10:Q10)</f>
        <v>108</v>
      </c>
      <c r="S10" s="4674"/>
    </row>
    <row r="11" spans="1:19">
      <c r="A11" s="3784" t="s">
        <v>2398</v>
      </c>
      <c r="B11" s="3782">
        <v>70</v>
      </c>
      <c r="C11" s="3785" t="s">
        <v>2399</v>
      </c>
      <c r="D11" s="3781">
        <v>4.4999999999999998E-2</v>
      </c>
      <c r="E11" s="3785" t="s">
        <v>2400</v>
      </c>
      <c r="F11" s="3783">
        <f>ROUND(1-(1/(POWER(1+D11,B11))),4)</f>
        <v>0.95409999999999995</v>
      </c>
      <c r="I11" s="3758" t="s">
        <v>2471</v>
      </c>
      <c r="J11" s="4333">
        <f>ROUND(J5/$K$7,0)</f>
        <v>20</v>
      </c>
      <c r="K11" s="4333">
        <f t="shared" si="0"/>
        <v>17</v>
      </c>
      <c r="L11" s="4333">
        <f t="shared" si="0"/>
        <v>4</v>
      </c>
      <c r="M11" s="4333">
        <f t="shared" si="0"/>
        <v>7</v>
      </c>
      <c r="N11" s="4333">
        <f t="shared" si="0"/>
        <v>11</v>
      </c>
      <c r="O11" s="4333">
        <f t="shared" si="0"/>
        <v>14</v>
      </c>
      <c r="P11" s="4333">
        <f t="shared" si="0"/>
        <v>11</v>
      </c>
      <c r="Q11" s="4333">
        <f t="shared" si="0"/>
        <v>4</v>
      </c>
      <c r="R11" s="4338">
        <f t="shared" ref="R11:R12" si="1">SUM(J11:Q11)</f>
        <v>88</v>
      </c>
      <c r="S11" s="4674"/>
    </row>
    <row r="12" spans="1:19" ht="14.25" thickBot="1">
      <c r="A12" s="3784" t="s">
        <v>2401</v>
      </c>
      <c r="B12" s="3782">
        <v>40</v>
      </c>
      <c r="C12" s="3785" t="s">
        <v>2402</v>
      </c>
      <c r="D12" s="3781">
        <v>4.4999999999999998E-2</v>
      </c>
      <c r="E12" s="3785" t="s">
        <v>2403</v>
      </c>
      <c r="F12" s="3783">
        <f>ROUND(1-(1/(POWER(1+D12,B12))),4)</f>
        <v>0.82809999999999995</v>
      </c>
      <c r="I12" s="3765" t="s">
        <v>2472</v>
      </c>
      <c r="J12" s="4333">
        <f>ROUND(J6/$K$7,0)</f>
        <v>17</v>
      </c>
      <c r="K12" s="4333">
        <f t="shared" si="0"/>
        <v>14</v>
      </c>
      <c r="L12" s="4333">
        <f t="shared" si="0"/>
        <v>3</v>
      </c>
      <c r="M12" s="4333">
        <f t="shared" si="0"/>
        <v>6</v>
      </c>
      <c r="N12" s="4333">
        <f t="shared" si="0"/>
        <v>10</v>
      </c>
      <c r="O12" s="4333">
        <f t="shared" si="0"/>
        <v>11</v>
      </c>
      <c r="P12" s="4333">
        <f t="shared" si="0"/>
        <v>9</v>
      </c>
      <c r="Q12" s="4333">
        <f t="shared" si="0"/>
        <v>3</v>
      </c>
      <c r="R12" s="4338">
        <f t="shared" si="1"/>
        <v>73</v>
      </c>
      <c r="S12" s="4674"/>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74"/>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74"/>
    </row>
    <row r="15" spans="1:19">
      <c r="A15" s="3784" t="s">
        <v>2406</v>
      </c>
      <c r="B15" s="3788">
        <f>ROUND(B14*F12/F11,2)</f>
        <v>4339.6899999999996</v>
      </c>
      <c r="C15" s="3780">
        <f>ROUND(F12/F11,4)</f>
        <v>0.8679</v>
      </c>
      <c r="D15" s="2382"/>
      <c r="E15" s="2382"/>
      <c r="F15" s="2383"/>
      <c r="I15" s="3758" t="s">
        <v>2470</v>
      </c>
      <c r="J15" s="4333">
        <f>ROUND(J10*$L$13,0)</f>
        <v>21</v>
      </c>
      <c r="K15" s="4333">
        <f t="shared" ref="K15:Q15" si="2">ROUND(K10*$L$13,0)</f>
        <v>19</v>
      </c>
      <c r="L15" s="4333">
        <f t="shared" si="2"/>
        <v>6</v>
      </c>
      <c r="M15" s="4333">
        <f t="shared" si="2"/>
        <v>8</v>
      </c>
      <c r="N15" s="4333">
        <f t="shared" si="2"/>
        <v>12</v>
      </c>
      <c r="O15" s="4333">
        <f t="shared" si="2"/>
        <v>16</v>
      </c>
      <c r="P15" s="4333">
        <f t="shared" si="2"/>
        <v>13</v>
      </c>
      <c r="Q15" s="4333">
        <f t="shared" si="2"/>
        <v>6</v>
      </c>
      <c r="R15" s="4339">
        <f>SUM(J15:Q15)</f>
        <v>101</v>
      </c>
      <c r="S15" s="4674"/>
    </row>
    <row r="16" spans="1:19">
      <c r="A16" s="2384" t="s">
        <v>2407</v>
      </c>
      <c r="B16" s="2834"/>
      <c r="C16" s="2834"/>
      <c r="D16" s="2382"/>
      <c r="E16" s="2382"/>
      <c r="F16" s="2383"/>
      <c r="I16" s="3758" t="s">
        <v>2471</v>
      </c>
      <c r="J16" s="4333">
        <f t="shared" ref="J16:Q16" si="3">ROUND(J11*$L$13,0)</f>
        <v>19</v>
      </c>
      <c r="K16" s="4333">
        <f t="shared" si="3"/>
        <v>16</v>
      </c>
      <c r="L16" s="4333">
        <f t="shared" si="3"/>
        <v>4</v>
      </c>
      <c r="M16" s="4333">
        <f t="shared" si="3"/>
        <v>6</v>
      </c>
      <c r="N16" s="4333">
        <f t="shared" si="3"/>
        <v>10</v>
      </c>
      <c r="O16" s="4333">
        <f t="shared" si="3"/>
        <v>13</v>
      </c>
      <c r="P16" s="4333">
        <f t="shared" si="3"/>
        <v>10</v>
      </c>
      <c r="Q16" s="4333">
        <f t="shared" si="3"/>
        <v>4</v>
      </c>
      <c r="R16" s="4339">
        <f t="shared" ref="R16:R17" si="4">SUM(J16:Q16)</f>
        <v>82</v>
      </c>
      <c r="S16" s="4674"/>
    </row>
    <row r="17" spans="1:19" ht="14.25" thickBot="1">
      <c r="A17" s="3784" t="s">
        <v>2406</v>
      </c>
      <c r="B17" s="3789">
        <v>4810</v>
      </c>
      <c r="C17" s="3787"/>
      <c r="D17" s="2382"/>
      <c r="E17" s="2382"/>
      <c r="F17" s="2383"/>
      <c r="I17" s="3760" t="s">
        <v>2472</v>
      </c>
      <c r="J17" s="4333">
        <f t="shared" ref="J17:Q17" si="5">ROUND(J12*$L$13,0)</f>
        <v>16</v>
      </c>
      <c r="K17" s="4333">
        <f t="shared" si="5"/>
        <v>13</v>
      </c>
      <c r="L17" s="4333">
        <f t="shared" si="5"/>
        <v>3</v>
      </c>
      <c r="M17" s="4333">
        <f t="shared" si="5"/>
        <v>6</v>
      </c>
      <c r="N17" s="4333">
        <f t="shared" si="5"/>
        <v>9</v>
      </c>
      <c r="O17" s="4333">
        <f t="shared" si="5"/>
        <v>10</v>
      </c>
      <c r="P17" s="4333">
        <f t="shared" si="5"/>
        <v>8</v>
      </c>
      <c r="Q17" s="4333">
        <f t="shared" si="5"/>
        <v>3</v>
      </c>
      <c r="R17" s="4339">
        <f t="shared" si="4"/>
        <v>68</v>
      </c>
      <c r="S17" s="4675"/>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3349</v>
      </c>
      <c r="B49" s="4331"/>
      <c r="C49" s="4331"/>
      <c r="D49" s="4331"/>
      <c r="E49" s="4331"/>
      <c r="I49" s="4671" t="s">
        <v>3982</v>
      </c>
      <c r="J49" s="4671"/>
      <c r="K49" s="4671"/>
      <c r="L49" s="4671"/>
      <c r="M49" s="4671"/>
      <c r="N49" s="2388"/>
      <c r="O49" s="2388"/>
    </row>
    <row r="50" spans="1:16" ht="14.25">
      <c r="A50" s="2847" t="s">
        <v>3350</v>
      </c>
      <c r="B50" s="2851" t="s">
        <v>3351</v>
      </c>
      <c r="C50" s="2854" t="s">
        <v>3352</v>
      </c>
      <c r="D50" s="2855" t="s">
        <v>3360</v>
      </c>
      <c r="E50" s="2856" t="s">
        <v>3359</v>
      </c>
      <c r="F50" s="2857" t="s">
        <v>3366</v>
      </c>
      <c r="I50" s="4469" t="s">
        <v>3361</v>
      </c>
      <c r="J50" s="4470" t="s">
        <v>3362</v>
      </c>
      <c r="K50" s="4470" t="s">
        <v>3363</v>
      </c>
      <c r="L50" s="4470" t="s">
        <v>3364</v>
      </c>
      <c r="M50" s="4471" t="s">
        <v>3365</v>
      </c>
      <c r="N50" s="4478" t="s">
        <v>3978</v>
      </c>
      <c r="O50" s="4471" t="s">
        <v>3979</v>
      </c>
    </row>
    <row r="51" spans="1:16" ht="15">
      <c r="A51" s="2849" t="s">
        <v>3827</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3353</v>
      </c>
      <c r="B52" s="2840">
        <v>5508</v>
      </c>
      <c r="C52" s="2860"/>
      <c r="D52" s="2842">
        <v>3000</v>
      </c>
      <c r="E52" s="2863">
        <f>D52*B52</f>
        <v>16524000</v>
      </c>
      <c r="F52" s="2858"/>
      <c r="G52" s="2839" t="s">
        <v>3828</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3980</v>
      </c>
    </row>
    <row r="53" spans="1:16" ht="15" thickBot="1">
      <c r="A53" s="2848" t="s">
        <v>3354</v>
      </c>
      <c r="B53" s="2840">
        <v>4485</v>
      </c>
      <c r="C53" s="2860"/>
      <c r="D53" s="2842">
        <v>4500</v>
      </c>
      <c r="E53" s="2863">
        <f>D53*B53</f>
        <v>20182500</v>
      </c>
      <c r="F53" s="2858"/>
      <c r="G53" s="2839" t="s">
        <v>3829</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3981</v>
      </c>
    </row>
    <row r="54" spans="1:16" ht="15">
      <c r="A54" s="2849" t="s">
        <v>3355</v>
      </c>
      <c r="B54" s="2852">
        <f>B51</f>
        <v>9993</v>
      </c>
      <c r="C54" s="2852">
        <f>E54/B54</f>
        <v>1283.8637045932153</v>
      </c>
      <c r="D54" s="4293"/>
      <c r="E54" s="2864">
        <f>E55+E56</f>
        <v>12829650</v>
      </c>
      <c r="F54" s="4292">
        <f>E54/$E$62</f>
        <v>0.15779328102775064</v>
      </c>
      <c r="G54" s="2839"/>
      <c r="H54" s="2839"/>
    </row>
    <row r="55" spans="1:16" ht="15">
      <c r="A55" s="2848" t="s">
        <v>3825</v>
      </c>
      <c r="B55" s="4291">
        <f>B52</f>
        <v>5508</v>
      </c>
      <c r="C55" s="2852"/>
      <c r="D55" s="4294">
        <v>1800</v>
      </c>
      <c r="E55" s="2863">
        <f>D55*B55</f>
        <v>9914400</v>
      </c>
      <c r="F55" s="2858"/>
      <c r="G55" s="2839" t="s">
        <v>3830</v>
      </c>
      <c r="H55" s="2839"/>
    </row>
    <row r="56" spans="1:16" ht="15">
      <c r="A56" s="2848" t="s">
        <v>3826</v>
      </c>
      <c r="B56" s="4291">
        <f>B53</f>
        <v>4485</v>
      </c>
      <c r="C56" s="2852"/>
      <c r="D56" s="4294">
        <v>650</v>
      </c>
      <c r="E56" s="2863">
        <f>D56*B56</f>
        <v>2915250</v>
      </c>
      <c r="F56" s="2858"/>
      <c r="G56" s="2839" t="s">
        <v>3831</v>
      </c>
      <c r="H56" s="2839"/>
    </row>
    <row r="57" spans="1:16" ht="15">
      <c r="A57" s="4290" t="s">
        <v>3824</v>
      </c>
      <c r="B57" s="2852">
        <f>B51</f>
        <v>9993</v>
      </c>
      <c r="C57" s="2852">
        <f>E57/B57</f>
        <v>2704.7433203242272</v>
      </c>
      <c r="D57" s="4293"/>
      <c r="E57" s="2864">
        <f>E58+E59</f>
        <v>27028500</v>
      </c>
      <c r="F57" s="2858">
        <f>E57/$E$62</f>
        <v>0.33242650393881035</v>
      </c>
      <c r="G57" s="2839"/>
      <c r="H57" s="2839"/>
      <c r="I57" s="4672" t="s">
        <v>3367</v>
      </c>
      <c r="J57" s="4672"/>
      <c r="K57" s="4672"/>
      <c r="L57" s="4672"/>
      <c r="M57" s="4672"/>
      <c r="N57" s="4468"/>
    </row>
    <row r="58" spans="1:16" ht="14.25">
      <c r="A58" s="2848" t="s">
        <v>3825</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3826</v>
      </c>
      <c r="B59" s="4291">
        <f>B53</f>
        <v>4485</v>
      </c>
      <c r="C59" s="4309">
        <v>500</v>
      </c>
      <c r="D59" s="4310"/>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3357</v>
      </c>
      <c r="B60" s="2841">
        <f>B51*0.07</f>
        <v>699.5100000000001</v>
      </c>
      <c r="C60" s="2852">
        <f>E60/B51</f>
        <v>315.00000000000006</v>
      </c>
      <c r="D60" s="4296">
        <f>D53</f>
        <v>4500</v>
      </c>
      <c r="E60" s="2864">
        <f>D60*B60</f>
        <v>3147795.0000000005</v>
      </c>
      <c r="F60" s="2858">
        <f>E60/$E$62</f>
        <v>3.8715078045990996E-2</v>
      </c>
      <c r="G60" s="4312">
        <f>B60/(B62+B60)</f>
        <v>6.5420560747663559E-2</v>
      </c>
      <c r="H60" s="4311" t="s">
        <v>3841</v>
      </c>
    </row>
    <row r="61" spans="1:16" ht="15">
      <c r="A61" s="2849" t="s">
        <v>3356</v>
      </c>
      <c r="B61" s="4295">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3833</v>
      </c>
      <c r="B66" s="4302"/>
      <c r="C66" s="4302"/>
      <c r="D66" s="4303"/>
    </row>
    <row r="67" spans="1:4">
      <c r="A67" s="4304" t="s">
        <v>3836</v>
      </c>
      <c r="B67" s="4300"/>
      <c r="C67" s="4300"/>
      <c r="D67" s="4307" t="s">
        <v>3838</v>
      </c>
    </row>
    <row r="68" spans="1:4">
      <c r="A68" s="4304" t="s">
        <v>3837</v>
      </c>
      <c r="B68" s="4300"/>
      <c r="C68" s="4300"/>
      <c r="D68" s="4307" t="s">
        <v>3839</v>
      </c>
    </row>
    <row r="69" spans="1:4" ht="14.25" thickBot="1">
      <c r="A69" s="4305" t="s">
        <v>3834</v>
      </c>
      <c r="B69" s="4306"/>
      <c r="C69" s="4306"/>
      <c r="D69" s="4308"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3" t="str">
        <f>IF(B10="北京市","北京市",C10)&amp;F10&amp;IF(结果表!G1="在建","出让国有建设用地使用权及在建建筑物",IF(结果表!G1="土地","出让国有建设用地使用权",))&amp;B9&amp;"预评估"</f>
        <v>预评估</v>
      </c>
      <c r="C1" s="4684"/>
      <c r="D1" s="4684"/>
      <c r="E1" s="4684"/>
      <c r="F1" s="4684"/>
      <c r="G1" s="4684"/>
      <c r="H1" s="4684"/>
      <c r="I1" s="468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c r="C3" s="1866" t="s">
        <v>2075</v>
      </c>
      <c r="D3" s="1865">
        <v>46063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686" t="s">
        <v>2081</v>
      </c>
      <c r="E8" s="1883"/>
      <c r="F8" s="1884"/>
      <c r="G8" s="2096"/>
      <c r="H8" s="2096"/>
      <c r="I8" s="2096"/>
      <c r="J8" s="1926"/>
      <c r="K8" s="2049"/>
      <c r="L8" s="2048"/>
      <c r="M8" s="2048"/>
      <c r="N8" s="1926"/>
      <c r="O8" s="1937"/>
      <c r="P8" s="1926"/>
      <c r="Q8" s="1926"/>
      <c r="R8" s="1926"/>
    </row>
    <row r="9" spans="1:30" ht="13.5" thickBot="1">
      <c r="A9" s="1885" t="s">
        <v>2082</v>
      </c>
      <c r="B9" s="1886"/>
      <c r="C9" s="1887"/>
      <c r="D9" s="4687"/>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2" t="str">
        <f>IF(A13="出让",IF(C13="","",ROUNDDOWN(MIN((C13-$D$3)/365,C14),2)),C14)</f>
        <v/>
      </c>
      <c r="D15" s="3902" t="str">
        <f>IF(A13="出让",IF(D13="","",ROUNDDOWN(MIN((D13-$D$3)/365,D14),2)),D14)</f>
        <v/>
      </c>
      <c r="E15" s="3902" t="str">
        <f>IF(A13="出让",IF(E13="","",ROUNDDOWN(MIN((E13-$D$3)/365,E14),2)),E14)</f>
        <v/>
      </c>
      <c r="F15" s="3902" t="str">
        <f>IF(A13="出让",IF(F13="","",ROUNDDOWN(MIN((F13-$D$3)/365,F14),2)),F14)</f>
        <v/>
      </c>
      <c r="G15" s="3902" t="str">
        <f>IF(A13="出让",IF(G13="","",ROUNDDOWN(MIN((G13-$D$3)/365,G14),2)),G14)</f>
        <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2097</v>
      </c>
      <c r="B16" s="4693"/>
      <c r="C16" s="4694"/>
      <c r="D16" s="4695"/>
      <c r="E16" s="1902" t="s">
        <v>2098</v>
      </c>
      <c r="F16" s="4696"/>
      <c r="G16" s="4697"/>
      <c r="H16" s="4697"/>
      <c r="I16" s="4698"/>
      <c r="J16" s="1926"/>
      <c r="K16" s="2052"/>
      <c r="L16" s="1938"/>
      <c r="M16" s="1938"/>
      <c r="N16" s="1996"/>
      <c r="O16" s="1938"/>
      <c r="P16" s="1996"/>
      <c r="Q16" s="1926"/>
      <c r="R16" s="1926"/>
    </row>
    <row r="17" spans="1:28">
      <c r="A17" s="201" t="s">
        <v>2099</v>
      </c>
      <c r="B17" s="190" t="s">
        <v>2100</v>
      </c>
      <c r="C17" s="9">
        <f>'数据-汇总表'!E3</f>
        <v>0</v>
      </c>
      <c r="D17" s="1818" t="s">
        <v>2101</v>
      </c>
      <c r="E17" s="4699" t="s">
        <v>2102</v>
      </c>
      <c r="F17" s="4700"/>
      <c r="G17" s="4700"/>
      <c r="H17" s="4700"/>
      <c r="I17" s="4701"/>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702" t="s">
        <v>2106</v>
      </c>
      <c r="F18" s="4703"/>
      <c r="G18" s="4703"/>
      <c r="H18" s="4703"/>
      <c r="I18" s="4704"/>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89" t="s">
        <v>2110</v>
      </c>
      <c r="C20" s="4690"/>
      <c r="D20" s="4691" t="s">
        <v>2111</v>
      </c>
      <c r="E20" s="4692"/>
      <c r="F20" s="2082" t="s">
        <v>1040</v>
      </c>
      <c r="G20" s="2097"/>
      <c r="H20" s="2097"/>
      <c r="I20" s="2097"/>
      <c r="J20" s="1926"/>
      <c r="K20" s="4688"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8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8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77"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77"/>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77"/>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78"/>
      <c r="B30" s="190" t="s">
        <v>2122</v>
      </c>
      <c r="C30" s="4679"/>
      <c r="D30" s="4680"/>
      <c r="E30" s="2097"/>
      <c r="F30" s="2097"/>
      <c r="G30" s="2097"/>
      <c r="H30" s="2097"/>
      <c r="I30" s="2097"/>
      <c r="J30" s="1926"/>
      <c r="K30" s="2051"/>
      <c r="L30" s="2048"/>
      <c r="M30" s="2048"/>
      <c r="N30" s="1926"/>
      <c r="O30" s="1937"/>
      <c r="P30" s="1926"/>
      <c r="Q30" s="1926"/>
      <c r="R30" s="1926"/>
      <c r="S30" s="1926"/>
      <c r="T30" s="1926"/>
      <c r="U30" s="1926"/>
      <c r="V30" s="1926"/>
    </row>
    <row r="31" spans="1:28">
      <c r="A31" s="4681"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82"/>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82"/>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76" t="s">
        <v>2132</v>
      </c>
      <c r="T34" s="1915" t="str">
        <f>NUMBERSTRING(7-K34,1)&amp;"通"</f>
        <v>七通</v>
      </c>
      <c r="U34" s="1926"/>
      <c r="V34" s="1926"/>
    </row>
    <row r="35" spans="1:30">
      <c r="A35" s="1916"/>
      <c r="B35" s="4676" t="s">
        <v>2133</v>
      </c>
      <c r="C35" s="4676"/>
      <c r="D35" s="4676"/>
      <c r="E35" s="4676"/>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6"/>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 sqref="G2:G5"/>
      <selection pane="topRight" activeCell="G2" sqref="G2:G5"/>
      <selection pane="bottomLeft" activeCell="G2" sqref="G2:G5"/>
      <selection pane="bottomRight" activeCell="G2" sqref="G2:G5"/>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0</v>
      </c>
      <c r="H5" s="3902">
        <f t="shared" ref="H5:AT5" si="0">SUM(H13:H656)</f>
        <v>0</v>
      </c>
      <c r="I5" s="3902">
        <f t="shared" si="0"/>
        <v>0</v>
      </c>
      <c r="J5" s="3902">
        <f t="shared" si="0"/>
        <v>0</v>
      </c>
      <c r="K5" s="3902">
        <f t="shared" si="0"/>
        <v>0</v>
      </c>
      <c r="L5" s="3902">
        <f t="shared" si="0"/>
        <v>0</v>
      </c>
      <c r="M5" s="3902">
        <f t="shared" si="0"/>
        <v>0</v>
      </c>
      <c r="N5" s="3902">
        <f t="shared" si="0"/>
        <v>0</v>
      </c>
      <c r="O5" s="3902">
        <f t="shared" si="0"/>
        <v>0</v>
      </c>
      <c r="P5" s="3902">
        <f t="shared" si="0"/>
        <v>0</v>
      </c>
      <c r="Q5" s="3902">
        <f t="shared" si="0"/>
        <v>0</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0</v>
      </c>
      <c r="AD5" s="3902">
        <f t="shared" si="0"/>
        <v>0</v>
      </c>
      <c r="AE5" s="3902">
        <f t="shared" si="0"/>
        <v>0</v>
      </c>
      <c r="AF5" s="3902">
        <f t="shared" si="0"/>
        <v>0</v>
      </c>
      <c r="AG5" s="3902">
        <f t="shared" si="0"/>
        <v>0</v>
      </c>
      <c r="AH5" s="3902">
        <f t="shared" si="0"/>
        <v>0</v>
      </c>
      <c r="AI5" s="3902">
        <f t="shared" si="0"/>
        <v>0</v>
      </c>
      <c r="AJ5" s="3902">
        <f t="shared" si="0"/>
        <v>0</v>
      </c>
      <c r="AK5" s="3902">
        <f t="shared" si="0"/>
        <v>0</v>
      </c>
      <c r="AL5" s="3902">
        <f t="shared" si="0"/>
        <v>0</v>
      </c>
      <c r="AM5" s="3902">
        <f t="shared" si="0"/>
        <v>0</v>
      </c>
      <c r="AN5" s="3902">
        <f t="shared" si="0"/>
        <v>0</v>
      </c>
      <c r="AO5" s="3902">
        <f t="shared" si="0"/>
        <v>0</v>
      </c>
      <c r="AP5" s="3902">
        <f t="shared" si="0"/>
        <v>0</v>
      </c>
      <c r="AQ5" s="3902">
        <f t="shared" si="0"/>
        <v>0</v>
      </c>
      <c r="AR5" s="3902">
        <f t="shared" si="0"/>
        <v>0</v>
      </c>
      <c r="AS5" s="3902">
        <f t="shared" si="0"/>
        <v>0</v>
      </c>
      <c r="AT5" s="3902">
        <f t="shared" si="0"/>
        <v>0</v>
      </c>
      <c r="AU5" s="4109"/>
      <c r="AV5" s="4106" t="s">
        <v>1054</v>
      </c>
      <c r="AW5" s="4107"/>
      <c r="AX5" s="4107"/>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0">
        <f t="shared" si="1"/>
        <v>0</v>
      </c>
    </row>
    <row r="6" spans="1:72" s="4111" customFormat="1" ht="12.75">
      <c r="A6" s="4106" t="s">
        <v>1055</v>
      </c>
      <c r="B6" s="4107"/>
      <c r="C6" s="4107"/>
      <c r="D6" s="4108"/>
      <c r="E6" s="3902" t="e">
        <f>H6+AC6+AT6</f>
        <v>#DIV/0!</v>
      </c>
      <c r="F6" s="3902" t="s">
        <v>0</v>
      </c>
      <c r="G6" s="3902" t="s">
        <v>1</v>
      </c>
      <c r="H6" s="4097" t="e">
        <f>SUMIF(I$12:AB$12,"总值",I6:AB6)</f>
        <v>#DIV/0!</v>
      </c>
      <c r="I6" s="3902" t="e">
        <f t="shared" ref="I6:AB6" si="2">ROUND($A$3*I5/$B$3,2)</f>
        <v>#DIV/0!</v>
      </c>
      <c r="J6" s="3902" t="e">
        <f t="shared" si="2"/>
        <v>#DIV/0!</v>
      </c>
      <c r="K6" s="3902" t="e">
        <f t="shared" si="2"/>
        <v>#DIV/0!</v>
      </c>
      <c r="L6" s="3902" t="e">
        <f t="shared" si="2"/>
        <v>#DIV/0!</v>
      </c>
      <c r="M6" s="3902" t="e">
        <f t="shared" si="2"/>
        <v>#DIV/0!</v>
      </c>
      <c r="N6" s="3902" t="e">
        <f t="shared" si="2"/>
        <v>#DIV/0!</v>
      </c>
      <c r="O6" s="3902" t="e">
        <f t="shared" si="2"/>
        <v>#DIV/0!</v>
      </c>
      <c r="P6" s="3902" t="e">
        <f t="shared" si="2"/>
        <v>#DIV/0!</v>
      </c>
      <c r="Q6" s="3902" t="e">
        <f t="shared" si="2"/>
        <v>#DIV/0!</v>
      </c>
      <c r="R6" s="3902" t="e">
        <f t="shared" si="2"/>
        <v>#DIV/0!</v>
      </c>
      <c r="S6" s="3902" t="e">
        <f t="shared" si="2"/>
        <v>#DIV/0!</v>
      </c>
      <c r="T6" s="3902" t="e">
        <f t="shared" si="2"/>
        <v>#DIV/0!</v>
      </c>
      <c r="U6" s="3902" t="e">
        <f t="shared" si="2"/>
        <v>#DIV/0!</v>
      </c>
      <c r="V6" s="3902" t="e">
        <f t="shared" si="2"/>
        <v>#DIV/0!</v>
      </c>
      <c r="W6" s="3902" t="e">
        <f t="shared" si="2"/>
        <v>#DIV/0!</v>
      </c>
      <c r="X6" s="3902" t="e">
        <f t="shared" si="2"/>
        <v>#DIV/0!</v>
      </c>
      <c r="Y6" s="3902" t="e">
        <f t="shared" si="2"/>
        <v>#DIV/0!</v>
      </c>
      <c r="Z6" s="3902" t="e">
        <f t="shared" si="2"/>
        <v>#DIV/0!</v>
      </c>
      <c r="AA6" s="3902" t="e">
        <f t="shared" si="2"/>
        <v>#DIV/0!</v>
      </c>
      <c r="AB6" s="3902" t="e">
        <f t="shared" si="2"/>
        <v>#DIV/0!</v>
      </c>
      <c r="AC6" s="4097" t="e">
        <f>SUMIF(AD$12:AS$12,"总值",AD6:AS6)</f>
        <v>#DIV/0!</v>
      </c>
      <c r="AD6" s="3902" t="e">
        <f t="shared" ref="AD6:AS6" si="3">ROUND($A$3*AD5/$B$3,2)</f>
        <v>#DIV/0!</v>
      </c>
      <c r="AE6" s="3902" t="e">
        <f t="shared" si="3"/>
        <v>#DIV/0!</v>
      </c>
      <c r="AF6" s="3902" t="e">
        <f t="shared" si="3"/>
        <v>#DIV/0!</v>
      </c>
      <c r="AG6" s="3902" t="e">
        <f t="shared" si="3"/>
        <v>#DIV/0!</v>
      </c>
      <c r="AH6" s="3902" t="e">
        <f t="shared" si="3"/>
        <v>#DIV/0!</v>
      </c>
      <c r="AI6" s="3902" t="e">
        <f t="shared" si="3"/>
        <v>#DIV/0!</v>
      </c>
      <c r="AJ6" s="3902" t="e">
        <f t="shared" si="3"/>
        <v>#DIV/0!</v>
      </c>
      <c r="AK6" s="3902" t="e">
        <f t="shared" si="3"/>
        <v>#DIV/0!</v>
      </c>
      <c r="AL6" s="3902" t="e">
        <f t="shared" si="3"/>
        <v>#DIV/0!</v>
      </c>
      <c r="AM6" s="3902" t="e">
        <f t="shared" si="3"/>
        <v>#DIV/0!</v>
      </c>
      <c r="AN6" s="3902" t="e">
        <f t="shared" si="3"/>
        <v>#DIV/0!</v>
      </c>
      <c r="AO6" s="3902" t="e">
        <f t="shared" si="3"/>
        <v>#DIV/0!</v>
      </c>
      <c r="AP6" s="3902" t="e">
        <f t="shared" si="3"/>
        <v>#DIV/0!</v>
      </c>
      <c r="AQ6" s="3902" t="e">
        <f t="shared" si="3"/>
        <v>#DIV/0!</v>
      </c>
      <c r="AR6" s="3902" t="e">
        <f t="shared" si="3"/>
        <v>#DIV/0!</v>
      </c>
      <c r="AS6" s="3902" t="e">
        <f t="shared" si="3"/>
        <v>#DIV/0!</v>
      </c>
      <c r="AT6" s="4097">
        <f>IF(C3="是",ROUND($A$3*AT5/$B$3,2),0)</f>
        <v>0</v>
      </c>
      <c r="AU6" s="4109"/>
      <c r="AV6" s="4106" t="s">
        <v>1055</v>
      </c>
      <c r="AW6" s="4107"/>
      <c r="AX6" s="4107"/>
      <c r="AY6" s="4112" t="e">
        <f>IF(AY3&gt;0,AY3,ROUND($A$3*AZ5/$B$3,2))</f>
        <v>#DIV/0!</v>
      </c>
      <c r="AZ6" s="3902" t="s">
        <v>2</v>
      </c>
      <c r="BA6" s="3902" t="e">
        <f>ROUND($AY$6*BA5/$AZ$5,2)</f>
        <v>#DIV/0!</v>
      </c>
      <c r="BB6" s="3902" t="e">
        <f>ROUND($AY$6*BB5/$AZ$5,2)</f>
        <v>#DIV/0!</v>
      </c>
      <c r="BC6" s="3902" t="e">
        <f t="shared" ref="BC6:BH6" si="4">ROUND($AY$6*BC5/$AZ$5,2)</f>
        <v>#DIV/0!</v>
      </c>
      <c r="BD6" s="3902" t="e">
        <f t="shared" si="4"/>
        <v>#DIV/0!</v>
      </c>
      <c r="BE6" s="3902" t="e">
        <f t="shared" si="4"/>
        <v>#DIV/0!</v>
      </c>
      <c r="BF6" s="3902" t="e">
        <f t="shared" si="4"/>
        <v>#DIV/0!</v>
      </c>
      <c r="BG6" s="3902" t="e">
        <f t="shared" si="4"/>
        <v>#DIV/0!</v>
      </c>
      <c r="BH6" s="3902" t="e">
        <f t="shared" si="4"/>
        <v>#DIV/0!</v>
      </c>
      <c r="BI6" s="3902" t="e">
        <f t="shared" ref="BI6:BT6" si="5">ROUND($AY$6*BI5/$AZ$5,2)</f>
        <v>#DIV/0!</v>
      </c>
      <c r="BJ6" s="3902" t="e">
        <f t="shared" si="5"/>
        <v>#DIV/0!</v>
      </c>
      <c r="BK6" s="3902" t="e">
        <f t="shared" si="5"/>
        <v>#DIV/0!</v>
      </c>
      <c r="BL6" s="3902" t="e">
        <f t="shared" si="5"/>
        <v>#DIV/0!</v>
      </c>
      <c r="BM6" s="3902" t="e">
        <f t="shared" si="5"/>
        <v>#DIV/0!</v>
      </c>
      <c r="BN6" s="3902" t="e">
        <f t="shared" si="5"/>
        <v>#DIV/0!</v>
      </c>
      <c r="BO6" s="3902" t="e">
        <f t="shared" si="5"/>
        <v>#DIV/0!</v>
      </c>
      <c r="BP6" s="3902" t="e">
        <f t="shared" si="5"/>
        <v>#DIV/0!</v>
      </c>
      <c r="BQ6" s="3902" t="e">
        <f t="shared" si="5"/>
        <v>#DIV/0!</v>
      </c>
      <c r="BR6" s="3902" t="e">
        <f t="shared" si="5"/>
        <v>#DIV/0!</v>
      </c>
      <c r="BS6" s="3902" t="e">
        <f t="shared" si="5"/>
        <v>#DIV/0!</v>
      </c>
      <c r="BT6" s="4113"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2" t="e">
        <f>IF($C$3="是",ROUND($A$3*G13/$B$3,2),ROUND($A$3*(G13-AT13)/$B$3,2))</f>
        <v>#DIV/0!</v>
      </c>
      <c r="F13" s="612"/>
      <c r="G13" s="4096">
        <f>H13+AC13+AT13</f>
        <v>0</v>
      </c>
      <c r="H13" s="4097">
        <f>SUMIF(I$12:AB$12,"总值",I13:AB13)</f>
        <v>0</v>
      </c>
      <c r="I13" s="4098"/>
      <c r="J13" s="4098"/>
      <c r="K13" s="4098"/>
      <c r="L13" s="4098"/>
      <c r="M13" s="4098"/>
      <c r="N13" s="4098"/>
      <c r="O13" s="4098"/>
      <c r="P13" s="4098"/>
      <c r="Q13" s="4098"/>
      <c r="R13" s="4098"/>
      <c r="S13" s="4098"/>
      <c r="T13" s="4098"/>
      <c r="U13" s="4098"/>
      <c r="V13" s="4098"/>
      <c r="W13" s="4098"/>
      <c r="X13" s="4098"/>
      <c r="Y13" s="4098"/>
      <c r="Z13" s="4098"/>
      <c r="AA13" s="4098"/>
      <c r="AB13" s="4098"/>
      <c r="AC13" s="3902">
        <f>SUMIF(AD$12:AS$12,"总值",AD13:AS13)</f>
        <v>0</v>
      </c>
      <c r="AD13" s="4099"/>
      <c r="AE13" s="4099"/>
      <c r="AF13" s="4099"/>
      <c r="AG13" s="4099"/>
      <c r="AH13" s="4099"/>
      <c r="AI13" s="4099"/>
      <c r="AJ13" s="4099"/>
      <c r="AK13" s="4099"/>
      <c r="AL13" s="4099"/>
      <c r="AM13" s="4099"/>
      <c r="AN13" s="4099"/>
      <c r="AO13" s="4099"/>
      <c r="AP13" s="4099"/>
      <c r="AQ13" s="4099"/>
      <c r="AR13" s="4099"/>
      <c r="AS13" s="4099"/>
      <c r="AT13" s="4100"/>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2" t="e">
        <f>IF($C$3="是",ROUND($A$3*G14/$B$3,2),ROUND($A$3*(G14-AT14)/$B$3,2))</f>
        <v>#DIV/0!</v>
      </c>
      <c r="F14" s="612"/>
      <c r="G14" s="4096">
        <f>H14+AC14+AT14</f>
        <v>0</v>
      </c>
      <c r="H14" s="4097">
        <f>SUMIF(I$12:AB$12,"总值",I14:AB14)</f>
        <v>0</v>
      </c>
      <c r="I14" s="4098"/>
      <c r="J14" s="4098"/>
      <c r="K14" s="4098"/>
      <c r="L14" s="4098"/>
      <c r="M14" s="4098"/>
      <c r="N14" s="4098"/>
      <c r="O14" s="4098"/>
      <c r="P14" s="4098"/>
      <c r="Q14" s="4098"/>
      <c r="R14" s="4098"/>
      <c r="S14" s="4098"/>
      <c r="T14" s="4098"/>
      <c r="U14" s="4098"/>
      <c r="V14" s="4098"/>
      <c r="W14" s="4098"/>
      <c r="X14" s="4098"/>
      <c r="Y14" s="4098"/>
      <c r="Z14" s="4098"/>
      <c r="AA14" s="4098"/>
      <c r="AB14" s="4098"/>
      <c r="AC14" s="3902">
        <f>SUMIF(AD$12:AS$12,"总值",AD14:AS14)</f>
        <v>0</v>
      </c>
      <c r="AD14" s="4099"/>
      <c r="AE14" s="4099"/>
      <c r="AF14" s="4099"/>
      <c r="AG14" s="4099"/>
      <c r="AH14" s="4099"/>
      <c r="AI14" s="4099"/>
      <c r="AJ14" s="4099"/>
      <c r="AK14" s="4099"/>
      <c r="AL14" s="4099"/>
      <c r="AM14" s="4099"/>
      <c r="AN14" s="4099"/>
      <c r="AO14" s="4099"/>
      <c r="AP14" s="4099"/>
      <c r="AQ14" s="4099"/>
      <c r="AR14" s="4099"/>
      <c r="AS14" s="4099"/>
      <c r="AT14" s="4100"/>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2" t="e">
        <f>IF($C$3="是",ROUND($A$3*G15/$B$3,2),ROUND($A$3*(G15-AT15)/$B$3,2))</f>
        <v>#DIV/0!</v>
      </c>
      <c r="F15" s="612"/>
      <c r="G15" s="4096">
        <f>H15+AC15+AT15</f>
        <v>0</v>
      </c>
      <c r="H15" s="4097">
        <f>SUMIF(I$12:AB$12,"总值",I15:AB15)</f>
        <v>0</v>
      </c>
      <c r="I15" s="4098"/>
      <c r="J15" s="4098"/>
      <c r="K15" s="4098"/>
      <c r="L15" s="4098"/>
      <c r="M15" s="4098"/>
      <c r="N15" s="4098"/>
      <c r="O15" s="4098"/>
      <c r="P15" s="4098"/>
      <c r="Q15" s="4098"/>
      <c r="R15" s="4098"/>
      <c r="S15" s="4098"/>
      <c r="T15" s="4098"/>
      <c r="U15" s="4098"/>
      <c r="V15" s="4098"/>
      <c r="W15" s="4098"/>
      <c r="X15" s="4098"/>
      <c r="Y15" s="4098"/>
      <c r="Z15" s="4098"/>
      <c r="AA15" s="4098"/>
      <c r="AB15" s="4098"/>
      <c r="AC15" s="3902">
        <f>SUMIF(AD$12:AS$12,"总值",AD15:AS15)</f>
        <v>0</v>
      </c>
      <c r="AD15" s="4099"/>
      <c r="AE15" s="4099"/>
      <c r="AF15" s="4099"/>
      <c r="AG15" s="4099"/>
      <c r="AH15" s="4099"/>
      <c r="AI15" s="4099"/>
      <c r="AJ15" s="4099"/>
      <c r="AK15" s="4099"/>
      <c r="AL15" s="4099"/>
      <c r="AM15" s="4099"/>
      <c r="AN15" s="4099"/>
      <c r="AO15" s="4099"/>
      <c r="AP15" s="4099"/>
      <c r="AQ15" s="4099"/>
      <c r="AR15" s="4099"/>
      <c r="AS15" s="4099"/>
      <c r="AT15" s="4100"/>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2" t="e">
        <f>IF($C$3="是",ROUND($A$3*G16/$B$3,2),ROUND($A$3*(G16-AT16)/$B$3,2))</f>
        <v>#DIV/0!</v>
      </c>
      <c r="F16" s="612"/>
      <c r="G16" s="4096">
        <f>H16+AC16+AT16</f>
        <v>0</v>
      </c>
      <c r="H16" s="4097">
        <f>SUMIF(I$12:AB$12,"总值",I16:AB16)</f>
        <v>0</v>
      </c>
      <c r="I16" s="4098"/>
      <c r="J16" s="4098"/>
      <c r="K16" s="4098"/>
      <c r="L16" s="4098"/>
      <c r="M16" s="4098"/>
      <c r="N16" s="4098"/>
      <c r="O16" s="4098"/>
      <c r="P16" s="4098"/>
      <c r="Q16" s="4098"/>
      <c r="R16" s="4098"/>
      <c r="S16" s="4098"/>
      <c r="T16" s="4098"/>
      <c r="U16" s="4098"/>
      <c r="V16" s="4098"/>
      <c r="W16" s="4098"/>
      <c r="X16" s="4098"/>
      <c r="Y16" s="4098"/>
      <c r="Z16" s="4098"/>
      <c r="AA16" s="4098"/>
      <c r="AB16" s="4098"/>
      <c r="AC16" s="3902">
        <f>SUMIF(AD$12:AS$12,"总值",AD16:AS16)</f>
        <v>0</v>
      </c>
      <c r="AD16" s="4099"/>
      <c r="AE16" s="4099"/>
      <c r="AF16" s="4099"/>
      <c r="AG16" s="4099"/>
      <c r="AH16" s="4099"/>
      <c r="AI16" s="4099"/>
      <c r="AJ16" s="4099"/>
      <c r="AK16" s="4099"/>
      <c r="AL16" s="4099"/>
      <c r="AM16" s="4099"/>
      <c r="AN16" s="4099"/>
      <c r="AO16" s="4099"/>
      <c r="AP16" s="4099"/>
      <c r="AQ16" s="4099"/>
      <c r="AR16" s="4099"/>
      <c r="AS16" s="4099"/>
      <c r="AT16" s="4100"/>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2" t="e">
        <f>IF($C$3="是",ROUND($A$3*G17/$B$3,2),ROUND($A$3*(G17-AT17)/$B$3,2))</f>
        <v>#DIV/0!</v>
      </c>
      <c r="F17" s="612"/>
      <c r="G17" s="4096">
        <f>H17+AC17+AT17</f>
        <v>0</v>
      </c>
      <c r="H17" s="4097">
        <f>SUMIF(I$12:AB$12,"总值",I17:AB17)</f>
        <v>0</v>
      </c>
      <c r="I17" s="4098"/>
      <c r="J17" s="4098"/>
      <c r="K17" s="4098"/>
      <c r="L17" s="4098"/>
      <c r="M17" s="4098"/>
      <c r="N17" s="4098"/>
      <c r="O17" s="4098"/>
      <c r="P17" s="4098"/>
      <c r="Q17" s="4098"/>
      <c r="R17" s="4098"/>
      <c r="S17" s="4098"/>
      <c r="T17" s="4098"/>
      <c r="U17" s="4098"/>
      <c r="V17" s="4098"/>
      <c r="W17" s="4098"/>
      <c r="X17" s="4098"/>
      <c r="Y17" s="4098"/>
      <c r="Z17" s="4098"/>
      <c r="AA17" s="4098"/>
      <c r="AB17" s="4098"/>
      <c r="AC17" s="3902">
        <f>SUMIF(AD$12:AS$12,"总值",AD17:AS17)</f>
        <v>0</v>
      </c>
      <c r="AD17" s="4099"/>
      <c r="AE17" s="4099"/>
      <c r="AF17" s="4099"/>
      <c r="AG17" s="4099"/>
      <c r="AH17" s="4099"/>
      <c r="AI17" s="4099"/>
      <c r="AJ17" s="4099"/>
      <c r="AK17" s="4099"/>
      <c r="AL17" s="4099"/>
      <c r="AM17" s="4099"/>
      <c r="AN17" s="4099"/>
      <c r="AO17" s="4099"/>
      <c r="AP17" s="4099"/>
      <c r="AQ17" s="4099"/>
      <c r="AR17" s="4099"/>
      <c r="AS17" s="4099"/>
      <c r="AT17" s="4100"/>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101">
        <f t="shared" ref="G18:G109" si="8">H18+AC18+AT18</f>
        <v>0</v>
      </c>
      <c r="H18" s="410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0</v>
      </c>
      <c r="AD18" s="4104"/>
      <c r="AE18" s="4104"/>
      <c r="AF18" s="4104"/>
      <c r="AG18" s="4104"/>
      <c r="AH18" s="4104"/>
      <c r="AI18" s="4104"/>
      <c r="AJ18" s="4104"/>
      <c r="AK18" s="4104"/>
      <c r="AL18" s="4104"/>
      <c r="AM18" s="4104"/>
      <c r="AN18" s="4104"/>
      <c r="AO18" s="4104"/>
      <c r="AP18" s="4104"/>
      <c r="AQ18" s="4104"/>
      <c r="AR18" s="4104"/>
      <c r="AS18" s="4104"/>
      <c r="AT18" s="4105"/>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101">
        <f t="shared" si="8"/>
        <v>0</v>
      </c>
      <c r="H19" s="410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101">
        <f t="shared" si="8"/>
        <v>0</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0</v>
      </c>
      <c r="AD20" s="4104"/>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101">
        <f t="shared" si="8"/>
        <v>0</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0</v>
      </c>
      <c r="AD21" s="4104"/>
      <c r="AE21" s="4104"/>
      <c r="AF21" s="4104"/>
      <c r="AG21" s="4104"/>
      <c r="AH21" s="4104"/>
      <c r="AI21" s="4104"/>
      <c r="AJ21" s="4104"/>
      <c r="AK21" s="4104"/>
      <c r="AL21" s="4104"/>
      <c r="AM21" s="4104"/>
      <c r="AN21" s="4104"/>
      <c r="AO21" s="4104"/>
      <c r="AP21" s="4104"/>
      <c r="AQ21" s="4104"/>
      <c r="AR21" s="4104"/>
      <c r="AS21" s="4104"/>
      <c r="AT21" s="4105"/>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101">
        <f t="shared" si="8"/>
        <v>0</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0</v>
      </c>
      <c r="AD22" s="4104"/>
      <c r="AE22" s="4104"/>
      <c r="AF22" s="4104"/>
      <c r="AG22" s="4104"/>
      <c r="AH22" s="4104"/>
      <c r="AI22" s="4104"/>
      <c r="AJ22" s="4104"/>
      <c r="AK22" s="4104"/>
      <c r="AL22" s="4104"/>
      <c r="AM22" s="4104"/>
      <c r="AN22" s="4104"/>
      <c r="AO22" s="4104"/>
      <c r="AP22" s="4104"/>
      <c r="AQ22" s="4104"/>
      <c r="AR22" s="4104"/>
      <c r="AS22" s="4104"/>
      <c r="AT22" s="4105"/>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 sqref="G2:G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4" t="s">
        <v>1114</v>
      </c>
      <c r="B2" s="4714"/>
      <c r="C2" s="4714"/>
      <c r="D2" s="549" t="s">
        <v>1090</v>
      </c>
      <c r="E2" s="1237" t="s">
        <v>1091</v>
      </c>
      <c r="F2" s="2092"/>
      <c r="G2" s="2085"/>
      <c r="H2" s="2086"/>
      <c r="I2" s="1821" t="s">
        <v>1115</v>
      </c>
      <c r="J2" s="2092"/>
      <c r="K2" s="2092"/>
      <c r="L2" s="2092"/>
      <c r="M2" s="2092"/>
      <c r="N2" s="2094"/>
      <c r="O2" s="2092"/>
      <c r="P2" s="2092"/>
    </row>
    <row r="3" spans="1:16" ht="15.75" thickBot="1">
      <c r="A3" s="4715" t="s">
        <v>1088</v>
      </c>
      <c r="B3" s="4715"/>
      <c r="C3" s="4715"/>
      <c r="D3" s="4136" t="e">
        <f>'数据-基础表'!AY6</f>
        <v>#DIV/0!</v>
      </c>
      <c r="E3" s="4136">
        <f>'数据-基础表'!AZ5</f>
        <v>0</v>
      </c>
      <c r="F3" s="2092"/>
      <c r="G3" s="805"/>
      <c r="H3" s="714" t="s">
        <v>1089</v>
      </c>
      <c r="I3" s="2828" t="e">
        <f>ROUND('数据-基础表'!B3/'数据-基础表'!A3,2)</f>
        <v>#DIV/0!</v>
      </c>
      <c r="J3" s="2092"/>
      <c r="K3" s="2092"/>
      <c r="L3" s="2092"/>
      <c r="M3" s="2092"/>
      <c r="N3" s="2094"/>
      <c r="O3" s="2092"/>
      <c r="P3" s="2092"/>
    </row>
    <row r="4" spans="1:16" ht="15">
      <c r="A4" s="4716"/>
      <c r="B4" s="4717"/>
      <c r="C4" s="471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19" t="s">
        <v>1093</v>
      </c>
      <c r="C5" s="4719"/>
      <c r="D5" s="4114" t="e">
        <f>ROUND($D$3*E5/$E$3,2)</f>
        <v>#DIV/0!</v>
      </c>
      <c r="E5" s="3971">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19" t="s">
        <v>1094</v>
      </c>
      <c r="C6" s="4719"/>
      <c r="D6" s="4114" t="e">
        <f>ROUND($D$3*E6/$E$3,2)</f>
        <v>#DIV/0!</v>
      </c>
      <c r="E6" s="3971">
        <f>E3-E5</f>
        <v>0</v>
      </c>
      <c r="F6" s="2092"/>
      <c r="G6" s="2088" t="s">
        <v>1095</v>
      </c>
      <c r="H6" s="806" t="s">
        <v>1096</v>
      </c>
      <c r="I6" s="2829" t="e">
        <f>ROUND(F31/D31,2)</f>
        <v>#DIV/0!</v>
      </c>
      <c r="J6" s="2092"/>
      <c r="K6" s="2092"/>
      <c r="L6" s="2092"/>
      <c r="M6" s="2092"/>
      <c r="N6" s="2092"/>
      <c r="O6" s="2092"/>
      <c r="P6" s="2092"/>
    </row>
    <row r="7" spans="1:16" ht="15.75" thickBot="1">
      <c r="A7" s="4711"/>
      <c r="B7" s="4712"/>
      <c r="C7" s="4713"/>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4" t="e">
        <f t="shared" ref="D8:D15" si="0">ROUND($D$3*E8/$E$3,2)</f>
        <v>#DIV/0!</v>
      </c>
      <c r="E8" s="3971">
        <f>SUMIF('数据-基础表'!BB10:BK10,"地上",'数据-基础表'!BB5:BK5)</f>
        <v>0</v>
      </c>
      <c r="F8" s="2092"/>
      <c r="G8" s="2093"/>
      <c r="H8" s="2093"/>
      <c r="I8" s="2092"/>
      <c r="J8" s="2092"/>
      <c r="K8" s="2092"/>
      <c r="L8" s="2092"/>
      <c r="M8" s="2092"/>
      <c r="N8" s="2092"/>
      <c r="O8" s="2092"/>
      <c r="P8" s="2092"/>
    </row>
    <row r="9" spans="1:16">
      <c r="A9" s="1244"/>
      <c r="B9" s="1245"/>
      <c r="C9" s="25" t="s">
        <v>1102</v>
      </c>
      <c r="D9" s="4114" t="e">
        <f t="shared" si="0"/>
        <v>#DIV/0!</v>
      </c>
      <c r="E9" s="4137"/>
      <c r="F9" s="2092"/>
      <c r="G9" s="2093"/>
      <c r="H9" s="2093"/>
      <c r="I9" s="2092"/>
      <c r="J9" s="2092"/>
      <c r="K9" s="2092"/>
      <c r="L9" s="2092"/>
      <c r="M9" s="2092"/>
      <c r="N9" s="2092"/>
      <c r="O9" s="2092"/>
      <c r="P9" s="2092"/>
    </row>
    <row r="10" spans="1:16">
      <c r="A10" s="1244"/>
      <c r="B10" s="1245"/>
      <c r="C10" s="25" t="s">
        <v>1111</v>
      </c>
      <c r="D10" s="4114" t="e">
        <f t="shared" si="0"/>
        <v>#DIV/0!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t="e">
        <f t="shared" si="0"/>
        <v>#DIV/0!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t="e">
        <f t="shared" si="0"/>
        <v>#DIV/0!</v>
      </c>
      <c r="E12" s="3971">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4" t="e">
        <f t="shared" si="0"/>
        <v>#DIV/0!</v>
      </c>
      <c r="E13" s="3971">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4" t="e">
        <f t="shared" si="0"/>
        <v>#DIV/0!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t="e">
        <f t="shared" si="0"/>
        <v>#DIV/0!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t="e">
        <f>SUM(D8:D15)</f>
        <v>#DIV/0!</v>
      </c>
      <c r="E16" s="4126">
        <f>SUM(E8:E15)</f>
        <v>0</v>
      </c>
      <c r="F16" s="2092"/>
      <c r="G16" s="2093"/>
      <c r="H16" s="1246" t="s">
        <v>1118</v>
      </c>
      <c r="I16" s="1247"/>
      <c r="J16" s="804"/>
      <c r="K16" s="4708" t="s">
        <v>1118</v>
      </c>
      <c r="L16" s="4709"/>
      <c r="M16" s="4709"/>
      <c r="N16" s="4709"/>
      <c r="O16" s="4709"/>
      <c r="P16" s="4710"/>
    </row>
    <row r="17" spans="1:19" ht="15">
      <c r="A17" s="1248" t="s">
        <v>1119</v>
      </c>
      <c r="B17" s="1249" t="s">
        <v>1120</v>
      </c>
      <c r="C17" s="1250" t="s">
        <v>1121</v>
      </c>
      <c r="D17" s="1251" t="s">
        <v>1109</v>
      </c>
      <c r="E17" s="1252" t="s">
        <v>1110</v>
      </c>
      <c r="F17" s="1253"/>
      <c r="G17" s="1254"/>
      <c r="H17" s="1255" t="s">
        <v>1122</v>
      </c>
      <c r="I17" s="1256" t="s">
        <v>1107</v>
      </c>
      <c r="J17" s="804"/>
      <c r="K17" s="4705" t="s">
        <v>1123</v>
      </c>
      <c r="L17" s="4706"/>
      <c r="M17" s="4707"/>
      <c r="N17" s="4705" t="s">
        <v>1124</v>
      </c>
      <c r="O17" s="4706"/>
      <c r="P17" s="470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4" t="e">
        <f>ROUND($D$3*E19/$E$3,2)</f>
        <v>#DIV/0!</v>
      </c>
      <c r="E19" s="4114">
        <f t="shared" ref="E19:E26" si="1">SUM(F19:G19)</f>
        <v>0</v>
      </c>
      <c r="F19" s="4115"/>
      <c r="G19" s="3941"/>
      <c r="H19" s="4116" t="e">
        <f>ROUND($D$3*I19/$E$3,2)</f>
        <v>#DIV/0!</v>
      </c>
      <c r="I19" s="3971" t="e">
        <f t="shared" ref="I19:I26" si="2">IF($I$17="自定义",P19,M19)</f>
        <v>#DIV/0!</v>
      </c>
      <c r="J19" s="804"/>
      <c r="K19" s="4116" t="e">
        <f t="shared" ref="K19:K26" si="3">ROUND(E$28*E19/E$27,2)</f>
        <v>#DIV/0!</v>
      </c>
      <c r="L19" s="4114">
        <f t="shared" ref="L19:L26" si="4">ROUND(IF(COUNTIF(C19,"*住宅*")&gt;0,E$29*E19/E$32,0),2)</f>
        <v>0</v>
      </c>
      <c r="M19" s="3971" t="e">
        <f>K19+L19</f>
        <v>#DIV/0!</v>
      </c>
      <c r="N19" s="4130"/>
      <c r="O19" s="4131"/>
      <c r="P19" s="3971">
        <f>N19+O19</f>
        <v>0</v>
      </c>
      <c r="Q19" s="4132"/>
      <c r="R19" s="4114" t="e">
        <f t="shared" ref="R19:S26" si="5">D19+H19</f>
        <v>#DIV/0!</v>
      </c>
      <c r="S19" s="4114" t="e">
        <f t="shared" si="5"/>
        <v>#DIV/0!</v>
      </c>
    </row>
    <row r="20" spans="1:19">
      <c r="A20" s="1266"/>
      <c r="B20" s="26" t="s">
        <v>1136</v>
      </c>
      <c r="C20" s="2694"/>
      <c r="D20" s="4114" t="e">
        <f t="shared" ref="D20:D26" si="6">ROUND($D$3*E20/$E$3,2)</f>
        <v>#DIV/0!</v>
      </c>
      <c r="E20" s="4114">
        <f t="shared" si="1"/>
        <v>0</v>
      </c>
      <c r="F20" s="4115"/>
      <c r="G20" s="3941"/>
      <c r="H20" s="4116" t="e">
        <f t="shared" ref="H20:H26" si="7">ROUND($D$3*I20/$E$3,2)</f>
        <v>#DIV/0!</v>
      </c>
      <c r="I20" s="3971" t="e">
        <f t="shared" si="2"/>
        <v>#DIV/0!</v>
      </c>
      <c r="J20" s="804"/>
      <c r="K20" s="4116" t="e">
        <f t="shared" si="3"/>
        <v>#DIV/0!</v>
      </c>
      <c r="L20" s="4114">
        <f t="shared" si="4"/>
        <v>0</v>
      </c>
      <c r="M20" s="3971" t="e">
        <f t="shared" ref="M20:M26" si="8">K20+L20</f>
        <v>#DIV/0!</v>
      </c>
      <c r="N20" s="4130"/>
      <c r="O20" s="4131"/>
      <c r="P20" s="3971">
        <f t="shared" ref="P20:P26" si="9">N20+O20</f>
        <v>0</v>
      </c>
      <c r="Q20" s="4132"/>
      <c r="R20" s="4114" t="e">
        <f t="shared" si="5"/>
        <v>#DIV/0!</v>
      </c>
      <c r="S20" s="4114" t="e">
        <f t="shared" si="5"/>
        <v>#DIV/0!</v>
      </c>
    </row>
    <row r="21" spans="1:19">
      <c r="A21" s="1266"/>
      <c r="B21" s="26" t="s">
        <v>1136</v>
      </c>
      <c r="C21" s="2694"/>
      <c r="D21" s="4114" t="e">
        <f t="shared" si="6"/>
        <v>#DIV/0!</v>
      </c>
      <c r="E21" s="4114">
        <f t="shared" si="1"/>
        <v>0</v>
      </c>
      <c r="F21" s="4115"/>
      <c r="G21" s="3941"/>
      <c r="H21" s="4116" t="e">
        <f t="shared" si="7"/>
        <v>#DIV/0!</v>
      </c>
      <c r="I21" s="3971" t="e">
        <f t="shared" si="2"/>
        <v>#DIV/0!</v>
      </c>
      <c r="J21" s="804"/>
      <c r="K21" s="4116" t="e">
        <f t="shared" si="3"/>
        <v>#DIV/0!</v>
      </c>
      <c r="L21" s="4114">
        <f t="shared" si="4"/>
        <v>0</v>
      </c>
      <c r="M21" s="3971" t="e">
        <f t="shared" si="8"/>
        <v>#DIV/0!</v>
      </c>
      <c r="N21" s="4130"/>
      <c r="O21" s="4131"/>
      <c r="P21" s="3971">
        <f t="shared" si="9"/>
        <v>0</v>
      </c>
      <c r="Q21" s="4132"/>
      <c r="R21" s="4114" t="e">
        <f t="shared" si="5"/>
        <v>#DIV/0!</v>
      </c>
      <c r="S21" s="4114" t="e">
        <f t="shared" si="5"/>
        <v>#DIV/0!</v>
      </c>
    </row>
    <row r="22" spans="1:19">
      <c r="A22" s="1266"/>
      <c r="B22" s="26" t="s">
        <v>1136</v>
      </c>
      <c r="C22" s="2695"/>
      <c r="D22" s="4114" t="e">
        <f t="shared" si="6"/>
        <v>#DIV/0!</v>
      </c>
      <c r="E22" s="4114">
        <f t="shared" si="1"/>
        <v>0</v>
      </c>
      <c r="F22" s="4117"/>
      <c r="G22" s="4118"/>
      <c r="H22" s="4116" t="e">
        <f t="shared" si="7"/>
        <v>#DIV/0!</v>
      </c>
      <c r="I22" s="3971" t="e">
        <f t="shared" si="2"/>
        <v>#DIV/0!</v>
      </c>
      <c r="J22" s="804"/>
      <c r="K22" s="4116" t="e">
        <f t="shared" si="3"/>
        <v>#DIV/0!</v>
      </c>
      <c r="L22" s="4114">
        <f t="shared" si="4"/>
        <v>0</v>
      </c>
      <c r="M22" s="3971" t="e">
        <f t="shared" si="8"/>
        <v>#DIV/0!</v>
      </c>
      <c r="N22" s="4130"/>
      <c r="O22" s="4131"/>
      <c r="P22" s="3971">
        <f t="shared" si="9"/>
        <v>0</v>
      </c>
      <c r="Q22" s="4132"/>
      <c r="R22" s="4114" t="e">
        <f t="shared" si="5"/>
        <v>#DIV/0!</v>
      </c>
      <c r="S22" s="4114" t="e">
        <f t="shared" si="5"/>
        <v>#DIV/0!</v>
      </c>
    </row>
    <row r="23" spans="1:19">
      <c r="A23" s="1266"/>
      <c r="B23" s="26" t="s">
        <v>1136</v>
      </c>
      <c r="C23" s="2695"/>
      <c r="D23" s="4114" t="e">
        <f>ROUND($D$3*E23/$E$3,2)</f>
        <v>#DIV/0!</v>
      </c>
      <c r="E23" s="4114">
        <f>SUM(F23:G23)</f>
        <v>0</v>
      </c>
      <c r="F23" s="4117"/>
      <c r="G23" s="4118"/>
      <c r="H23" s="4116" t="e">
        <f>ROUND($D$3*I23/$E$3,2)</f>
        <v>#DIV/0!</v>
      </c>
      <c r="I23" s="3971" t="e">
        <f t="shared" si="2"/>
        <v>#DIV/0!</v>
      </c>
      <c r="J23" s="804"/>
      <c r="K23" s="4116" t="e">
        <f t="shared" si="3"/>
        <v>#DIV/0!</v>
      </c>
      <c r="L23" s="4114">
        <f t="shared" si="4"/>
        <v>0</v>
      </c>
      <c r="M23" s="3971" t="e">
        <f t="shared" si="8"/>
        <v>#DIV/0!</v>
      </c>
      <c r="N23" s="4130"/>
      <c r="O23" s="4131"/>
      <c r="P23" s="3971">
        <f t="shared" si="9"/>
        <v>0</v>
      </c>
      <c r="Q23" s="4132"/>
      <c r="R23" s="4114" t="e">
        <f t="shared" si="5"/>
        <v>#DIV/0!</v>
      </c>
      <c r="S23" s="4114" t="e">
        <f t="shared" si="5"/>
        <v>#DIV/0!</v>
      </c>
    </row>
    <row r="24" spans="1:19">
      <c r="A24" s="1266"/>
      <c r="B24" s="26" t="s">
        <v>1136</v>
      </c>
      <c r="C24" s="2695"/>
      <c r="D24" s="4114" t="e">
        <f>ROUND($D$3*E24/$E$3,2)</f>
        <v>#DIV/0!</v>
      </c>
      <c r="E24" s="4114">
        <f>SUM(F24:G24)</f>
        <v>0</v>
      </c>
      <c r="F24" s="4117"/>
      <c r="G24" s="4118"/>
      <c r="H24" s="4116" t="e">
        <f>ROUND($D$3*I24/$E$3,2)</f>
        <v>#DIV/0!</v>
      </c>
      <c r="I24" s="3971" t="e">
        <f t="shared" si="2"/>
        <v>#DIV/0!</v>
      </c>
      <c r="J24" s="804"/>
      <c r="K24" s="4116" t="e">
        <f t="shared" si="3"/>
        <v>#DIV/0!</v>
      </c>
      <c r="L24" s="4114">
        <f t="shared" si="4"/>
        <v>0</v>
      </c>
      <c r="M24" s="3971" t="e">
        <f t="shared" si="8"/>
        <v>#DIV/0!</v>
      </c>
      <c r="N24" s="4130"/>
      <c r="O24" s="4131"/>
      <c r="P24" s="3971">
        <f t="shared" si="9"/>
        <v>0</v>
      </c>
      <c r="Q24" s="4132"/>
      <c r="R24" s="4114" t="e">
        <f t="shared" si="5"/>
        <v>#DIV/0!</v>
      </c>
      <c r="S24" s="4114" t="e">
        <f t="shared" si="5"/>
        <v>#DIV/0!</v>
      </c>
    </row>
    <row r="25" spans="1:19">
      <c r="A25" s="1266"/>
      <c r="B25" s="26" t="s">
        <v>1136</v>
      </c>
      <c r="C25" s="2695"/>
      <c r="D25" s="4114" t="e">
        <f t="shared" si="6"/>
        <v>#DIV/0!</v>
      </c>
      <c r="E25" s="4114">
        <f t="shared" si="1"/>
        <v>0</v>
      </c>
      <c r="F25" s="4117"/>
      <c r="G25" s="4118"/>
      <c r="H25" s="4119" t="e">
        <f t="shared" si="7"/>
        <v>#DIV/0!</v>
      </c>
      <c r="I25" s="3971" t="e">
        <f t="shared" si="2"/>
        <v>#DIV/0!</v>
      </c>
      <c r="J25" s="804"/>
      <c r="K25" s="4116" t="e">
        <f t="shared" si="3"/>
        <v>#DIV/0!</v>
      </c>
      <c r="L25" s="4114">
        <f t="shared" si="4"/>
        <v>0</v>
      </c>
      <c r="M25" s="3971" t="e">
        <f t="shared" si="8"/>
        <v>#DIV/0!</v>
      </c>
      <c r="N25" s="4130"/>
      <c r="O25" s="4131"/>
      <c r="P25" s="3971">
        <f t="shared" si="9"/>
        <v>0</v>
      </c>
      <c r="Q25" s="4132"/>
      <c r="R25" s="4114" t="e">
        <f t="shared" si="5"/>
        <v>#DIV/0!</v>
      </c>
      <c r="S25" s="4114" t="e">
        <f t="shared" si="5"/>
        <v>#DIV/0!</v>
      </c>
    </row>
    <row r="26" spans="1:19">
      <c r="A26" s="1266"/>
      <c r="B26" s="26" t="s">
        <v>1136</v>
      </c>
      <c r="C26" s="29"/>
      <c r="D26" s="4114" t="e">
        <f t="shared" si="6"/>
        <v>#DIV/0!</v>
      </c>
      <c r="E26" s="4114">
        <f t="shared" si="1"/>
        <v>0</v>
      </c>
      <c r="F26" s="4117"/>
      <c r="G26" s="4118"/>
      <c r="H26" s="4119" t="e">
        <f t="shared" si="7"/>
        <v>#DIV/0!</v>
      </c>
      <c r="I26" s="3971" t="e">
        <f t="shared" si="2"/>
        <v>#DIV/0!</v>
      </c>
      <c r="J26" s="804"/>
      <c r="K26" s="4119" t="e">
        <f t="shared" si="3"/>
        <v>#DIV/0!</v>
      </c>
      <c r="L26" s="3913">
        <f t="shared" si="4"/>
        <v>0</v>
      </c>
      <c r="M26" s="4126" t="e">
        <f t="shared" si="8"/>
        <v>#DIV/0!</v>
      </c>
      <c r="N26" s="4133"/>
      <c r="O26" s="4134"/>
      <c r="P26" s="4126">
        <f t="shared" si="9"/>
        <v>0</v>
      </c>
      <c r="Q26" s="4132"/>
      <c r="R26" s="4114" t="e">
        <f t="shared" si="5"/>
        <v>#DIV/0!</v>
      </c>
      <c r="S26" s="4114" t="e">
        <f t="shared" si="5"/>
        <v>#DIV/0!</v>
      </c>
    </row>
    <row r="27" spans="1:19" ht="15.75" thickBot="1">
      <c r="A27" s="1266"/>
      <c r="B27" s="25"/>
      <c r="C27" s="1267" t="s">
        <v>1137</v>
      </c>
      <c r="D27" s="4120" t="e">
        <f>SUM(D19:D26)</f>
        <v>#DIV/0!</v>
      </c>
      <c r="E27" s="4120">
        <f>IF(SUM(E19:E26)='数据-基础表'!BA5,SUM(E19:E26),IF(F27="地上面积有误","面积有误","地下面积有误"))</f>
        <v>0</v>
      </c>
      <c r="F27" s="4120">
        <f>IF(SUM(F19:F26)=E8,SUM(F19:F26),"地上面积有误")</f>
        <v>0</v>
      </c>
      <c r="G27" s="3968">
        <f>SUM(G19:G26)</f>
        <v>0</v>
      </c>
      <c r="H27" s="4121" t="e">
        <f>SUM(H19:H26)</f>
        <v>#DIV/0!</v>
      </c>
      <c r="I27" s="4122" t="e">
        <f>SUM(I19:I26)</f>
        <v>#DIV/0!</v>
      </c>
      <c r="J27" s="804"/>
      <c r="K27" s="4121" t="e">
        <f>SUM(K19:K26)</f>
        <v>#DIV/0!</v>
      </c>
      <c r="L27" s="4128">
        <f>SUM(L19:L26)</f>
        <v>0</v>
      </c>
      <c r="M27" s="4129" t="e">
        <f>SUM(M19:M26)</f>
        <v>#DIV/0!</v>
      </c>
      <c r="N27" s="4121">
        <f t="shared" ref="N27:O27" si="10">SUM(N19:N26)</f>
        <v>0</v>
      </c>
      <c r="O27" s="4128">
        <f t="shared" si="10"/>
        <v>0</v>
      </c>
      <c r="P27" s="3919">
        <f>SUM(P19:P26)</f>
        <v>0</v>
      </c>
      <c r="Q27" s="4132"/>
      <c r="R27" s="4135" t="e">
        <f>IF(SUM(R19:R26)=$D$3,SUM(R19:R26),SUM(R19:R26)&amp;"误差"&amp;ROUND(SUM(R19:R26)-$D$3,2))</f>
        <v>#DIV/0!</v>
      </c>
      <c r="S27" s="4114" t="e">
        <f>IF(SUM(S19:S26)=$E$3,SUM(S19:S26),SUM(S19:S26)&amp;"误差"&amp;ROUND(SUM(S19:S26)-E3,2))</f>
        <v>#DIV/0!</v>
      </c>
    </row>
    <row r="28" spans="1:19">
      <c r="A28" s="1266"/>
      <c r="B28" s="26" t="s">
        <v>1138</v>
      </c>
      <c r="C28" s="719" t="s">
        <v>1139</v>
      </c>
      <c r="D28" s="4114" t="e">
        <f>ROUND($D$3*E28/$E$3,2)</f>
        <v>#DIV/0!</v>
      </c>
      <c r="E28" s="4114">
        <f>SUM(F28:G28)</f>
        <v>0</v>
      </c>
      <c r="F28" s="4077">
        <f>'数据-基础表'!BQ5+'数据-基础表'!BS5</f>
        <v>0</v>
      </c>
      <c r="G28" s="4123">
        <f>'数据-基础表'!BR5+'数据-基础表'!BT5</f>
        <v>0</v>
      </c>
      <c r="H28" s="4124"/>
      <c r="I28" s="4124"/>
      <c r="J28" s="2092"/>
      <c r="K28" s="2092"/>
      <c r="L28" s="2092"/>
      <c r="M28" s="2092"/>
      <c r="N28" s="2092"/>
      <c r="O28" s="2092"/>
      <c r="P28" s="2092"/>
    </row>
    <row r="29" spans="1:19">
      <c r="A29" s="1266"/>
      <c r="B29" s="26" t="s">
        <v>1138</v>
      </c>
      <c r="C29" s="1268" t="s">
        <v>1140</v>
      </c>
      <c r="D29" s="4114" t="e">
        <f>ROUND($D$3*E29/$E$3,2)</f>
        <v>#DIV/0!</v>
      </c>
      <c r="E29" s="4114">
        <f>SUM(F29:G29)</f>
        <v>0</v>
      </c>
      <c r="F29" s="4125">
        <f>'数据-基础表'!BM5+'数据-基础表'!BO5</f>
        <v>0</v>
      </c>
      <c r="G29" s="4126">
        <f>'数据-基础表'!BN5+'数据-基础表'!BP5</f>
        <v>0</v>
      </c>
      <c r="H29" s="4124"/>
      <c r="I29" s="4124"/>
      <c r="J29" s="2092"/>
      <c r="K29" s="2092"/>
      <c r="L29" s="2092"/>
      <c r="M29" s="2092"/>
      <c r="N29" s="2092"/>
      <c r="O29" s="2092"/>
      <c r="P29" s="2092"/>
    </row>
    <row r="30" spans="1:19" ht="15">
      <c r="A30" s="1266"/>
      <c r="B30" s="26"/>
      <c r="C30" s="1269" t="s">
        <v>1137</v>
      </c>
      <c r="D30" s="4120" t="e">
        <f>SUM(D28:D29)</f>
        <v>#DIV/0!</v>
      </c>
      <c r="E30" s="4120">
        <f>SUM(E28:E29)</f>
        <v>0</v>
      </c>
      <c r="F30" s="4120">
        <f>SUM(F28:F29)</f>
        <v>0</v>
      </c>
      <c r="G30" s="3968">
        <f>SUM(G28:G29)</f>
        <v>0</v>
      </c>
      <c r="H30" s="4124"/>
      <c r="I30" s="4124"/>
      <c r="J30" s="2092"/>
      <c r="K30" s="2092"/>
      <c r="L30" s="2092"/>
      <c r="M30" s="2092"/>
      <c r="N30" s="2092"/>
      <c r="O30" s="2092"/>
      <c r="P30" s="2092"/>
    </row>
    <row r="31" spans="1:19" ht="15.75" thickBot="1">
      <c r="A31" s="1270"/>
      <c r="B31" s="1271"/>
      <c r="C31" s="564" t="s">
        <v>1141</v>
      </c>
      <c r="D31" s="4127" t="e">
        <f>D27+D30</f>
        <v>#DIV/0!</v>
      </c>
      <c r="E31" s="4127">
        <f>E27+E30</f>
        <v>0</v>
      </c>
      <c r="F31" s="4128">
        <f>F27+F30</f>
        <v>0</v>
      </c>
      <c r="G31" s="4129">
        <f>G27+G30</f>
        <v>0</v>
      </c>
      <c r="H31" s="4124"/>
      <c r="I31" s="4124"/>
      <c r="J31" s="2092"/>
      <c r="K31" s="2092"/>
      <c r="L31" s="2092"/>
      <c r="M31" s="2092"/>
      <c r="N31" s="2092"/>
      <c r="O31" s="2092"/>
      <c r="P31" s="2092"/>
    </row>
    <row r="32" spans="1:19">
      <c r="A32" s="1241"/>
      <c r="B32" s="1241" t="s">
        <v>1142</v>
      </c>
      <c r="C32" s="1241"/>
      <c r="D32" s="3912"/>
      <c r="E32" s="3912">
        <f>SUMIF(C19:C26,"*住宅*",E19:E26)</f>
        <v>0</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G2" sqref="G2:G5"/>
      <selection pane="topRight" activeCell="G2" sqref="G2:G5"/>
      <selection pane="bottomLeft" activeCell="G2" sqref="G2:G5"/>
      <selection pane="bottomRight" activeCell="G2" sqref="G2:G5"/>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46063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8">
        <f>SUMIF('数据-汇总表'!C$19:C$33,A6,'数据-汇总表'!E$19:E$33)</f>
        <v>0</v>
      </c>
      <c r="L6" s="4139"/>
      <c r="M6" s="4140">
        <f t="shared" ref="M6:M14" si="1">ROUND(K6*L6/10000,0)</f>
        <v>0</v>
      </c>
      <c r="N6" s="3546"/>
      <c r="O6" s="4140">
        <f>IF($N$5="成新度","——",ROUND(M6*N6,0))</f>
        <v>0</v>
      </c>
      <c r="P6" s="3921">
        <f>IF($N$5="成新度","——",M6-O6)</f>
        <v>0</v>
      </c>
      <c r="Q6" s="3547"/>
      <c r="R6" s="4156">
        <f ca="1">SUMIF('数据-汇总表'!C$19:C$33,A6,'数据-汇总表'!R$19:R$27)</f>
        <v>0</v>
      </c>
      <c r="S6" s="4114">
        <f>IF('数据-汇总表'!$I$17="按面积比例",SUMIF('数据-汇总表'!C$19:C$33,A6,'数据-汇总表'!K$19:K$33),SUMIF('数据-汇总表'!C$19:C$33,A6,'数据-汇总表'!N$19:N$33))</f>
        <v>0</v>
      </c>
      <c r="T6" s="4157">
        <f>ROUND($L$14*S6/10000,0)</f>
        <v>0</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0</v>
      </c>
      <c r="AQ6" s="4114">
        <f>ROUND($L$14*$N$14*S6/10000,0)</f>
        <v>0</v>
      </c>
      <c r="AR6" s="4114">
        <f>ROUND($L$14*(1-$N$14)*S6/10000,0)</f>
        <v>0</v>
      </c>
      <c r="AS6" s="4114">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8">
        <f>SUMIF('数据-汇总表'!C$19:C$33,A7,'数据-汇总表'!E$19:E$33)</f>
        <v>0</v>
      </c>
      <c r="L7" s="4139"/>
      <c r="M7" s="4140">
        <f t="shared" si="1"/>
        <v>0</v>
      </c>
      <c r="N7" s="3546"/>
      <c r="O7" s="4140">
        <f t="shared" ref="O7:O14" si="3">IF($N$5="成新度","——",ROUND(M7*N7,0))</f>
        <v>0</v>
      </c>
      <c r="P7" s="3921">
        <f t="shared" ref="P7:P14" si="4">IF($N$5="成新度","——",M7-O7)</f>
        <v>0</v>
      </c>
      <c r="Q7" s="3547"/>
      <c r="R7" s="4156">
        <f ca="1">SUMIF('数据-汇总表'!C$19:C$33,A7,'数据-汇总表'!R$19:R$27)</f>
        <v>0</v>
      </c>
      <c r="S7" s="4114">
        <f>IF('数据-汇总表'!$I$17="按面积比例",SUMIF('数据-汇总表'!C$19:C$33,A7,'数据-汇总表'!K$19:K$33),SUMIF('数据-汇总表'!C$19:C$33,A7,'数据-汇总表'!N$19:N$33))</f>
        <v>0</v>
      </c>
      <c r="T7" s="4157">
        <f t="shared" ref="T7:T13" si="5">ROUND($L$14*S7/10000,0)</f>
        <v>0</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8">
        <f>SUMIF('数据-汇总表'!C$19:C$33,A8,'数据-汇总表'!E$19:E$33)</f>
        <v>0</v>
      </c>
      <c r="L8" s="4139"/>
      <c r="M8" s="4140">
        <f>ROUND(K8*L8/10000,0)</f>
        <v>0</v>
      </c>
      <c r="N8" s="3546"/>
      <c r="O8" s="4140">
        <f t="shared" si="3"/>
        <v>0</v>
      </c>
      <c r="P8" s="3921">
        <f t="shared" si="4"/>
        <v>0</v>
      </c>
      <c r="Q8" s="3547"/>
      <c r="R8" s="4156">
        <f ca="1">SUMIF('数据-汇总表'!C$19:C$33,A8,'数据-汇总表'!R$19:R$27)</f>
        <v>0</v>
      </c>
      <c r="S8" s="4114">
        <f>IF('数据-汇总表'!$I$17="按面积比例",SUMIF('数据-汇总表'!C$19:C$33,A8,'数据-汇总表'!K$19:K$33),SUMIF('数据-汇总表'!C$19:C$33,A8,'数据-汇总表'!N$19:N$33))</f>
        <v>0</v>
      </c>
      <c r="T8" s="4157">
        <f t="shared" si="5"/>
        <v>0</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0</v>
      </c>
      <c r="AS8" s="4114">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8">
        <f>SUMIF('数据-汇总表'!C$19:C$33,A9,'数据-汇总表'!E$19:E$33)</f>
        <v>0</v>
      </c>
      <c r="L9" s="4139"/>
      <c r="M9" s="4140">
        <f t="shared" si="1"/>
        <v>0</v>
      </c>
      <c r="N9" s="3546"/>
      <c r="O9" s="4140">
        <f t="shared" si="3"/>
        <v>0</v>
      </c>
      <c r="P9" s="3921">
        <f t="shared" si="4"/>
        <v>0</v>
      </c>
      <c r="Q9" s="3548"/>
      <c r="R9" s="4156">
        <f ca="1">SUMIF('数据-汇总表'!C$19:C$33,A9,'数据-汇总表'!R$19:R$27)</f>
        <v>0</v>
      </c>
      <c r="S9" s="4114">
        <f>IF('数据-汇总表'!$I$17="按面积比例",SUMIF('数据-汇总表'!C$19:C$33,A9,'数据-汇总表'!K$19:K$33),SUMIF('数据-汇总表'!C$19:C$33,A9,'数据-汇总表'!N$19:N$33))</f>
        <v>0</v>
      </c>
      <c r="T9" s="4157">
        <f t="shared" si="5"/>
        <v>0</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0</v>
      </c>
      <c r="AS9" s="4114">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0</v>
      </c>
      <c r="L14" s="4141"/>
      <c r="M14" s="4140">
        <f t="shared" si="1"/>
        <v>0</v>
      </c>
      <c r="N14" s="3549"/>
      <c r="O14" s="4140">
        <f t="shared" si="3"/>
        <v>0</v>
      </c>
      <c r="P14" s="3921">
        <f t="shared" si="4"/>
        <v>0</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0</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2">
        <f>SUM(K6:K15)</f>
        <v>0</v>
      </c>
      <c r="L16" s="4143" t="e">
        <f>ROUND(M16*10000/SUM(K6:K14),0)</f>
        <v>#DIV/0!</v>
      </c>
      <c r="M16" s="4143">
        <f>SUM(M6:M14)</f>
        <v>0</v>
      </c>
      <c r="N16" s="3552" t="e">
        <f>ROUND(SUMPRODUCT(M6:M14,N6:N14)/M16,3)</f>
        <v>#DIV/0!</v>
      </c>
      <c r="O16" s="4143">
        <f>SUM(O6:O14)</f>
        <v>0</v>
      </c>
      <c r="P16" s="4143">
        <f>SUM(P6:P14)</f>
        <v>0</v>
      </c>
      <c r="Q16" s="3553" t="e">
        <f>ROUND(SUMPRODUCT(Q6:Q13,K6:K13)/SUMPRODUCT((Q6:Q13&gt;0)*(K6:K13)),2)</f>
        <v>#DIV/0!</v>
      </c>
      <c r="R16" s="4158">
        <f ca="1">SUM(R6:R13)</f>
        <v>0</v>
      </c>
      <c r="S16" s="4159">
        <f>SUM(S6:S13)</f>
        <v>0</v>
      </c>
      <c r="T16" s="4160">
        <f>IF(SUMIF(T6:T13,"&lt;9E307")=M14,SUMIF(T6:T13,"&lt;9E307"),"有误，请检查")</f>
        <v>0</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2198</v>
      </c>
      <c r="D19" s="4272"/>
      <c r="E19" s="4273"/>
      <c r="F19" s="4273"/>
      <c r="G19" s="4273"/>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c r="C20" s="4274" t="s">
        <v>3850</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c r="C27" s="4322" t="s">
        <v>2199</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3849</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c r="C30" s="4329" t="s">
        <v>3977</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3814</v>
      </c>
      <c r="B33" s="4259"/>
      <c r="C33" s="4313" t="s">
        <v>3842</v>
      </c>
      <c r="D33" s="4272"/>
      <c r="E33" s="4273"/>
      <c r="F33" s="4273"/>
      <c r="G33" s="4273"/>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c r="C34" s="4274" t="s">
        <v>3844</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c r="C35" s="4276" t="s">
        <v>3846</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3293</v>
      </c>
      <c r="B36" s="3565"/>
      <c r="C36" s="4314" t="s">
        <v>3845</v>
      </c>
      <c r="D36" s="4277"/>
      <c r="E36" s="4278"/>
      <c r="F36" s="4278"/>
      <c r="G36" s="4273"/>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3294</v>
      </c>
      <c r="B37" s="3566"/>
      <c r="C37" s="4276" t="s">
        <v>3843</v>
      </c>
      <c r="D37" s="4272"/>
      <c r="E37" s="4273"/>
      <c r="F37" s="4273"/>
      <c r="G37" s="4273"/>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4" t="s">
        <v>3269</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4" t="s">
        <v>3847</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4" t="s">
        <v>3270</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3" t="s">
        <v>3851</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3" t="s">
        <v>3852</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2200</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3" t="s">
        <v>3853</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3" t="s">
        <v>3854</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3855</v>
      </c>
      <c r="D54" s="4327"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2" sqref="G2:G5"/>
      <selection pane="topRight" activeCell="G2" sqref="G2:G5"/>
      <selection pane="bottomLeft" activeCell="G2" sqref="G2:G5"/>
      <selection pane="bottomRight" activeCell="G2" sqref="G2:G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0" t="s">
        <v>2190</v>
      </c>
      <c r="B1" s="4721"/>
      <c r="C1" s="4721"/>
      <c r="D1" s="4721"/>
      <c r="E1" s="4721"/>
      <c r="F1" s="4721"/>
      <c r="G1" s="472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15" sqref="D15"/>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119.41</v>
      </c>
      <c r="C1" s="2117"/>
      <c r="D1" s="2117"/>
      <c r="E1" s="2117"/>
      <c r="F1" s="2117"/>
      <c r="G1" s="2118"/>
      <c r="H1" s="2119"/>
      <c r="I1" s="2119"/>
      <c r="J1" s="2119"/>
      <c r="K1" s="2119"/>
    </row>
    <row r="2" spans="1:11" ht="16.5">
      <c r="A2" s="1999" t="s">
        <v>641</v>
      </c>
      <c r="B2" s="3909">
        <f>SUM(C14:C23)</f>
        <v>0</v>
      </c>
      <c r="C2" s="2117"/>
      <c r="D2" s="2117"/>
      <c r="E2" s="2117"/>
      <c r="F2" s="2117"/>
      <c r="G2" s="2118"/>
      <c r="H2" s="2119"/>
      <c r="I2" s="2119"/>
      <c r="J2" s="2119"/>
      <c r="K2" s="2119"/>
    </row>
    <row r="3" spans="1:11" ht="16.5">
      <c r="A3" s="1999" t="s">
        <v>650</v>
      </c>
      <c r="B3" s="2001">
        <f>项目基本情况!D3</f>
        <v>46063</v>
      </c>
      <c r="C3" s="2117"/>
      <c r="D3" s="2117"/>
      <c r="E3" s="2117"/>
      <c r="F3" s="2117"/>
      <c r="G3" s="2118"/>
      <c r="H3" s="2119"/>
      <c r="I3" s="2119"/>
      <c r="J3" s="2119"/>
      <c r="K3" s="2119"/>
    </row>
    <row r="4" spans="1:11" ht="33">
      <c r="A4" s="1999" t="s">
        <v>649</v>
      </c>
      <c r="B4" s="1999" t="s">
        <v>648</v>
      </c>
      <c r="C4" s="1999" t="s">
        <v>647</v>
      </c>
      <c r="D4" s="1999" t="s">
        <v>646</v>
      </c>
      <c r="E4" s="2117" t="s">
        <v>4068</v>
      </c>
      <c r="F4" s="2118"/>
      <c r="G4" s="2118"/>
      <c r="H4" s="2119"/>
      <c r="I4" s="2119"/>
      <c r="J4" s="2119"/>
      <c r="K4" s="2119"/>
    </row>
    <row r="5" spans="1:11" ht="16.5">
      <c r="A5" s="1999" t="s">
        <v>645</v>
      </c>
      <c r="B5" s="3909">
        <f>SUM(D14:D23)</f>
        <v>209.684</v>
      </c>
      <c r="C5" s="3909">
        <f>ROUND(B5*10000/$B$1,0)</f>
        <v>17560</v>
      </c>
      <c r="D5" s="3909" t="e">
        <f>ROUND(B5*10000/$B$2,0)</f>
        <v>#DIV/0!</v>
      </c>
      <c r="E5" s="2117" t="s">
        <v>4066</v>
      </c>
      <c r="F5" s="2118">
        <v>17560</v>
      </c>
      <c r="G5" s="2118"/>
      <c r="H5" s="2119"/>
      <c r="I5" s="2119"/>
      <c r="J5" s="2119"/>
      <c r="K5" s="2119"/>
    </row>
    <row r="6" spans="1:11" ht="16.5">
      <c r="A6" s="1999" t="s">
        <v>644</v>
      </c>
      <c r="B6" s="3909">
        <f>SUM(G14:G23)</f>
        <v>209.684</v>
      </c>
      <c r="C6" s="3909">
        <f>ROUND(B6*10000/$B$1,0)</f>
        <v>17560</v>
      </c>
      <c r="D6" s="3909" t="e">
        <f>ROUND(B6*10000/$B$2,0)</f>
        <v>#DIV/0!</v>
      </c>
      <c r="E6" s="2117" t="s">
        <v>4067</v>
      </c>
      <c r="F6" s="2118">
        <f>ROUND(F5*B14/10000,2)</f>
        <v>209.68</v>
      </c>
      <c r="G6" s="2118"/>
      <c r="H6" s="2119"/>
      <c r="I6" s="2119"/>
      <c r="J6" s="2119"/>
      <c r="K6" s="2119"/>
    </row>
    <row r="7" spans="1:11" ht="16.5">
      <c r="A7" s="1999" t="s">
        <v>652</v>
      </c>
      <c r="B7" s="3909">
        <f>SUM(H14:H23)</f>
        <v>0</v>
      </c>
      <c r="C7" s="3909" t="str">
        <f>IF(B7=H14,结果表!H110,ROUND(B7*10000/$B$1,0))</f>
        <v>——</v>
      </c>
      <c r="D7" s="3909" t="e">
        <f>ROUND(B7*10000/$B$2,0)</f>
        <v>#DIV/0!</v>
      </c>
      <c r="E7" s="2117" t="s">
        <v>4069</v>
      </c>
      <c r="F7" s="2118">
        <v>15500</v>
      </c>
      <c r="G7" s="2118"/>
      <c r="H7" s="2119"/>
      <c r="I7" s="2119"/>
      <c r="J7" s="2119"/>
      <c r="K7" s="2119"/>
    </row>
    <row r="8" spans="1:11" ht="16.5">
      <c r="A8" s="1999" t="s">
        <v>581</v>
      </c>
      <c r="B8" s="3909">
        <f>SUM(I14:I23)</f>
        <v>0</v>
      </c>
      <c r="C8" s="3909" t="str">
        <f>IF(B8=I14,结果表!H112,ROUND(B8*10000/$B$1,0))</f>
        <v>——</v>
      </c>
      <c r="D8" s="3909"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3242</v>
      </c>
      <c r="D10" s="1999" t="s">
        <v>3243</v>
      </c>
      <c r="E10" s="3910"/>
      <c r="F10" s="2712" t="s">
        <v>3244</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v>119.41</v>
      </c>
      <c r="C14" s="3905"/>
      <c r="D14" s="3905">
        <f>ROUND(E14*B14/10000,4)</f>
        <v>209.684</v>
      </c>
      <c r="E14" s="3905">
        <v>17560</v>
      </c>
      <c r="F14" s="3905" t="e">
        <f>ROUND(D14*10000/C14,0)</f>
        <v>#DIV/0!</v>
      </c>
      <c r="G14" s="3905">
        <f>D14</f>
        <v>209.684</v>
      </c>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74" t="str">
        <f>项目基本情况!S2</f>
        <v>房地产</v>
      </c>
      <c r="B2" s="4775"/>
      <c r="C2" s="4775"/>
      <c r="D2" s="4775"/>
      <c r="E2" s="4775"/>
      <c r="F2" s="4775"/>
      <c r="G2" s="4775"/>
      <c r="H2" s="4775"/>
      <c r="I2" s="4776"/>
    </row>
    <row r="3" spans="1:12" ht="12.75">
      <c r="A3" s="4778" t="s">
        <v>1242</v>
      </c>
      <c r="B3" s="4779"/>
      <c r="C3" s="4779"/>
      <c r="D3" s="4779"/>
      <c r="E3" s="4779"/>
      <c r="F3" s="4779"/>
      <c r="G3" s="4779"/>
      <c r="H3" s="4779"/>
      <c r="I3" s="4779"/>
    </row>
    <row r="4" spans="1:12" ht="14.25">
      <c r="A4" s="1343" t="s">
        <v>1243</v>
      </c>
      <c r="B4" s="1344" t="s">
        <v>1244</v>
      </c>
      <c r="C4" s="3816"/>
      <c r="D4" s="3816"/>
      <c r="E4" s="4783" t="s">
        <v>1245</v>
      </c>
      <c r="F4" s="4784"/>
      <c r="G4" s="4784"/>
      <c r="H4" s="4784"/>
      <c r="I4" s="4785"/>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66" t="s">
        <v>1246</v>
      </c>
      <c r="B5" s="4746">
        <v>25</v>
      </c>
      <c r="C5" s="4780"/>
      <c r="D5" s="4777"/>
      <c r="E5" s="53" t="s">
        <v>1247</v>
      </c>
      <c r="F5" s="1345"/>
      <c r="G5" s="1345"/>
      <c r="H5" s="1345"/>
      <c r="I5" s="980"/>
    </row>
    <row r="6" spans="1:12" ht="12.75">
      <c r="A6" s="4766"/>
      <c r="B6" s="4746"/>
      <c r="C6" s="4782"/>
      <c r="D6" s="4777"/>
      <c r="E6" s="53" t="s">
        <v>1248</v>
      </c>
      <c r="F6" s="1345"/>
      <c r="G6" s="1345"/>
      <c r="H6" s="1345"/>
      <c r="I6" s="980"/>
    </row>
    <row r="7" spans="1:12" ht="12.75">
      <c r="A7" s="4766"/>
      <c r="B7" s="4746"/>
      <c r="C7" s="4781"/>
      <c r="D7" s="4777"/>
      <c r="E7" s="53" t="s">
        <v>1249</v>
      </c>
      <c r="F7" s="1345"/>
      <c r="G7" s="1345"/>
      <c r="H7" s="1345"/>
      <c r="I7" s="980"/>
    </row>
    <row r="8" spans="1:12" ht="12.75">
      <c r="A8" s="4766" t="s">
        <v>1250</v>
      </c>
      <c r="B8" s="4746">
        <v>15</v>
      </c>
      <c r="C8" s="4780"/>
      <c r="D8" s="4777"/>
      <c r="E8" s="53" t="s">
        <v>1251</v>
      </c>
      <c r="F8" s="1345"/>
      <c r="G8" s="1345"/>
      <c r="H8" s="1345"/>
      <c r="I8" s="980"/>
    </row>
    <row r="9" spans="1:12" ht="12.75">
      <c r="A9" s="4766"/>
      <c r="B9" s="4746"/>
      <c r="C9" s="4781"/>
      <c r="D9" s="4777"/>
      <c r="E9" s="53" t="s">
        <v>1252</v>
      </c>
      <c r="F9" s="1345"/>
      <c r="G9" s="1345"/>
      <c r="H9" s="1345"/>
      <c r="I9" s="980"/>
    </row>
    <row r="10" spans="1:12" ht="12.75">
      <c r="A10" s="4766" t="s">
        <v>1253</v>
      </c>
      <c r="B10" s="4746">
        <v>15</v>
      </c>
      <c r="C10" s="4780"/>
      <c r="D10" s="4777"/>
      <c r="E10" s="53" t="s">
        <v>1254</v>
      </c>
      <c r="F10" s="1345"/>
      <c r="G10" s="1345"/>
      <c r="H10" s="1345"/>
      <c r="I10" s="980"/>
    </row>
    <row r="11" spans="1:12" ht="12.75">
      <c r="A11" s="4766"/>
      <c r="B11" s="4746"/>
      <c r="C11" s="4781"/>
      <c r="D11" s="4777"/>
      <c r="E11" s="53" t="s">
        <v>1255</v>
      </c>
      <c r="F11" s="1345"/>
      <c r="G11" s="1345"/>
      <c r="H11" s="1345"/>
      <c r="I11" s="980"/>
    </row>
    <row r="12" spans="1:12" ht="12.75">
      <c r="A12" s="4766" t="s">
        <v>1256</v>
      </c>
      <c r="B12" s="4746">
        <v>15</v>
      </c>
      <c r="C12" s="4780"/>
      <c r="D12" s="4777"/>
      <c r="E12" s="53" t="s">
        <v>1257</v>
      </c>
      <c r="F12" s="1345"/>
      <c r="G12" s="1345"/>
      <c r="H12" s="1345"/>
      <c r="I12" s="980"/>
    </row>
    <row r="13" spans="1:12" ht="12.75">
      <c r="A13" s="4766"/>
      <c r="B13" s="4746"/>
      <c r="C13" s="4781"/>
      <c r="D13" s="4777"/>
      <c r="E13" s="53" t="s">
        <v>1258</v>
      </c>
      <c r="F13" s="1345"/>
      <c r="G13" s="1345"/>
      <c r="H13" s="1345"/>
      <c r="I13" s="980"/>
    </row>
    <row r="14" spans="1:12" ht="12.75">
      <c r="A14" s="4766" t="s">
        <v>1259</v>
      </c>
      <c r="B14" s="4746">
        <v>30</v>
      </c>
      <c r="C14" s="4780"/>
      <c r="D14" s="4777"/>
      <c r="E14" s="53" t="s">
        <v>1260</v>
      </c>
      <c r="F14" s="1345"/>
      <c r="G14" s="1345"/>
      <c r="H14" s="1345"/>
      <c r="I14" s="980"/>
    </row>
    <row r="15" spans="1:12" ht="12.75">
      <c r="A15" s="4766"/>
      <c r="B15" s="4746"/>
      <c r="C15" s="4782"/>
      <c r="D15" s="4777"/>
      <c r="E15" s="53" t="s">
        <v>1261</v>
      </c>
      <c r="F15" s="1345"/>
      <c r="G15" s="1345"/>
      <c r="H15" s="1345"/>
      <c r="I15" s="980"/>
    </row>
    <row r="16" spans="1:12" ht="12.75">
      <c r="A16" s="4766"/>
      <c r="B16" s="4746"/>
      <c r="C16" s="4781"/>
      <c r="D16" s="4777"/>
      <c r="E16" s="53" t="s">
        <v>1262</v>
      </c>
      <c r="F16" s="1345"/>
      <c r="G16" s="1345"/>
      <c r="H16" s="1345"/>
      <c r="I16" s="980"/>
    </row>
    <row r="17" spans="1:36" ht="15">
      <c r="A17" s="1346" t="s">
        <v>1263</v>
      </c>
      <c r="B17" s="3815"/>
      <c r="C17" s="3912">
        <f>SUM(C5:C16)</f>
        <v>0</v>
      </c>
      <c r="D17" s="3912">
        <f>SUM(D5:D16)</f>
        <v>0</v>
      </c>
      <c r="E17" s="51"/>
      <c r="F17" s="51"/>
      <c r="G17" s="51"/>
      <c r="H17" s="51"/>
      <c r="I17" s="51"/>
      <c r="K17" s="190"/>
      <c r="L17" s="190" t="s">
        <v>1264</v>
      </c>
      <c r="M17" s="190" t="s">
        <v>1265</v>
      </c>
    </row>
    <row r="18" spans="1:36" ht="31.9" customHeight="1" thickBot="1">
      <c r="A18" s="1347" t="s">
        <v>1266</v>
      </c>
      <c r="B18" s="1348"/>
      <c r="C18" s="3913" t="e">
        <f>ROUND(C17/SUM(C17:D17),2)</f>
        <v>#DIV/0!</v>
      </c>
      <c r="D18" s="3913" t="e">
        <f>1-C18</f>
        <v>#DIV/0!</v>
      </c>
      <c r="E18" s="4805" t="s">
        <v>2035</v>
      </c>
      <c r="F18" s="4806"/>
      <c r="G18" s="4806"/>
      <c r="H18" s="4806"/>
      <c r="I18" s="4806"/>
      <c r="K18" s="190" t="s">
        <v>1267</v>
      </c>
      <c r="L18" s="3924">
        <f>IF(C1="",'数据-汇总表'!E3,SUMIF(项目类型,C1,'数据-汇总表'!E17:E26)+SUMIF(项目类型,C1,'数据-汇总表'!I17:I26))</f>
        <v>0</v>
      </c>
      <c r="M18" s="3924">
        <f>IF(C1="",'数据-汇总表'!E3,SUMIF(项目类型,C1,'数据-汇总表'!E17:E26))</f>
        <v>0</v>
      </c>
    </row>
    <row r="19" spans="1:36" ht="15">
      <c r="A19" s="1349" t="s">
        <v>1268</v>
      </c>
      <c r="B19" s="1350" t="s">
        <v>1269</v>
      </c>
      <c r="C19" s="3914" t="e">
        <f ca="1">SUMIF(INDIRECT("'"&amp;C4&amp;"'"&amp;"!A:A"),结果表!B19,INDIRECT("'"&amp;C4&amp;"'"&amp;"!B:B"))</f>
        <v>#REF!</v>
      </c>
      <c r="D19" s="3915" t="e">
        <f ca="1">SUMIF(INDIRECT("'"&amp;D4&amp;"'"&amp;"!A:A"),结果表!B19,INDIRECT("'"&amp;D4&amp;"'"&amp;"!B:B"))</f>
        <v>#REF!</v>
      </c>
      <c r="E19" s="1349" t="s">
        <v>1270</v>
      </c>
      <c r="F19" s="1350" t="s">
        <v>1269</v>
      </c>
      <c r="G19" s="3920" t="e">
        <f ca="1">ROUND(C19*$C$18+D19*$D$18,0)</f>
        <v>#REF!</v>
      </c>
      <c r="H19" s="1351" t="s">
        <v>1271</v>
      </c>
      <c r="I19" s="3923" t="e">
        <f ca="1">ROUND(C19*$C$18+D19*$D$18,4)</f>
        <v>#REF!</v>
      </c>
      <c r="K19" s="190" t="s">
        <v>1272</v>
      </c>
      <c r="L19" s="3924" t="e">
        <f>IF(C1="",'数据-汇总表'!D3,SUMIF(项目类型,C1,'数据-汇总表'!D17:D26)+SUMIF(项目类型,C1,'数据-汇总表'!H17:H27))</f>
        <v>#DIV/0!</v>
      </c>
      <c r="M19" s="3924" t="e">
        <f>IF(C1="",'数据-汇总表'!D3,SUMIF(项目类型,C1,'数据-汇总表'!D17:D26))</f>
        <v>#DIV/0!</v>
      </c>
    </row>
    <row r="20" spans="1:36" ht="15">
      <c r="A20" s="1352"/>
      <c r="B20" s="714" t="s">
        <v>1273</v>
      </c>
      <c r="C20" s="3916" t="e">
        <f ca="1">SUMIF(INDIRECT("'"&amp;C4&amp;"'"&amp;"!A:A"),结果表!B20,INDIRECT("'"&amp;C4&amp;"'"&amp;"!B:B"))</f>
        <v>#REF!</v>
      </c>
      <c r="D20" s="3917" t="e">
        <f ca="1">SUMIF(INDIRECT("'"&amp;D4&amp;"'"&amp;"!A:A"),结果表!B20,INDIRECT("'"&amp;D4&amp;"'"&amp;"!B:B"))</f>
        <v>#REF!</v>
      </c>
      <c r="E20" s="1352"/>
      <c r="F20" s="714" t="s">
        <v>1273</v>
      </c>
      <c r="G20" s="3921" t="e">
        <f ca="1">ROUND(C20*$C$18+D20*$D$18,0)</f>
        <v>#REF!</v>
      </c>
      <c r="H20" s="556" t="s">
        <v>1274</v>
      </c>
      <c r="I20" s="51"/>
    </row>
    <row r="21" spans="1:36" ht="15" customHeight="1" thickBot="1">
      <c r="A21" s="562"/>
      <c r="B21" s="3646" t="s">
        <v>3628</v>
      </c>
      <c r="C21" s="3918" t="e">
        <f ca="1">SUMIF(INDIRECT("'"&amp;C4&amp;"'"&amp;"!A:A"),结果表!B21,INDIRECT("'"&amp;C4&amp;"'"&amp;"!B:B"))</f>
        <v>#REF!</v>
      </c>
      <c r="D21" s="3919" t="e">
        <f ca="1">SUMIF(INDIRECT("'"&amp;D4&amp;"'"&amp;"!A:A"),结果表!B21,INDIRECT("'"&amp;D4&amp;"'"&amp;"!B:B"))</f>
        <v>#REF!</v>
      </c>
      <c r="E21" s="1352"/>
      <c r="F21" s="806" t="s">
        <v>1275</v>
      </c>
      <c r="G21" s="3921" t="e">
        <f ca="1">ROUND(C21*$C$18+D21*$D$18,0)</f>
        <v>#REF!</v>
      </c>
      <c r="H21" s="556" t="s">
        <v>1274</v>
      </c>
      <c r="I21" s="51"/>
    </row>
    <row r="22" spans="1:36" ht="15" thickBot="1">
      <c r="A22" s="1282" t="s">
        <v>1276</v>
      </c>
      <c r="B22" s="1353"/>
      <c r="C22" s="2822"/>
      <c r="D22" s="4232" t="e">
        <f ca="1">IF(C19&lt;D19,D19/C19-1,C19/D19-1)</f>
        <v>#REF!</v>
      </c>
      <c r="E22" s="3637"/>
      <c r="F22" s="3639"/>
      <c r="G22" s="3922" t="e">
        <f ca="1">ROUND(G19/('数据-汇总表'!D3/666.67),0)</f>
        <v>#REF!</v>
      </c>
      <c r="H22" s="3638" t="s">
        <v>3626</v>
      </c>
      <c r="I22" s="51"/>
    </row>
    <row r="23" spans="1:36" ht="13.5" thickBot="1">
      <c r="A23" s="1336"/>
      <c r="B23" s="1336"/>
      <c r="C23" s="1336"/>
      <c r="D23" s="1336"/>
      <c r="E23" s="51"/>
      <c r="F23" s="51"/>
      <c r="G23" s="51"/>
      <c r="H23" s="51"/>
      <c r="I23" s="51"/>
    </row>
    <row r="24" spans="1:36" ht="14.25">
      <c r="A24" s="4753" t="s">
        <v>1277</v>
      </c>
      <c r="B24" s="1350" t="s">
        <v>1269</v>
      </c>
      <c r="C24" s="3920">
        <f>IF(B30=0,0,D30)</f>
        <v>0</v>
      </c>
      <c r="D24" s="3925"/>
      <c r="E24" s="51"/>
      <c r="F24" s="51"/>
      <c r="G24" s="51"/>
      <c r="H24" s="51"/>
      <c r="I24" s="51"/>
    </row>
    <row r="25" spans="1:36" ht="14.25">
      <c r="A25" s="4754"/>
      <c r="B25" s="3647" t="s">
        <v>3629</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769" t="s">
        <v>1290</v>
      </c>
      <c r="B36" s="1370" t="s">
        <v>1291</v>
      </c>
      <c r="C36" s="3936"/>
      <c r="D36" s="1371"/>
      <c r="E36" s="1372"/>
      <c r="F36" s="1373"/>
      <c r="G36" s="51"/>
      <c r="H36" s="51"/>
      <c r="I36" s="51"/>
    </row>
    <row r="37" spans="1:19" ht="15.75" thickBot="1">
      <c r="A37" s="4770"/>
      <c r="B37" s="1268" t="s">
        <v>1292</v>
      </c>
      <c r="C37" s="3937"/>
      <c r="D37" s="804"/>
      <c r="E37" s="804"/>
      <c r="F37" s="1373"/>
      <c r="G37" s="51"/>
      <c r="H37" s="51"/>
      <c r="I37" s="51"/>
    </row>
    <row r="38" spans="1:19" ht="15.75" thickBot="1">
      <c r="A38" s="4771"/>
      <c r="B38" s="1374" t="s">
        <v>1293</v>
      </c>
      <c r="C38" s="3938"/>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c r="C40" s="3940"/>
      <c r="D40" s="3940"/>
      <c r="E40" s="3941"/>
      <c r="F40" s="1373"/>
      <c r="G40" s="51"/>
      <c r="H40" s="51"/>
      <c r="I40" s="51"/>
    </row>
    <row r="41" spans="1:19" ht="14.25">
      <c r="A41" s="1379" t="s">
        <v>1301</v>
      </c>
      <c r="B41" s="3939"/>
      <c r="C41" s="3940"/>
      <c r="D41" s="3940"/>
      <c r="E41" s="3941"/>
      <c r="F41" s="1373"/>
      <c r="G41" s="51"/>
      <c r="H41" s="51"/>
      <c r="I41" s="51"/>
    </row>
    <row r="42" spans="1:19" ht="15" thickBot="1">
      <c r="A42" s="1380"/>
      <c r="B42" s="3942"/>
      <c r="C42" s="3943"/>
      <c r="D42" s="3943"/>
      <c r="E42" s="3935"/>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50" t="s">
        <v>1304</v>
      </c>
      <c r="B45" s="4751"/>
      <c r="C45" s="4752"/>
      <c r="D45" s="3944" t="e">
        <f ca="1">ROUND(H101*F45,0)</f>
        <v>#REF!</v>
      </c>
      <c r="E45" s="61" t="s">
        <v>1305</v>
      </c>
      <c r="F45" s="62">
        <v>1</v>
      </c>
      <c r="G45" s="63" t="s">
        <v>1306</v>
      </c>
      <c r="H45" s="51"/>
      <c r="I45" s="51"/>
      <c r="J45" s="4760" t="s">
        <v>1307</v>
      </c>
      <c r="K45" s="4760"/>
      <c r="L45" s="4760"/>
      <c r="M45" s="4760"/>
      <c r="N45" s="4760"/>
      <c r="O45" s="4760"/>
    </row>
    <row r="46" spans="1:19" ht="14.25" customHeight="1">
      <c r="A46" s="4747" t="s">
        <v>1308</v>
      </c>
      <c r="B46" s="4748"/>
      <c r="C46" s="4748"/>
      <c r="D46" s="4748"/>
      <c r="E46" s="4748"/>
      <c r="F46" s="4748"/>
      <c r="G46" s="4749"/>
      <c r="H46" s="1389"/>
      <c r="I46" s="64"/>
      <c r="J46" s="2007">
        <v>1</v>
      </c>
      <c r="K46" s="4761" t="s">
        <v>1309</v>
      </c>
      <c r="L46" s="4761"/>
      <c r="M46" s="4762"/>
      <c r="N46" s="4762"/>
      <c r="O46" s="4762"/>
    </row>
    <row r="47" spans="1:19" ht="12" customHeight="1">
      <c r="A47" s="65" t="s">
        <v>1310</v>
      </c>
      <c r="B47" s="66"/>
      <c r="C47" s="67"/>
      <c r="D47" s="762" t="s">
        <v>1311</v>
      </c>
      <c r="E47" s="190" t="s">
        <v>1312</v>
      </c>
      <c r="F47" s="68" t="s">
        <v>1313</v>
      </c>
      <c r="G47" s="2022" t="s">
        <v>1314</v>
      </c>
      <c r="H47" s="2023"/>
      <c r="I47" s="64"/>
      <c r="J47" s="2007">
        <v>2</v>
      </c>
      <c r="K47" s="4761" t="s">
        <v>1315</v>
      </c>
      <c r="L47" s="4761"/>
      <c r="M47" s="4763">
        <f>'数据-取费表'!B2</f>
        <v>46063</v>
      </c>
      <c r="N47" s="4763"/>
      <c r="O47" s="4763"/>
    </row>
    <row r="48" spans="1:19" ht="25.5">
      <c r="A48" s="4772" t="s">
        <v>1316</v>
      </c>
      <c r="B48" s="4773"/>
      <c r="C48" s="4773"/>
      <c r="D48" s="3945">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61" t="s">
        <v>1318</v>
      </c>
      <c r="L48" s="4761"/>
      <c r="M48" s="4764" t="e">
        <f ca="1">H101</f>
        <v>#REF!</v>
      </c>
      <c r="N48" s="4764"/>
      <c r="O48" s="4764"/>
      <c r="R48" s="3665" t="s">
        <v>3643</v>
      </c>
      <c r="S48" s="3666"/>
    </row>
    <row r="49" spans="1:35" ht="25.5" customHeight="1">
      <c r="A49" s="3809" t="s">
        <v>1319</v>
      </c>
      <c r="B49" s="4745" t="s">
        <v>1320</v>
      </c>
      <c r="C49" s="4745"/>
      <c r="D49" s="3946">
        <v>0</v>
      </c>
      <c r="E49" s="211" t="s">
        <v>1321</v>
      </c>
      <c r="F49" s="3800" t="s">
        <v>26</v>
      </c>
      <c r="G49" s="4815"/>
      <c r="H49" s="3658" t="s">
        <v>2038</v>
      </c>
      <c r="I49" s="3659"/>
      <c r="J49" s="2007">
        <v>4</v>
      </c>
      <c r="K49" s="4761" t="str">
        <f>IF(项目基本情况!E8="房地产抵押价值","房地产抵押价值","抵押担保权已注销时的房地产抵押价值")</f>
        <v>抵押担保权已注销时的房地产抵押价值</v>
      </c>
      <c r="L49" s="4761"/>
      <c r="M49" s="4764" t="str">
        <f>IF(项目基本情况!E8="房地产抵押价值",H107,H109)</f>
        <v>——</v>
      </c>
      <c r="N49" s="4764"/>
      <c r="O49" s="4764"/>
      <c r="R49" s="3667" t="s">
        <v>3644</v>
      </c>
      <c r="S49" s="3665" t="s">
        <v>3645</v>
      </c>
    </row>
    <row r="50" spans="1:35" ht="25.5" customHeight="1">
      <c r="A50" s="3810"/>
      <c r="B50" s="4745" t="s">
        <v>1322</v>
      </c>
      <c r="C50" s="4745"/>
      <c r="D50" s="3947"/>
      <c r="E50" s="219"/>
      <c r="F50" s="3800"/>
      <c r="G50" s="4816"/>
      <c r="H50" s="3660" t="s">
        <v>2039</v>
      </c>
      <c r="I50" s="3659"/>
      <c r="J50" s="4760" t="s">
        <v>1323</v>
      </c>
      <c r="K50" s="4760"/>
      <c r="L50" s="4760"/>
      <c r="M50" s="4760"/>
      <c r="N50" s="4760"/>
      <c r="O50" s="4760"/>
      <c r="R50" s="3667" t="s">
        <v>3646</v>
      </c>
      <c r="S50" s="3665" t="s">
        <v>3647</v>
      </c>
    </row>
    <row r="51" spans="1:35" ht="20.45" customHeight="1">
      <c r="A51" s="3811"/>
      <c r="B51" s="4745" t="s">
        <v>1324</v>
      </c>
      <c r="C51" s="4745"/>
      <c r="D51" s="3948"/>
      <c r="E51" s="214"/>
      <c r="F51" s="3800"/>
      <c r="G51" s="4817"/>
      <c r="H51" s="3660" t="s">
        <v>2040</v>
      </c>
      <c r="I51" s="3659"/>
      <c r="J51" s="2008" t="s">
        <v>1325</v>
      </c>
      <c r="K51" s="4761" t="s">
        <v>1326</v>
      </c>
      <c r="L51" s="4761"/>
      <c r="M51" s="2008" t="s">
        <v>1327</v>
      </c>
      <c r="N51" s="2008" t="s">
        <v>1328</v>
      </c>
      <c r="O51" s="2008" t="s">
        <v>1329</v>
      </c>
      <c r="R51" s="3667" t="s">
        <v>3648</v>
      </c>
      <c r="S51" s="3666" t="s">
        <v>3649</v>
      </c>
    </row>
    <row r="52" spans="1:35" ht="24" customHeight="1">
      <c r="A52" s="3801" t="s">
        <v>1330</v>
      </c>
      <c r="B52" s="4745" t="s">
        <v>1331</v>
      </c>
      <c r="C52" s="4745"/>
      <c r="D52" s="3948" t="e">
        <f ca="1">ROUND(D45*F52/(1+F52),0)</f>
        <v>#REF!</v>
      </c>
      <c r="E52" s="3802" t="s">
        <v>1332</v>
      </c>
      <c r="F52" s="2026">
        <v>0.03</v>
      </c>
      <c r="G52" s="947" t="s">
        <v>3690</v>
      </c>
      <c r="H52" s="2020"/>
      <c r="I52" s="1390"/>
      <c r="J52" s="2007">
        <v>1</v>
      </c>
      <c r="K52" s="4765" t="s">
        <v>1333</v>
      </c>
      <c r="L52" s="4765"/>
      <c r="M52" s="3950">
        <f>IF(D48&lt;=0,0,D48)</f>
        <v>0</v>
      </c>
      <c r="N52" s="2007" t="str">
        <f>E48</f>
        <v>销售额×税（费）率</v>
      </c>
      <c r="O52" s="3838">
        <f>F48</f>
        <v>0</v>
      </c>
      <c r="R52" s="3665" t="s">
        <v>3650</v>
      </c>
      <c r="S52" s="3665" t="s">
        <v>3654</v>
      </c>
    </row>
    <row r="53" spans="1:35" ht="12" customHeight="1">
      <c r="A53" s="3801" t="s">
        <v>1334</v>
      </c>
      <c r="B53" s="4767" t="s">
        <v>2195</v>
      </c>
      <c r="C53" s="4768"/>
      <c r="D53" s="3948" t="e">
        <f ca="1">IF(G53="2016年5月1日之前项目",ROUND(D45*F53/(1+F53),0),H63)</f>
        <v>#REF!</v>
      </c>
      <c r="E53" s="3802" t="str">
        <f>IF(G53="2016年5月1日之前项目","全额计税","进销项计算")</f>
        <v>进销项计算</v>
      </c>
      <c r="F53" s="2026">
        <f>IF(G53="2016年5月1日之前项目",5%,9%)</f>
        <v>0.09</v>
      </c>
      <c r="G53" s="3903"/>
      <c r="H53" s="2020"/>
      <c r="I53" s="1390"/>
      <c r="J53" s="2007">
        <v>2</v>
      </c>
      <c r="K53" s="4765" t="s">
        <v>1335</v>
      </c>
      <c r="L53" s="4765"/>
      <c r="M53" s="3950" t="e">
        <f t="shared" ref="M53:O54" ca="1" si="0">D55</f>
        <v>#REF!</v>
      </c>
      <c r="N53" s="2007" t="str">
        <f t="shared" si="0"/>
        <v>销售额×税（费）率</v>
      </c>
      <c r="O53" s="3838" t="str">
        <f t="shared" si="0"/>
        <v>免征</v>
      </c>
      <c r="R53" s="3665" t="s">
        <v>3651</v>
      </c>
      <c r="S53" s="3666" t="s">
        <v>3658</v>
      </c>
    </row>
    <row r="54" spans="1:35" ht="12" customHeight="1">
      <c r="A54" s="3801" t="s">
        <v>1336</v>
      </c>
      <c r="B54" s="4767" t="s">
        <v>2196</v>
      </c>
      <c r="C54" s="4768"/>
      <c r="D54" s="3948" t="e">
        <f ca="1">IF(G54="2016年5月1日之前项目",C68,H63)</f>
        <v>#REF!</v>
      </c>
      <c r="E54" s="3823" t="str">
        <f>IF(G54="2016年5月1日之前项目","差额计税","进销项计算")</f>
        <v>进销项计算</v>
      </c>
      <c r="F54" s="2026">
        <f>IF(G54="2016年5月1日之前项目",5%,9%)</f>
        <v>0.09</v>
      </c>
      <c r="G54" s="3903"/>
      <c r="H54" s="2028"/>
      <c r="I54" s="1390"/>
      <c r="J54" s="2007">
        <v>3</v>
      </c>
      <c r="K54" s="4765" t="s">
        <v>1337</v>
      </c>
      <c r="L54" s="4765"/>
      <c r="M54" s="3950" t="e">
        <f t="shared" ca="1" si="0"/>
        <v>#REF!</v>
      </c>
      <c r="N54" s="2007" t="str">
        <f t="shared" si="0"/>
        <v>增值额×税（费）率</v>
      </c>
      <c r="O54" s="3839" t="str">
        <f t="shared" si="0"/>
        <v>免征</v>
      </c>
      <c r="P54" s="51"/>
      <c r="R54" s="3667" t="s">
        <v>3652</v>
      </c>
      <c r="S54" s="3666" t="s">
        <v>3655</v>
      </c>
    </row>
    <row r="55" spans="1:35" ht="24" customHeight="1">
      <c r="A55" s="4800" t="s">
        <v>1338</v>
      </c>
      <c r="B55" s="4773"/>
      <c r="C55" s="4773"/>
      <c r="D55" s="3945" t="e">
        <f ca="1">IF(H55="个人住宅",0,ROUND(D45*I55,0))</f>
        <v>#REF!</v>
      </c>
      <c r="E55" s="3802" t="s">
        <v>1339</v>
      </c>
      <c r="F55" s="2026" t="str">
        <f>IF(H55="正常",I55,"免征")</f>
        <v>免征</v>
      </c>
      <c r="G55" s="2027"/>
      <c r="H55" s="2025"/>
      <c r="I55" s="69">
        <f>'数据-取费表'!B50</f>
        <v>0</v>
      </c>
      <c r="J55" s="2007">
        <f>IF(H59="非个人房产","",4)</f>
        <v>4</v>
      </c>
      <c r="K55" s="4765" t="str">
        <f>IF(H59="非个人房产","——","个人所得税")</f>
        <v>个人所得税</v>
      </c>
      <c r="L55" s="4765"/>
      <c r="M55" s="3951" t="e">
        <f ca="1">D59</f>
        <v>#REF!</v>
      </c>
      <c r="N55" s="1588" t="str">
        <f>E59</f>
        <v>差额计税</v>
      </c>
      <c r="O55" s="3840">
        <f>F59</f>
        <v>0.01</v>
      </c>
      <c r="R55" s="3667" t="s">
        <v>3653</v>
      </c>
      <c r="S55" s="3666" t="s">
        <v>3656</v>
      </c>
    </row>
    <row r="56" spans="1:35" ht="24.75">
      <c r="A56" s="4800" t="s">
        <v>1340</v>
      </c>
      <c r="B56" s="4773"/>
      <c r="C56" s="4773"/>
      <c r="D56" s="3945" t="e">
        <f ca="1">IF(H56="个人住宅",D57,IF(H56="正常",D58,ROUND(D45*F56,0)))</f>
        <v>#REF!</v>
      </c>
      <c r="E56" s="3802" t="s">
        <v>1341</v>
      </c>
      <c r="F56" s="2026" t="str">
        <f>IF(H56="正常",F58,IF(H56="按预征率计算",5%,"免征"))</f>
        <v>免征</v>
      </c>
      <c r="G56" s="2029" t="s">
        <v>1342</v>
      </c>
      <c r="H56" s="2030"/>
      <c r="I56" s="1391"/>
      <c r="J56" s="2007" t="str">
        <f>IF(项目基本情况!K6="上海银行",IF(J55="",4,J55+1),"")</f>
        <v/>
      </c>
      <c r="K56" s="4819" t="str">
        <f>IF(项目基本情况!K6="上海银行","其他处置费用","")</f>
        <v/>
      </c>
      <c r="L56" s="4820"/>
      <c r="M56" s="3950" t="str">
        <f>IF(项目基本情况!K6="上海银行",M69,"")</f>
        <v/>
      </c>
      <c r="N56" s="4819" t="str">
        <f>IF(项目基本情况!K6="上海银行","包含处置中涉及的律师、诉讼、拍卖、评估等费用","")</f>
        <v/>
      </c>
      <c r="O56" s="4823"/>
      <c r="R56" s="3666"/>
      <c r="S56" s="3666" t="s">
        <v>3657</v>
      </c>
    </row>
    <row r="57" spans="1:35" ht="12.75">
      <c r="A57" s="1829" t="s">
        <v>1319</v>
      </c>
      <c r="B57" s="4767" t="s">
        <v>1343</v>
      </c>
      <c r="C57" s="4768"/>
      <c r="D57" s="3946">
        <v>0</v>
      </c>
      <c r="E57" s="211" t="s">
        <v>1321</v>
      </c>
      <c r="F57" s="190"/>
      <c r="G57" s="2027"/>
      <c r="H57" s="2031"/>
      <c r="I57" s="1391"/>
      <c r="J57" s="4765">
        <f>IF(AND(J55="",J56=""),4,IF(项目基本情况!K6="上海银行",结果表!J56+1,结果表!J55+1))</f>
        <v>5</v>
      </c>
      <c r="K57" s="4765" t="s">
        <v>1344</v>
      </c>
      <c r="L57" s="2009" t="s">
        <v>1345</v>
      </c>
      <c r="M57" s="2010"/>
      <c r="N57" s="3952">
        <f ca="1">SUMIF(M52:M56,"&lt;9e307")</f>
        <v>0</v>
      </c>
      <c r="O57" s="2011"/>
      <c r="P57" s="2121" t="e">
        <f ca="1">N57/M49</f>
        <v>#VALUE!</v>
      </c>
      <c r="R57" s="4736" t="s">
        <v>3702</v>
      </c>
      <c r="S57" s="4737"/>
    </row>
    <row r="58" spans="1:35" ht="24.75">
      <c r="A58" s="1829" t="s">
        <v>1330</v>
      </c>
      <c r="B58" s="4767" t="s">
        <v>1346</v>
      </c>
      <c r="C58" s="4745"/>
      <c r="D58" s="3945" t="e">
        <f ca="1">IF(H58="转让取得",C81,C97)</f>
        <v>#REF!</v>
      </c>
      <c r="E58" s="3802" t="s">
        <v>1341</v>
      </c>
      <c r="F58" s="190" t="s">
        <v>26</v>
      </c>
      <c r="G58" s="2027"/>
      <c r="H58" s="2030"/>
      <c r="I58" s="1391"/>
      <c r="J58" s="4765"/>
      <c r="K58" s="4765"/>
      <c r="L58" s="2009" t="s">
        <v>1347</v>
      </c>
      <c r="M58" s="2012"/>
      <c r="N58" s="2013" t="str">
        <f ca="1">NUMBERSTRING(INT(N57*10000),2)&amp;"元整"</f>
        <v>零元整</v>
      </c>
      <c r="O58" s="2014"/>
      <c r="R58" s="4738"/>
      <c r="S58" s="4739"/>
    </row>
    <row r="59" spans="1:35" ht="24.75" thickBot="1">
      <c r="A59" s="4813" t="s">
        <v>1348</v>
      </c>
      <c r="B59" s="4814"/>
      <c r="C59" s="4814"/>
      <c r="D59" s="3949"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11">
        <f>J57+1</f>
        <v>6</v>
      </c>
      <c r="K59" s="4765"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812"/>
      <c r="K60" s="4765"/>
      <c r="L60" s="2009" t="s">
        <v>1347</v>
      </c>
      <c r="M60" s="2012"/>
      <c r="N60" s="2824" t="e">
        <f ca="1">NUMBERSTRING(INT(N59*10000),2)&amp;"元整"</f>
        <v>#VALUE!</v>
      </c>
      <c r="O60" s="2014"/>
      <c r="R60" s="3665" t="s">
        <v>3661</v>
      </c>
      <c r="S60" s="3665" t="s">
        <v>3701</v>
      </c>
    </row>
    <row r="61" spans="1:35" ht="14.25" thickBot="1">
      <c r="A61" s="4743" t="s">
        <v>3699</v>
      </c>
      <c r="B61" s="4744"/>
      <c r="C61" s="4744"/>
      <c r="D61" s="4744"/>
      <c r="E61" s="3829"/>
      <c r="F61" s="4807" t="s">
        <v>3700</v>
      </c>
      <c r="G61" s="4808"/>
      <c r="H61" s="4808"/>
      <c r="I61" s="4809"/>
      <c r="J61" s="3812">
        <f>J59+1</f>
        <v>7</v>
      </c>
      <c r="K61" s="4765" t="s">
        <v>1350</v>
      </c>
      <c r="L61" s="4765"/>
      <c r="M61" s="2017"/>
      <c r="N61" s="2825" t="e">
        <f ca="1">ROUND(N59*10000/'数据-汇总表'!E3,0)</f>
        <v>#VALUE!</v>
      </c>
      <c r="O61" s="2018"/>
    </row>
    <row r="62" spans="1:35" ht="13.5" customHeight="1">
      <c r="A62" s="3836" t="s">
        <v>3713</v>
      </c>
      <c r="B62" s="3837" t="s">
        <v>3714</v>
      </c>
      <c r="C62" s="3824" t="s">
        <v>3712</v>
      </c>
      <c r="D62" s="3825" t="s">
        <v>3703</v>
      </c>
      <c r="E62" s="3830" t="s">
        <v>3705</v>
      </c>
      <c r="F62" s="3842" t="s">
        <v>3715</v>
      </c>
      <c r="G62" s="3843" t="s">
        <v>3694</v>
      </c>
      <c r="H62" s="3844" t="s">
        <v>3716</v>
      </c>
      <c r="I62" s="3845" t="s">
        <v>3696</v>
      </c>
    </row>
    <row r="63" spans="1:35" ht="12.75">
      <c r="A63" s="74" t="s">
        <v>328</v>
      </c>
      <c r="B63" s="3832" t="s">
        <v>3707</v>
      </c>
      <c r="C63" s="3953" t="e">
        <f ca="1">ROUND(C64+C65,0)</f>
        <v>#REF!</v>
      </c>
      <c r="D63" s="3826"/>
      <c r="E63" s="4740" t="s">
        <v>3704</v>
      </c>
      <c r="F63" s="3801">
        <v>1</v>
      </c>
      <c r="G63" s="2977" t="s">
        <v>3691</v>
      </c>
      <c r="H63" s="3957" t="e">
        <f ca="1">H64-H66</f>
        <v>#REF!</v>
      </c>
      <c r="I63" s="3846"/>
      <c r="J63" s="4821" t="s">
        <v>1354</v>
      </c>
      <c r="K63" s="942" t="s">
        <v>1355</v>
      </c>
      <c r="L63" s="3976" t="e">
        <f>IF(M49&gt;10000,M49*0.5%,IF(AND(M49&gt;1000,M49&lt;=10000),M49*1%,IF(AND(M49&gt;100,M49&lt;=1000),M49*3%,IF(AND(M49&gt;10,M49&lt;=100),M49*5%,M49*8%))))</f>
        <v>#VALUE!</v>
      </c>
      <c r="M63" s="3924" t="e">
        <f>ROUND(L63,1)</f>
        <v>#VALUE!</v>
      </c>
      <c r="N63" s="2019"/>
      <c r="Z63" s="1341"/>
      <c r="AI63" s="1342"/>
    </row>
    <row r="64" spans="1:35" ht="14.25" customHeight="1">
      <c r="A64" s="71" t="s">
        <v>323</v>
      </c>
      <c r="B64" s="3833" t="s">
        <v>3708</v>
      </c>
      <c r="C64" s="3954" t="e">
        <f ca="1">D45</f>
        <v>#REF!</v>
      </c>
      <c r="D64" s="4624" t="s">
        <v>4064</v>
      </c>
      <c r="E64" s="4741"/>
      <c r="F64" s="3801">
        <v>2</v>
      </c>
      <c r="G64" s="2977" t="s">
        <v>3692</v>
      </c>
      <c r="H64" s="3957" t="e">
        <f ca="1">ROUND(H65*I64/(1+I64),0)</f>
        <v>#REF!</v>
      </c>
      <c r="I64" s="3847">
        <v>0.09</v>
      </c>
      <c r="J64" s="4821"/>
      <c r="K64" s="942" t="s">
        <v>1356</v>
      </c>
      <c r="L64" s="3976" t="e">
        <f>IF(M49&gt;2000,M49*0.5%,IF(AND(M49&gt;1000,M49&lt;=2000),M49*0.6%,IF(AND(M49&gt;500,M49&lt;=1000),M49*0.7%,IF(AND(M49&gt;200,M49&lt;=500),M49*0.8%,IF(AND(M49&gt;100,M49&lt;=200),M49*0.9%,IF(AND(M49&gt;50,M49&lt;=100),M49*1%,IF(AND(M49&gt;20,M49&lt;=50),M49*1.5%,IF(AND(M49&gt;10,M49&lt;=20),M49*2%,IF(AND(M49&gt;1,M49&lt;=10),M49*2.5%)))))))))</f>
        <v>#VALUE!</v>
      </c>
      <c r="M64" s="3924" t="e">
        <f t="shared" ref="M64:M65" si="1">ROUND(L64,1)</f>
        <v>#VALUE!</v>
      </c>
      <c r="N64" s="2020" t="s">
        <v>1357</v>
      </c>
      <c r="Z64" s="1341"/>
      <c r="AI64" s="1342"/>
    </row>
    <row r="65" spans="1:35" ht="14.25" customHeight="1">
      <c r="A65" s="71" t="s">
        <v>324</v>
      </c>
      <c r="B65" s="3833" t="s">
        <v>3709</v>
      </c>
      <c r="C65" s="3955"/>
      <c r="D65" s="3827"/>
      <c r="E65" s="4741"/>
      <c r="F65" s="71" t="s">
        <v>323</v>
      </c>
      <c r="G65" s="3848" t="s">
        <v>3695</v>
      </c>
      <c r="H65" s="3957" t="e">
        <f ca="1">D45</f>
        <v>#REF!</v>
      </c>
      <c r="I65" s="4626" t="s">
        <v>4065</v>
      </c>
      <c r="J65" s="4821"/>
      <c r="K65" s="942" t="s">
        <v>1358</v>
      </c>
      <c r="L65" s="3976" t="e">
        <f>IF(M49&gt;1000,M49*0.1%,IF(AND(M49&gt;500,M49&lt;=1000),M49*0.5%,IF(AND(M49&gt;50,M49&lt;=500),M49*1%,IF(AND(M49&gt;1,M49&lt;=50),M49*1.5%))))</f>
        <v>#VALUE!</v>
      </c>
      <c r="M65" s="3924" t="e">
        <f t="shared" si="1"/>
        <v>#VALUE!</v>
      </c>
      <c r="N65" s="2020" t="s">
        <v>1357</v>
      </c>
      <c r="Z65" s="1341"/>
      <c r="AI65" s="1342"/>
    </row>
    <row r="66" spans="1:35" ht="14.25" customHeight="1">
      <c r="A66" s="74" t="s">
        <v>325</v>
      </c>
      <c r="B66" s="3834" t="s">
        <v>3710</v>
      </c>
      <c r="C66" s="3955"/>
      <c r="D66" s="4625" t="s">
        <v>4064</v>
      </c>
      <c r="E66" s="4741"/>
      <c r="F66" s="3849">
        <v>3</v>
      </c>
      <c r="G66" s="2977" t="s">
        <v>3693</v>
      </c>
      <c r="H66" s="4466">
        <f>ROUND(H67*I67,0)+ROUND(H68*I68,0)</f>
        <v>0</v>
      </c>
      <c r="I66" s="4467"/>
      <c r="J66" s="4821"/>
      <c r="K66" s="942" t="s">
        <v>1359</v>
      </c>
      <c r="L66" s="3976" t="e">
        <f>M49*0.5%</f>
        <v>#VALUE!</v>
      </c>
      <c r="M66" s="3924" t="e">
        <f>IF(L66&gt;0.5,0.5,ROUND(L66,0))</f>
        <v>#VALUE!</v>
      </c>
      <c r="N66" s="2020" t="s">
        <v>1360</v>
      </c>
      <c r="Z66" s="1341"/>
      <c r="AI66" s="1342"/>
    </row>
    <row r="67" spans="1:35" ht="14.25" customHeight="1">
      <c r="A67" s="74" t="s">
        <v>326</v>
      </c>
      <c r="B67" s="3831" t="s">
        <v>3706</v>
      </c>
      <c r="C67" s="3954" t="e">
        <f ca="1">C63-C66</f>
        <v>#REF!</v>
      </c>
      <c r="D67" s="3827"/>
      <c r="E67" s="4741"/>
      <c r="F67" s="71" t="s">
        <v>323</v>
      </c>
      <c r="G67" s="3848" t="s">
        <v>3697</v>
      </c>
      <c r="H67" s="3958"/>
      <c r="I67" s="3847">
        <v>0.09</v>
      </c>
      <c r="J67" s="4821"/>
      <c r="K67" s="942" t="s">
        <v>1361</v>
      </c>
      <c r="L67" s="3976" t="e">
        <f>IF(M49&gt;=10000,(8.25+(M49-10000)*0.01%),IF(AND(M49&gt;=8000,M49&lt;10000),(7.85+(M49-8000)*0.02%),IF(AND(M49&gt;=5000,M49&lt;8000),(6.65+(M49-5000)*0.04%),IF(AND(M49&gt;=2000,M49&lt;5000),(4.25+(PM49-2000)*0.08%),IF(AND(M49&gt;=1000,M49&lt;2000),(2.75+(M49-1000)*0.15%),IF(AND(M49&gt;=100,M49&lt;1000),(0.5+(M49-100)*0.25%),IF(AND(M49&gt;0,M49&lt;100),M49*0.5%)))))))</f>
        <v>#VALUE!</v>
      </c>
      <c r="M67" s="3924" t="e">
        <f>ROUND(L67*0.9,1)</f>
        <v>#VALUE!</v>
      </c>
      <c r="N67" s="2019"/>
      <c r="Z67" s="1341"/>
      <c r="AI67" s="1342"/>
    </row>
    <row r="68" spans="1:35" ht="14.25" customHeight="1" thickBot="1">
      <c r="A68" s="76" t="s">
        <v>327</v>
      </c>
      <c r="B68" s="3835" t="s">
        <v>3711</v>
      </c>
      <c r="C68" s="3956" t="e">
        <f ca="1">IF(C67&lt;=0,0,ROUND(C67*D68/(1+D68),0))</f>
        <v>#REF!</v>
      </c>
      <c r="D68" s="3828">
        <v>0.05</v>
      </c>
      <c r="E68" s="4742"/>
      <c r="F68" s="3841" t="s">
        <v>324</v>
      </c>
      <c r="G68" s="3850" t="s">
        <v>3698</v>
      </c>
      <c r="H68" s="3959"/>
      <c r="I68" s="3851">
        <v>0.06</v>
      </c>
      <c r="J68" s="4821"/>
      <c r="K68" s="942" t="s">
        <v>1362</v>
      </c>
      <c r="L68" s="3976" t="e">
        <f>IF(M49&gt;10000,M49*0.5%,IF(AND(M49&gt;5000,M49&lt;=10000),M49*1%,IF(AND(M49&gt;1000,M49&lt;=5000),M49*2%,IF(AND(M49&gt;200,M49&lt;=1000),M49*3%,M49*5%))))</f>
        <v>#VALUE!</v>
      </c>
      <c r="M68" s="3924" t="e">
        <f>ROUND(L68,1)</f>
        <v>#VALUE!</v>
      </c>
      <c r="N68" s="2019"/>
      <c r="Z68" s="1341"/>
      <c r="AI68" s="1342"/>
    </row>
    <row r="69" spans="1:35" s="1355" customFormat="1" ht="16.5" customHeight="1">
      <c r="A69" s="1394"/>
      <c r="B69" s="1395"/>
      <c r="C69" s="1396"/>
      <c r="D69" s="1397"/>
      <c r="E69" s="1398"/>
      <c r="F69" s="1183"/>
      <c r="G69" s="1183"/>
      <c r="H69" s="1182"/>
      <c r="I69" s="1336"/>
      <c r="J69" s="4822"/>
      <c r="K69" s="942" t="s">
        <v>1363</v>
      </c>
      <c r="L69" s="3976"/>
      <c r="M69" s="3924"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2" t="s">
        <v>1364</v>
      </c>
      <c r="B70" s="4793"/>
      <c r="C70" s="4793"/>
      <c r="D70" s="4793"/>
      <c r="E70" s="4793"/>
      <c r="F70" s="4793"/>
      <c r="G70" s="4793"/>
      <c r="H70" s="4793"/>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7" t="s">
        <v>1351</v>
      </c>
      <c r="B71" s="4758"/>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t="e">
        <f ca="1">ROUND(D45/(1+D72),0)</f>
        <v>#REF!</v>
      </c>
      <c r="D72" s="3813">
        <v>0.09</v>
      </c>
      <c r="E72" s="3803"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67" t="s">
        <v>1372</v>
      </c>
      <c r="F76" s="4745"/>
      <c r="G76" s="4745"/>
      <c r="H76" s="4791"/>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t="e">
        <f ca="1">ROUND(C72*D78,0)</f>
        <v>#REF!</v>
      </c>
      <c r="D78" s="3819">
        <f>'数据-取费表'!B44</f>
        <v>0</v>
      </c>
      <c r="E78" s="4755" t="s">
        <v>1376</v>
      </c>
      <c r="F78" s="4756"/>
      <c r="G78" s="4756"/>
      <c r="H78" s="475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2" t="s">
        <v>1380</v>
      </c>
      <c r="B83" s="4793"/>
      <c r="C83" s="4793"/>
      <c r="D83" s="4793"/>
      <c r="E83" s="4793"/>
      <c r="F83" s="4793"/>
      <c r="G83" s="4793"/>
      <c r="H83" s="4793"/>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7" t="s">
        <v>1351</v>
      </c>
      <c r="B84" s="4758"/>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t="e">
        <f ca="1">ROUND(D45/(1+D85),0)</f>
        <v>#REF!</v>
      </c>
      <c r="D85" s="3813">
        <v>0.09</v>
      </c>
      <c r="E85" s="3803"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824" t="s">
        <v>2033</v>
      </c>
      <c r="H90" s="4825"/>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55" t="s">
        <v>1389</v>
      </c>
      <c r="F91" s="4756"/>
      <c r="G91" s="4756"/>
      <c r="H91" s="3806" t="s">
        <v>3685</v>
      </c>
      <c r="I91" s="3963"/>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55" t="s">
        <v>1392</v>
      </c>
      <c r="F92" s="4756"/>
      <c r="G92" s="4756"/>
      <c r="H92" s="475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t="e">
        <f ca="1">ROUND(C85*D93,0)</f>
        <v>#REF!</v>
      </c>
      <c r="D93" s="3819">
        <f>'数据-取费表'!B44</f>
        <v>0</v>
      </c>
      <c r="E93" s="4801" t="s">
        <v>3688</v>
      </c>
      <c r="F93" s="4756"/>
      <c r="G93" s="4756"/>
      <c r="H93" s="4759"/>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0</v>
      </c>
      <c r="D94" s="3819">
        <v>0.2</v>
      </c>
      <c r="E94" s="4802" t="s">
        <v>1396</v>
      </c>
      <c r="F94" s="4803"/>
      <c r="G94" s="4803"/>
      <c r="H94" s="4804"/>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6" t="s">
        <v>1398</v>
      </c>
      <c r="B100" s="4717"/>
      <c r="C100" s="4717"/>
      <c r="D100" s="4810"/>
      <c r="E100" s="4717" t="s">
        <v>1399</v>
      </c>
      <c r="F100" s="4717"/>
      <c r="G100" s="4717"/>
      <c r="H100" s="4810"/>
      <c r="I100" s="51"/>
    </row>
    <row r="101" spans="1:35" ht="18.75" customHeight="1">
      <c r="A101" s="4829" t="s">
        <v>1400</v>
      </c>
      <c r="B101" s="4830"/>
      <c r="C101" s="2036">
        <f>C4</f>
        <v>0</v>
      </c>
      <c r="D101" s="2037">
        <f>D4</f>
        <v>0</v>
      </c>
      <c r="E101" s="4818" t="s">
        <v>1401</v>
      </c>
      <c r="F101" s="4729"/>
      <c r="G101" s="1408" t="s">
        <v>1402</v>
      </c>
      <c r="H101" s="3968" t="e">
        <f ca="1">I118</f>
        <v>#REF!</v>
      </c>
      <c r="I101" s="51"/>
    </row>
    <row r="102" spans="1:35" ht="18.75" customHeight="1">
      <c r="A102" s="4786" t="s">
        <v>1403</v>
      </c>
      <c r="B102" s="2035" t="s">
        <v>1402</v>
      </c>
      <c r="C102" s="3964" t="e">
        <f ca="1">C19</f>
        <v>#REF!</v>
      </c>
      <c r="D102" s="3965" t="e">
        <f ca="1">D19</f>
        <v>#REF!</v>
      </c>
      <c r="E102" s="4818"/>
      <c r="F102" s="4729"/>
      <c r="G102" s="1408" t="s">
        <v>1404</v>
      </c>
      <c r="H102" s="3969" t="e">
        <f ca="1">H118</f>
        <v>#REF!</v>
      </c>
      <c r="I102" s="51"/>
    </row>
    <row r="103" spans="1:35" ht="42.75" customHeight="1">
      <c r="A103" s="4786"/>
      <c r="B103" s="2035" t="s">
        <v>1404</v>
      </c>
      <c r="C103" s="3966" t="e">
        <f ca="1">C20</f>
        <v>#REF!</v>
      </c>
      <c r="D103" s="3967" t="e">
        <f ca="1">D20</f>
        <v>#REF!</v>
      </c>
      <c r="E103" s="4798" t="s">
        <v>1405</v>
      </c>
      <c r="F103" s="4799"/>
      <c r="G103" s="1409" t="s">
        <v>1406</v>
      </c>
      <c r="H103" s="3968">
        <f>IF(D36="正常操作",H104+H105+H106,H105+H106)</f>
        <v>0</v>
      </c>
      <c r="I103" s="51"/>
    </row>
    <row r="104" spans="1:35" ht="18.75" customHeight="1">
      <c r="A104" s="4786" t="s">
        <v>1407</v>
      </c>
      <c r="B104" s="2038" t="s">
        <v>1402</v>
      </c>
      <c r="C104" s="4835" t="e">
        <f ca="1">I118</f>
        <v>#REF!</v>
      </c>
      <c r="D104" s="4836"/>
      <c r="E104" s="1268" t="s">
        <v>1408</v>
      </c>
      <c r="F104" s="1264"/>
      <c r="G104" s="1409" t="s">
        <v>1406</v>
      </c>
      <c r="H104" s="3970">
        <f>IF(D36="同一抵押权人同一抵押物续贷",C36&amp;"（续贷，未扣减，详见特别提示）",C36)</f>
        <v>0</v>
      </c>
      <c r="I104" s="51"/>
    </row>
    <row r="105" spans="1:35" ht="18.75" customHeight="1" thickBot="1">
      <c r="A105" s="4787"/>
      <c r="B105" s="2039" t="s">
        <v>1404</v>
      </c>
      <c r="C105" s="4837" t="e">
        <f ca="1">H118</f>
        <v>#REF!</v>
      </c>
      <c r="D105" s="4838"/>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0</v>
      </c>
      <c r="I106" s="51"/>
    </row>
    <row r="107" spans="1:35" ht="18.75" customHeight="1">
      <c r="A107" s="51"/>
      <c r="B107" s="51"/>
      <c r="C107" s="51"/>
      <c r="D107" s="51"/>
      <c r="E107" s="4728" t="str">
        <f>IF(项目基本情况!E8="已注销","——","3.房地产抵押价值")</f>
        <v>3.房地产抵押价值</v>
      </c>
      <c r="F107" s="4729"/>
      <c r="G107" s="1408" t="s">
        <v>1402</v>
      </c>
      <c r="H107" s="3968" t="e">
        <f ca="1">IF(E107="——","——",H101-H103)</f>
        <v>#REF!</v>
      </c>
      <c r="I107" s="51"/>
    </row>
    <row r="108" spans="1:35" ht="18.75" customHeight="1">
      <c r="A108" s="51"/>
      <c r="B108" s="51"/>
      <c r="C108" s="51"/>
      <c r="D108" s="51"/>
      <c r="E108" s="4728"/>
      <c r="F108" s="4729"/>
      <c r="G108" s="1408" t="s">
        <v>1404</v>
      </c>
      <c r="H108" s="3969" t="e">
        <f ca="1">IF(H107=H101,H102,ROUND(H107*10000/'数据-汇总表'!E3,0))</f>
        <v>#REF!</v>
      </c>
      <c r="I108" s="51"/>
    </row>
    <row r="109" spans="1:35" ht="18.75" customHeight="1">
      <c r="A109" s="51"/>
      <c r="B109" s="51"/>
      <c r="C109" s="51"/>
      <c r="D109" s="51"/>
      <c r="E109" s="4728" t="str">
        <f>IF(项目基本情况!E8="已注销及未注销","4.抵押担保权已注销时的房地产抵押价值",IF(项目基本情况!E8="已注销","3.抵押担保权已注销时的房地产抵押价值","——"))</f>
        <v>——</v>
      </c>
      <c r="F109" s="4729"/>
      <c r="G109" s="1408" t="s">
        <v>1402</v>
      </c>
      <c r="H109" s="3972" t="str">
        <f>IF(E109="——","——",H101-H105-H106)</f>
        <v>——</v>
      </c>
      <c r="I109" s="51"/>
    </row>
    <row r="110" spans="1:35" ht="18.75" customHeight="1">
      <c r="A110" s="51"/>
      <c r="B110" s="51"/>
      <c r="C110" s="51"/>
      <c r="D110" s="51"/>
      <c r="E110" s="4728"/>
      <c r="F110" s="4729"/>
      <c r="G110" s="1408" t="s">
        <v>1404</v>
      </c>
      <c r="H110" s="3969" t="str">
        <f>IF(H109="——","——",ROUND(H109*10000/'数据-汇总表'!E3,0))</f>
        <v>——</v>
      </c>
      <c r="I110" s="51"/>
    </row>
    <row r="111" spans="1:35" ht="18.75" customHeight="1">
      <c r="A111" s="51"/>
      <c r="B111" s="51"/>
      <c r="C111" s="51"/>
      <c r="D111" s="51"/>
      <c r="E111" s="4831" t="str">
        <f>IF(项目基本情况!E9="抵押净值",IF(OR(项目基本情况!E8="已注销",项目基本情况!E8="房地产抵押价值"),"4.抵押净值","5.抵押净值"),"——")</f>
        <v>——</v>
      </c>
      <c r="F111" s="4832"/>
      <c r="G111" s="1408" t="s">
        <v>1402</v>
      </c>
      <c r="H111" s="3968" t="str">
        <f>IF(E111="——","——",N59)</f>
        <v>——</v>
      </c>
      <c r="I111" s="51"/>
    </row>
    <row r="112" spans="1:35" ht="18.75" customHeight="1" thickBot="1">
      <c r="A112" s="51"/>
      <c r="B112" s="51"/>
      <c r="C112" s="51"/>
      <c r="D112" s="51"/>
      <c r="E112" s="4833"/>
      <c r="F112" s="4834"/>
      <c r="G112" s="1411" t="s">
        <v>1404</v>
      </c>
      <c r="H112" s="3919" t="str">
        <f>IF(E111="——","——",N61)</f>
        <v>——</v>
      </c>
      <c r="I112" s="51"/>
    </row>
    <row r="113" spans="1:27" ht="18.75" customHeight="1">
      <c r="A113" s="51"/>
      <c r="B113" s="51"/>
      <c r="C113" s="51"/>
      <c r="D113" s="51"/>
      <c r="E113" s="4788" t="s">
        <v>1410</v>
      </c>
      <c r="F113" s="4788"/>
      <c r="G113" s="4788"/>
      <c r="H113" s="4788"/>
      <c r="I113" s="51"/>
    </row>
    <row r="114" spans="1:27" ht="3.75" customHeight="1">
      <c r="A114" s="1336"/>
      <c r="B114" s="1336"/>
      <c r="C114" s="1336"/>
      <c r="D114" s="1336"/>
      <c r="E114" s="1392"/>
      <c r="F114" s="1392"/>
      <c r="G114" s="1392"/>
      <c r="H114" s="1392"/>
      <c r="I114" s="1336"/>
    </row>
    <row r="115" spans="1:27" ht="18.75" customHeight="1">
      <c r="A115" s="4795" t="s">
        <v>1412</v>
      </c>
      <c r="B115" s="4796"/>
      <c r="C115" s="4796"/>
      <c r="D115" s="4796"/>
      <c r="E115" s="4796"/>
      <c r="F115" s="4796"/>
      <c r="G115" s="4796"/>
      <c r="H115" s="4796"/>
      <c r="I115" s="4797"/>
    </row>
    <row r="116" spans="1:27" ht="27" customHeight="1">
      <c r="A116" s="4766" t="s">
        <v>1413</v>
      </c>
      <c r="B116" s="4789" t="s">
        <v>1414</v>
      </c>
      <c r="C116" s="4789" t="s">
        <v>1415</v>
      </c>
      <c r="D116" s="4827" t="s">
        <v>1416</v>
      </c>
      <c r="E116" s="4828"/>
      <c r="F116" s="4794"/>
      <c r="G116" s="4794"/>
      <c r="H116" s="4766" t="s">
        <v>1417</v>
      </c>
      <c r="I116" s="4766"/>
      <c r="K116" s="3280"/>
      <c r="L116" s="3281" t="s">
        <v>3479</v>
      </c>
      <c r="M116" s="3281" t="s">
        <v>3480</v>
      </c>
      <c r="N116" s="3281" t="s">
        <v>3481</v>
      </c>
    </row>
    <row r="117" spans="1:27" ht="18.75" customHeight="1">
      <c r="A117" s="4766"/>
      <c r="B117" s="4790"/>
      <c r="C117" s="4790"/>
      <c r="D117" s="1825" t="s">
        <v>1419</v>
      </c>
      <c r="E117" s="1825" t="s">
        <v>1418</v>
      </c>
      <c r="F117" s="1825" t="s">
        <v>1420</v>
      </c>
      <c r="G117" s="1825" t="s">
        <v>1418</v>
      </c>
      <c r="H117" s="1825" t="s">
        <v>1420</v>
      </c>
      <c r="I117" s="1825" t="s">
        <v>1418</v>
      </c>
      <c r="K117" s="3281" t="s">
        <v>3477</v>
      </c>
      <c r="L117" s="3973" t="e">
        <f ca="1">C34</f>
        <v>#REF!</v>
      </c>
      <c r="M117" s="3974" t="e">
        <f ca="1">C35</f>
        <v>#REF!</v>
      </c>
      <c r="N117" s="3974" t="e">
        <f ca="1">C32</f>
        <v>#REF!</v>
      </c>
    </row>
    <row r="118" spans="1:27" ht="24.75" customHeight="1">
      <c r="A118" s="2040" t="str">
        <f>项目基本情况!S2</f>
        <v>房地产</v>
      </c>
      <c r="B118" s="2832">
        <f>M18</f>
        <v>0</v>
      </c>
      <c r="C118" s="2832" t="e">
        <f>M19</f>
        <v>#DIV/0!</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t="e">
        <f ca="1">ROUND(IF(D32="楼面单价",C32,N117*10000/B118),0)</f>
        <v>#REF!</v>
      </c>
      <c r="I118" s="4344" t="e">
        <f ca="1">ROUND(IF(D32="总价",C32,N119*B118/10000),4)</f>
        <v>#REF!</v>
      </c>
      <c r="K118" s="3280"/>
      <c r="L118" s="3975"/>
      <c r="M118" s="3975"/>
      <c r="N118" s="3975"/>
    </row>
    <row r="119" spans="1:27" ht="18.75" customHeight="1">
      <c r="A119" s="4766" t="s">
        <v>1421</v>
      </c>
      <c r="B119" s="4766"/>
      <c r="C119" s="4766"/>
      <c r="D119" s="4725" t="e">
        <f ca="1">NUMBERSTRING(INT(E118*10000),2)&amp;"元整"</f>
        <v>#REF!</v>
      </c>
      <c r="E119" s="4727"/>
      <c r="F119" s="4725" t="e">
        <f ca="1">NUMBERSTRING(INT(G118*10000),2)&amp;"元整"</f>
        <v>#REF!</v>
      </c>
      <c r="G119" s="4727"/>
      <c r="H119" s="4725" t="e">
        <f ca="1">NUMBERSTRING(INT(I118*10000),2)&amp;"元整"</f>
        <v>#REF!</v>
      </c>
      <c r="I119" s="4727"/>
      <c r="K119" s="3281" t="s">
        <v>3478</v>
      </c>
      <c r="L119" s="3974" t="e">
        <f ca="1">C34</f>
        <v>#REF!</v>
      </c>
      <c r="M119" s="3974" t="e">
        <f ca="1">C35</f>
        <v>#REF!</v>
      </c>
      <c r="N119" s="3974" t="e">
        <f ca="1">C32</f>
        <v>#REF!</v>
      </c>
    </row>
    <row r="120" spans="1:27" ht="18.75" hidden="1" customHeight="1">
      <c r="A120" s="4722" t="str">
        <f>IF(项目基本情况!B9="房地产市场价值","",MID(E103,3,LEN(E103)-2))</f>
        <v>估价师知悉的法定优先受偿款</v>
      </c>
      <c r="B120" s="4723"/>
      <c r="C120" s="4723"/>
      <c r="D120" s="4723"/>
      <c r="E120" s="4723"/>
      <c r="F120" s="4723"/>
      <c r="G120" s="4724"/>
      <c r="H120" s="4730">
        <f>H103</f>
        <v>0</v>
      </c>
      <c r="I120" s="473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25" t="s">
        <v>1421</v>
      </c>
      <c r="B121" s="4726"/>
      <c r="C121" s="4726"/>
      <c r="D121" s="4726"/>
      <c r="E121" s="4726"/>
      <c r="F121" s="4726"/>
      <c r="G121" s="4727"/>
      <c r="H121" s="4732" t="str">
        <f>IF(H120=0,"零元整",NUMBERSTRING(INT(H120*10000),2)&amp;"元整")</f>
        <v>零元整</v>
      </c>
      <c r="I121" s="4733"/>
      <c r="AA121" s="518"/>
    </row>
    <row r="122" spans="1:27" ht="18.75" hidden="1" customHeight="1">
      <c r="A122" s="4722" t="str">
        <f>IF(项目基本情况!B9="房地产市场价值","",MID(E107,3,LEN(E107)-2))</f>
        <v>房地产抵押价值</v>
      </c>
      <c r="B122" s="4723"/>
      <c r="C122" s="4723"/>
      <c r="D122" s="4723"/>
      <c r="E122" s="4723"/>
      <c r="F122" s="4723"/>
      <c r="G122" s="4724"/>
      <c r="H122" s="4734" t="e">
        <f ca="1">H107</f>
        <v>#REF!</v>
      </c>
      <c r="I122" s="4735"/>
      <c r="AA122" s="518"/>
    </row>
    <row r="123" spans="1:27" ht="18.75" hidden="1" customHeight="1">
      <c r="A123" s="4725" t="s">
        <v>1421</v>
      </c>
      <c r="B123" s="4726"/>
      <c r="C123" s="4726"/>
      <c r="D123" s="4726"/>
      <c r="E123" s="4726"/>
      <c r="F123" s="4726"/>
      <c r="G123" s="4727"/>
      <c r="H123" s="4725" t="e">
        <f ca="1">NUMBERSTRING(INT(H122*10000),2)&amp;"元整"</f>
        <v>#REF!</v>
      </c>
      <c r="I123" s="4727"/>
      <c r="AA123" s="518"/>
    </row>
    <row r="124" spans="1:27" ht="18.75" hidden="1" customHeight="1">
      <c r="A124" s="4722" t="str">
        <f>IF(项目基本情况!B9="房地产市场价值","",MID(E109,3,LEN(E109)-2))</f>
        <v/>
      </c>
      <c r="B124" s="4723"/>
      <c r="C124" s="4723"/>
      <c r="D124" s="4723"/>
      <c r="E124" s="4723"/>
      <c r="F124" s="4723"/>
      <c r="G124" s="4724"/>
      <c r="H124" s="4734" t="str">
        <f>H109</f>
        <v>——</v>
      </c>
      <c r="I124" s="4735"/>
      <c r="AA124" s="518"/>
    </row>
    <row r="125" spans="1:27" ht="18.75" hidden="1" customHeight="1">
      <c r="A125" s="4725" t="s">
        <v>1421</v>
      </c>
      <c r="B125" s="4726"/>
      <c r="C125" s="4726"/>
      <c r="D125" s="4726"/>
      <c r="E125" s="4726"/>
      <c r="F125" s="4726"/>
      <c r="G125" s="4727"/>
      <c r="H125" s="4725" t="e">
        <f>NUMBERSTRING(INT(H124*10000),2)&amp;"元整"</f>
        <v>#VALUE!</v>
      </c>
      <c r="I125" s="4727"/>
      <c r="AA125" s="518"/>
    </row>
    <row r="126" spans="1:27" ht="18.75" hidden="1" customHeight="1">
      <c r="A126" s="4722" t="str">
        <f>IF(项目基本情况!B9="房地产市场价值","",MID(E111,3,LEN(E111)-2))</f>
        <v/>
      </c>
      <c r="B126" s="4723"/>
      <c r="C126" s="4723"/>
      <c r="D126" s="4723"/>
      <c r="E126" s="4723"/>
      <c r="F126" s="4723"/>
      <c r="G126" s="4724"/>
      <c r="H126" s="4734" t="str">
        <f>H111</f>
        <v>——</v>
      </c>
      <c r="I126" s="4735"/>
      <c r="AA126" s="518"/>
    </row>
    <row r="127" spans="1:27" ht="18.75" hidden="1" customHeight="1">
      <c r="A127" s="4725" t="s">
        <v>1421</v>
      </c>
      <c r="B127" s="4726"/>
      <c r="C127" s="4726"/>
      <c r="D127" s="4726"/>
      <c r="E127" s="4726"/>
      <c r="F127" s="4726"/>
      <c r="G127" s="4727"/>
      <c r="H127" s="4725" t="e">
        <f>NUMBERSTRING(INT(H126*10000),2)&amp;"元整"</f>
        <v>#VALUE!</v>
      </c>
      <c r="I127" s="4727"/>
      <c r="AA127" s="518"/>
    </row>
    <row r="128" spans="1:27" ht="21.75" hidden="1" customHeight="1">
      <c r="A128" s="4826" t="s">
        <v>1422</v>
      </c>
      <c r="B128" s="4826"/>
      <c r="C128" s="4826"/>
      <c r="D128" s="4826"/>
      <c r="E128" s="4826"/>
      <c r="F128" s="4826"/>
      <c r="G128" s="4826"/>
      <c r="H128" s="4826"/>
      <c r="I128" s="4826"/>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2" t="s">
        <v>3995</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3989</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2" t="s">
        <v>3990</v>
      </c>
    </row>
    <row r="25" spans="1:7" s="113" customFormat="1">
      <c r="A25" s="2815" t="s">
        <v>1453</v>
      </c>
      <c r="B25" s="2813" t="s">
        <v>3297</v>
      </c>
      <c r="C25" s="2761" t="e">
        <f ca="1">ROUND(IF('数据-取费表'!B22&lt;=1,(C9+C21)*F23*'数据-取费表'!B23/2,(C9+C21)*(POWER((1+F23),'数据-取费表'!B23/2)-1)),0)</f>
        <v>#VALUE!</v>
      </c>
      <c r="D25" s="137"/>
      <c r="E25" s="137"/>
      <c r="F25" s="2762"/>
      <c r="G25" s="4262" t="s">
        <v>3991</v>
      </c>
    </row>
    <row r="26" spans="1:7" s="113" customFormat="1">
      <c r="A26" s="2815" t="s">
        <v>348</v>
      </c>
      <c r="B26" s="2813" t="s">
        <v>1454</v>
      </c>
      <c r="C26" s="2758" t="e">
        <f ca="1">ROUND(IF('数据-取费表'!B22&lt;=1,F22*F23*'数据-取费表'!B23/2,F22*(POWER((1+F23),'数据-取费表'!B23/2)-1)),4)</f>
        <v>#VALUE!</v>
      </c>
      <c r="D26" s="137"/>
      <c r="E26" s="140"/>
      <c r="F26" s="2762"/>
      <c r="G26" s="4608" t="s">
        <v>3992</v>
      </c>
    </row>
    <row r="27" spans="1:7" s="2767" customFormat="1" ht="15">
      <c r="A27" s="2746" t="s">
        <v>3346</v>
      </c>
      <c r="B27" s="2807" t="s">
        <v>3298</v>
      </c>
      <c r="C27" s="2774" t="e">
        <f ca="1">C28&amp;"+"&amp;C29&amp;"V"</f>
        <v>#DIV/0!</v>
      </c>
      <c r="D27" s="2772"/>
      <c r="E27" s="302"/>
      <c r="F27" s="2775" t="e">
        <f ca="1">IF(B1="",'数据-取费表'!Q16,INDIRECT("'数据-取费表'!q"&amp;$G$1))</f>
        <v>#DIV/0!</v>
      </c>
      <c r="G27" s="2770" t="s">
        <v>3997</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3811</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0</v>
      </c>
      <c r="D40" s="3016"/>
      <c r="E40" s="3016"/>
      <c r="F40" s="3016"/>
      <c r="G40" s="4347"/>
    </row>
    <row r="41" spans="1:7" ht="15.75">
      <c r="A41" s="2800" t="s">
        <v>3305</v>
      </c>
      <c r="B41" s="2867" t="str">
        <f t="shared" ref="B41:C43" si="0">B10</f>
        <v xml:space="preserve">  建安费用</v>
      </c>
      <c r="C41" s="2735">
        <f t="shared" ca="1" si="0"/>
        <v>0</v>
      </c>
      <c r="D41" s="2730"/>
      <c r="E41" s="2730"/>
      <c r="F41" s="2731"/>
      <c r="G41" s="4348"/>
    </row>
    <row r="42" spans="1:7" ht="15.75">
      <c r="A42" s="2800" t="s">
        <v>3306</v>
      </c>
      <c r="B42" s="2867" t="str">
        <f t="shared" si="0"/>
        <v xml:space="preserve">  前期费用</v>
      </c>
      <c r="C42" s="2735">
        <f t="shared" ca="1" si="0"/>
        <v>0</v>
      </c>
      <c r="D42" s="2730"/>
      <c r="E42" s="2730"/>
      <c r="F42" s="2731"/>
      <c r="G42" s="4348"/>
    </row>
    <row r="43" spans="1:7" ht="15.75">
      <c r="A43" s="2800" t="s">
        <v>3370</v>
      </c>
      <c r="B43" s="2804" t="str">
        <f t="shared" si="0"/>
        <v xml:space="preserve">  公共配套设施费用</v>
      </c>
      <c r="C43" s="2735">
        <f t="shared" ca="1" si="0"/>
        <v>0</v>
      </c>
      <c r="D43" s="2730"/>
      <c r="E43" s="2730"/>
      <c r="F43" s="2731"/>
      <c r="G43" s="4348"/>
    </row>
    <row r="44" spans="1:7" ht="15.75">
      <c r="A44" s="2800" t="s">
        <v>3288</v>
      </c>
      <c r="B44" s="2804" t="str">
        <f>B18</f>
        <v>红线内市政费用</v>
      </c>
      <c r="C44" s="2735">
        <f ca="1">C18</f>
        <v>0</v>
      </c>
      <c r="D44" s="2730"/>
      <c r="E44" s="2730"/>
      <c r="F44" s="2731"/>
      <c r="G44" s="4348"/>
    </row>
    <row r="45" spans="1:7" ht="15.75">
      <c r="A45" s="2815" t="s">
        <v>3307</v>
      </c>
      <c r="B45" s="2810" t="str">
        <f>B19</f>
        <v xml:space="preserve">  其他工程费</v>
      </c>
      <c r="C45" s="2740">
        <f ca="1">C19</f>
        <v>0</v>
      </c>
      <c r="D45" s="2865"/>
      <c r="E45" s="2865"/>
      <c r="F45" s="2866"/>
      <c r="G45" s="4349"/>
    </row>
    <row r="46" spans="1:7" ht="15.75">
      <c r="A46" s="2815" t="s">
        <v>3369</v>
      </c>
      <c r="B46" s="2810" t="s">
        <v>3308</v>
      </c>
      <c r="C46" s="2740">
        <f ca="1">C20</f>
        <v>0</v>
      </c>
      <c r="D46" s="2865"/>
      <c r="E46" s="2865"/>
      <c r="F46" s="2866"/>
      <c r="G46" s="4349"/>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9" t="s">
        <v>3993</v>
      </c>
    </row>
    <row r="49" spans="1:7" ht="15">
      <c r="A49" s="2868" t="s">
        <v>3462</v>
      </c>
      <c r="B49" s="2875" t="s">
        <v>3368</v>
      </c>
      <c r="C49" s="2768" t="e">
        <f ca="1">C50&amp;"+"&amp;C51&amp;"V建1"</f>
        <v>#VALUE!</v>
      </c>
      <c r="D49" s="302"/>
      <c r="E49" s="302"/>
      <c r="F49" s="2884" t="e">
        <f ca="1">F23</f>
        <v>#VALUE!</v>
      </c>
      <c r="G49" s="4350"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40"/>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51">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2" t="s">
        <v>3371</v>
      </c>
      <c r="B59" s="4353"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216" t="s">
        <v>787</v>
      </c>
      <c r="C63" s="4425" t="e">
        <f ca="1">1-C64</f>
        <v>#VALUE!</v>
      </c>
    </row>
    <row r="64" spans="1:7" ht="21" customHeight="1">
      <c r="B64" s="216"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7" t="str">
        <f>项目基本情况!B1</f>
        <v>预评估</v>
      </c>
      <c r="C37" s="4627"/>
      <c r="D37" s="4627"/>
      <c r="E37" s="4627"/>
      <c r="F37" s="4627"/>
      <c r="G37" s="4627"/>
      <c r="H37" s="4627"/>
      <c r="I37" s="462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7"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2" t="s">
        <v>3996</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3989</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2" t="s">
        <v>3990</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2" t="s">
        <v>3991</v>
      </c>
      <c r="J25" s="99"/>
    </row>
    <row r="26" spans="1:10" s="113" customFormat="1" ht="15">
      <c r="A26" s="2815" t="s">
        <v>348</v>
      </c>
      <c r="B26" s="2813" t="s">
        <v>1454</v>
      </c>
      <c r="C26" s="2758" t="e">
        <f ca="1">ROUND(IF('数据-取费表'!B22&lt;=1,F22*F23*'数据-取费表'!B23/2,F22*(POWER((1+F23),'数据-取费表'!B23/2)-1)),4)</f>
        <v>#VALUE!</v>
      </c>
      <c r="D26" s="137"/>
      <c r="E26" s="140"/>
      <c r="F26" s="2762"/>
      <c r="G26" s="4608" t="s">
        <v>3992</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3998</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3810</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6" t="s">
        <v>3329</v>
      </c>
      <c r="B39" s="3010" t="s">
        <v>3330</v>
      </c>
      <c r="C39" s="3012" t="s">
        <v>3953</v>
      </c>
      <c r="D39" s="3013" t="s">
        <v>3453</v>
      </c>
      <c r="E39" s="3014" t="s">
        <v>3454</v>
      </c>
      <c r="F39" s="3014" t="s">
        <v>3455</v>
      </c>
      <c r="G39" s="3015" t="s">
        <v>3331</v>
      </c>
    </row>
    <row r="40" spans="1:10" ht="15">
      <c r="A40" s="2869" t="s">
        <v>3456</v>
      </c>
      <c r="B40" s="4491" t="s">
        <v>3304</v>
      </c>
      <c r="C40" s="3018">
        <f ca="1">SUM(C41:C46)</f>
        <v>0</v>
      </c>
      <c r="D40" s="3016"/>
      <c r="E40" s="3016"/>
      <c r="F40" s="3016"/>
      <c r="G40" s="4347"/>
    </row>
    <row r="41" spans="1:10" ht="15.75">
      <c r="A41" s="4487" t="s">
        <v>3305</v>
      </c>
      <c r="B41" s="4492" t="str">
        <f t="shared" ref="B41:C43" si="0">B10</f>
        <v xml:space="preserve">  建安费用</v>
      </c>
      <c r="C41" s="2735">
        <f t="shared" ca="1" si="0"/>
        <v>0</v>
      </c>
      <c r="D41" s="2730"/>
      <c r="E41" s="2730"/>
      <c r="F41" s="2731"/>
      <c r="G41" s="4348"/>
    </row>
    <row r="42" spans="1:10" ht="15.75">
      <c r="A42" s="4487" t="s">
        <v>3306</v>
      </c>
      <c r="B42" s="4492" t="str">
        <f t="shared" si="0"/>
        <v xml:space="preserve">  前期费用</v>
      </c>
      <c r="C42" s="2735">
        <f t="shared" ca="1" si="0"/>
        <v>0</v>
      </c>
      <c r="D42" s="2730"/>
      <c r="E42" s="2730"/>
      <c r="F42" s="2731"/>
      <c r="G42" s="4348"/>
    </row>
    <row r="43" spans="1:10" ht="15.75">
      <c r="A43" s="4487" t="s">
        <v>3370</v>
      </c>
      <c r="B43" s="4493" t="str">
        <f t="shared" si="0"/>
        <v xml:space="preserve">  公共配套设施费用</v>
      </c>
      <c r="C43" s="2735">
        <f t="shared" ca="1" si="0"/>
        <v>0</v>
      </c>
      <c r="D43" s="2730"/>
      <c r="E43" s="2730"/>
      <c r="F43" s="2731"/>
      <c r="G43" s="4348"/>
    </row>
    <row r="44" spans="1:10" ht="15.75">
      <c r="A44" s="4487" t="s">
        <v>3288</v>
      </c>
      <c r="B44" s="4493" t="str">
        <f>B18</f>
        <v>红线内市政费用</v>
      </c>
      <c r="C44" s="2735">
        <f ca="1">C18</f>
        <v>0</v>
      </c>
      <c r="D44" s="2730"/>
      <c r="E44" s="2730"/>
      <c r="F44" s="2731"/>
      <c r="G44" s="4348"/>
    </row>
    <row r="45" spans="1:10" ht="15.75">
      <c r="A45" s="4488" t="s">
        <v>3307</v>
      </c>
      <c r="B45" s="4494" t="str">
        <f>B19</f>
        <v xml:space="preserve">  其他工程费</v>
      </c>
      <c r="C45" s="2740">
        <f ca="1">C19</f>
        <v>0</v>
      </c>
      <c r="D45" s="2865"/>
      <c r="E45" s="2865"/>
      <c r="F45" s="2866"/>
      <c r="G45" s="4349"/>
    </row>
    <row r="46" spans="1:10" ht="15.75">
      <c r="A46" s="4488" t="s">
        <v>3369</v>
      </c>
      <c r="B46" s="4494" t="s">
        <v>3308</v>
      </c>
      <c r="C46" s="2740">
        <f ca="1">C20</f>
        <v>0</v>
      </c>
      <c r="D46" s="2865"/>
      <c r="E46" s="2865"/>
      <c r="F46" s="2866"/>
      <c r="G46" s="4349"/>
    </row>
    <row r="47" spans="1:10" ht="15">
      <c r="A47" s="4489" t="s">
        <v>3457</v>
      </c>
      <c r="B47" s="4489" t="s">
        <v>3458</v>
      </c>
      <c r="C47" s="2870">
        <f ca="1">ROUND(C40*F47,0)</f>
        <v>0</v>
      </c>
      <c r="D47" s="2871"/>
      <c r="E47" s="2871"/>
      <c r="F47" s="2872">
        <f>F21</f>
        <v>0</v>
      </c>
      <c r="G47" s="2873" t="s">
        <v>3459</v>
      </c>
    </row>
    <row r="48" spans="1:10" ht="15">
      <c r="A48" s="4489" t="s">
        <v>3460</v>
      </c>
      <c r="B48" s="4489" t="s">
        <v>3461</v>
      </c>
      <c r="C48" s="2874" t="str">
        <f>F48&amp;"V建1"</f>
        <v>0V建1</v>
      </c>
      <c r="D48" s="2871"/>
      <c r="E48" s="2871"/>
      <c r="F48" s="2872">
        <f>F22</f>
        <v>0</v>
      </c>
      <c r="G48" s="4609" t="s">
        <v>3993</v>
      </c>
    </row>
    <row r="49" spans="1:7" ht="15">
      <c r="A49" s="4489" t="s">
        <v>3462</v>
      </c>
      <c r="B49" s="4495" t="s">
        <v>3368</v>
      </c>
      <c r="C49" s="2768" t="e">
        <f ca="1">C50&amp;"+"&amp;C51&amp;"V建1"</f>
        <v>#VALUE!</v>
      </c>
      <c r="D49" s="302"/>
      <c r="E49" s="302"/>
      <c r="F49" s="2876" t="e">
        <f ca="1">F23</f>
        <v>#VALUE!</v>
      </c>
      <c r="G49" s="4350" t="str">
        <f>IF('数据-取费表'!B22&lt;=1,"单利计息","复利计息")</f>
        <v>单利计息</v>
      </c>
    </row>
    <row r="50" spans="1:7">
      <c r="A50" s="4487" t="s">
        <v>3305</v>
      </c>
      <c r="B50" s="4496"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4487" t="s">
        <v>3306</v>
      </c>
      <c r="B51" s="4493" t="s">
        <v>3311</v>
      </c>
      <c r="C51" s="2888" t="e">
        <f ca="1">ROUND(IF('数据-取费表'!B22&lt;=1,F48*F23*'数据-取费表'!B22/2,F48*(POWER((1+F23),'数据-取费表'!B22/2)-1)),4)</f>
        <v>#VALUE!</v>
      </c>
      <c r="D51" s="1070"/>
      <c r="E51" s="1070"/>
      <c r="F51" s="1053"/>
      <c r="G51" s="4840"/>
    </row>
    <row r="52" spans="1:7" ht="15">
      <c r="A52" s="4489" t="s">
        <v>3463</v>
      </c>
      <c r="B52" s="3007" t="s">
        <v>3312</v>
      </c>
      <c r="C52" s="2878" t="e">
        <f ca="1">C53&amp;"+"&amp;C54&amp;"V建1"</f>
        <v>#DIV/0!</v>
      </c>
      <c r="D52" s="2879"/>
      <c r="E52" s="2871"/>
      <c r="F52" s="2880" t="e">
        <f ca="1">F27</f>
        <v>#DIV/0!</v>
      </c>
      <c r="G52" s="2881" t="s">
        <v>3464</v>
      </c>
    </row>
    <row r="53" spans="1:7">
      <c r="A53" s="4487" t="s">
        <v>3305</v>
      </c>
      <c r="B53" s="4496" t="s">
        <v>3313</v>
      </c>
      <c r="C53" s="2735" t="e">
        <f ca="1">ROUND((C40+C47)*F27,0)</f>
        <v>#DIV/0!</v>
      </c>
      <c r="D53" s="2736"/>
      <c r="E53" s="2732"/>
      <c r="F53" s="2733"/>
      <c r="G53" s="2734"/>
    </row>
    <row r="54" spans="1:7">
      <c r="A54" s="4487" t="s">
        <v>3306</v>
      </c>
      <c r="B54" s="4496" t="s">
        <v>3314</v>
      </c>
      <c r="C54" s="2799" t="e">
        <f ca="1">ROUND(F48*F27,4)</f>
        <v>#DIV/0!</v>
      </c>
      <c r="D54" s="2736"/>
      <c r="E54" s="2732"/>
      <c r="F54" s="2733"/>
      <c r="G54" s="2734"/>
    </row>
    <row r="55" spans="1:7" ht="15">
      <c r="A55" s="4490" t="s">
        <v>3465</v>
      </c>
      <c r="B55" s="2746" t="s">
        <v>3466</v>
      </c>
      <c r="C55" s="4351">
        <v>0</v>
      </c>
      <c r="D55" s="2772"/>
      <c r="E55" s="302"/>
      <c r="F55" s="2876"/>
      <c r="G55" s="2883" t="s">
        <v>3317</v>
      </c>
    </row>
    <row r="56" spans="1:7" ht="16.5">
      <c r="A56" s="4490" t="s">
        <v>3470</v>
      </c>
      <c r="B56" s="4490" t="s">
        <v>3467</v>
      </c>
      <c r="C56" s="2768" t="e">
        <f ca="1">ROUND((C40+C47+C50+C53)/(1-F48-C51-C54),0)</f>
        <v>#VALUE!</v>
      </c>
      <c r="D56" s="302"/>
      <c r="E56" s="302"/>
      <c r="F56" s="2884"/>
      <c r="G56" s="2883" t="s">
        <v>3318</v>
      </c>
    </row>
    <row r="57" spans="1:7" ht="15">
      <c r="A57" s="4490" t="s">
        <v>3434</v>
      </c>
      <c r="B57" s="4497" t="s">
        <v>3300</v>
      </c>
      <c r="C57" s="2768" t="e">
        <f ca="1">ROUND(C56*(1-F57),0)</f>
        <v>#VALUE!</v>
      </c>
      <c r="D57" s="302"/>
      <c r="E57" s="302"/>
      <c r="F57" s="2884" t="e">
        <f>F31</f>
        <v>#DIV/0!</v>
      </c>
      <c r="G57" s="2883" t="s">
        <v>3319</v>
      </c>
    </row>
    <row r="58" spans="1:7" ht="16.5">
      <c r="A58" s="4490" t="s">
        <v>3468</v>
      </c>
      <c r="B58" s="4490" t="s">
        <v>3469</v>
      </c>
      <c r="C58" s="2768" t="e">
        <f ca="1">C56-C57</f>
        <v>#VALUE!</v>
      </c>
      <c r="D58" s="302"/>
      <c r="E58" s="302"/>
      <c r="F58" s="2884"/>
      <c r="G58" s="2883" t="s">
        <v>3320</v>
      </c>
    </row>
    <row r="59" spans="1:7" ht="15.75" thickBot="1">
      <c r="A59" s="2882" t="s">
        <v>3371</v>
      </c>
      <c r="B59" s="4498"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3030" t="s">
        <v>787</v>
      </c>
      <c r="C63" s="4425" t="e">
        <f ca="1">1-C64</f>
        <v>#VALUE!</v>
      </c>
    </row>
    <row r="64" spans="1:7" ht="21" customHeight="1">
      <c r="B64" s="3030"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39" t="s">
        <v>1527</v>
      </c>
    </row>
    <row r="43" spans="1:7" ht="13.5" customHeight="1">
      <c r="A43" s="540" t="s">
        <v>345</v>
      </c>
      <c r="B43" s="114" t="s">
        <v>1484</v>
      </c>
      <c r="C43" s="137" t="e">
        <f ca="1">ROUND(IF('数据-取费表'!B22&lt;=1,C39*F22*'数据-取费表'!B20/2,C39*(POWER((1+F22),'数据-取费表'!B20/2)-1)),0)</f>
        <v>#VALUE!</v>
      </c>
      <c r="D43" s="137"/>
      <c r="E43" s="137"/>
      <c r="F43" s="138"/>
      <c r="G43" s="4841"/>
    </row>
    <row r="44" spans="1:7" ht="13.5" customHeight="1">
      <c r="A44" s="540" t="s">
        <v>346</v>
      </c>
      <c r="B44" s="114" t="s">
        <v>1485</v>
      </c>
      <c r="C44" s="137" t="e">
        <f ca="1">ROUND(IF('数据-取费表'!B22&lt;=1,C40*F22*'数据-取费表'!B20/2,C40*(POWER((1+F22),'数据-取费表'!B20/2)-1)),4)</f>
        <v>#VALUE!</v>
      </c>
      <c r="D44" s="137"/>
      <c r="E44" s="137"/>
      <c r="F44" s="138"/>
      <c r="G44" s="484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4" t="s">
        <v>3818</v>
      </c>
      <c r="D4" s="2961" t="s">
        <v>3881</v>
      </c>
      <c r="E4" s="4363" t="s">
        <v>3882</v>
      </c>
      <c r="F4" s="4364"/>
      <c r="G4" s="4365"/>
      <c r="H4" s="2960" t="s">
        <v>3879</v>
      </c>
      <c r="I4" s="2961" t="s">
        <v>3880</v>
      </c>
      <c r="J4" s="3844" t="s">
        <v>3818</v>
      </c>
      <c r="K4" s="2961" t="s">
        <v>3881</v>
      </c>
      <c r="L4" s="4363" t="s">
        <v>3882</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3403</v>
      </c>
      <c r="C5" s="4465">
        <f ca="1">ROUND(C6+C10+C12,0)</f>
        <v>0</v>
      </c>
      <c r="D5" s="4366" t="s">
        <v>3885</v>
      </c>
      <c r="E5" s="4367"/>
      <c r="F5" s="4368"/>
      <c r="G5" s="4365"/>
      <c r="H5" s="4263">
        <v>1</v>
      </c>
      <c r="I5" s="4271" t="s">
        <v>3403</v>
      </c>
      <c r="J5" s="4465">
        <f ca="1">ROUND(J6+J10+J12,0)</f>
        <v>0</v>
      </c>
      <c r="K5" s="4366" t="s">
        <v>3885</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206">
        <f ca="1">C7-C9</f>
        <v>0</v>
      </c>
      <c r="D6" s="2952" t="s">
        <v>3800</v>
      </c>
      <c r="E6" s="2950" t="s">
        <v>3401</v>
      </c>
      <c r="F6" s="3272">
        <f ca="1">INDIRECT("'数据-取费表'!u"&amp;$G$1)</f>
        <v>0</v>
      </c>
      <c r="G6" s="991"/>
      <c r="H6" s="745" t="s">
        <v>392</v>
      </c>
      <c r="I6" s="2951" t="s">
        <v>3796</v>
      </c>
      <c r="J6" s="4456">
        <f ca="1">J7-J9</f>
        <v>0</v>
      </c>
      <c r="K6" s="2952" t="s">
        <v>3800</v>
      </c>
      <c r="L6" s="2950" t="s">
        <v>3401</v>
      </c>
      <c r="M6" s="3272">
        <f ca="1">INDIRECT("'数据-取费表'!z"&amp;$G$1)</f>
        <v>0</v>
      </c>
    </row>
    <row r="7" spans="1:37" ht="18" customHeight="1">
      <c r="A7" s="4842" t="s">
        <v>391</v>
      </c>
      <c r="B7" s="4845" t="s">
        <v>3794</v>
      </c>
      <c r="C7" s="4850">
        <f ca="1">ROUND(F6*F7*F8/10000,2)</f>
        <v>0</v>
      </c>
      <c r="D7" s="4844" t="s">
        <v>3472</v>
      </c>
      <c r="E7" s="4451" t="s">
        <v>682</v>
      </c>
      <c r="F7" s="3972">
        <f ca="1">IF(INDIRECT("'数据-取费表'!ah"&amp;$G$1)="",INDIRECT("'数据-取费表'!k"&amp;$G$1),INDIRECT("'数据-取费表'!ah"&amp;$G$1))</f>
        <v>0</v>
      </c>
      <c r="G7" s="991"/>
      <c r="H7" s="4842" t="s">
        <v>391</v>
      </c>
      <c r="I7" s="4845" t="s">
        <v>3794</v>
      </c>
      <c r="J7" s="4847">
        <f ca="1">ROUND(M6*M8*M7/10000,2)</f>
        <v>0</v>
      </c>
      <c r="K7" s="4844" t="s">
        <v>3472</v>
      </c>
      <c r="L7" s="190" t="s">
        <v>682</v>
      </c>
      <c r="M7" s="3972">
        <f ca="1">F7</f>
        <v>0</v>
      </c>
    </row>
    <row r="8" spans="1:37" ht="18" customHeight="1">
      <c r="A8" s="4843"/>
      <c r="B8" s="4846"/>
      <c r="C8" s="4850"/>
      <c r="D8" s="4844"/>
      <c r="E8" s="190" t="str">
        <f ca="1">IF(F8=1,"年",IF(F8=12,"月","天"))</f>
        <v>天</v>
      </c>
      <c r="F8" s="3677">
        <f ca="1">INDIRECT("'数据-取费表'!ai"&amp;$G$1)</f>
        <v>0</v>
      </c>
      <c r="G8" s="991"/>
      <c r="H8" s="4843"/>
      <c r="I8" s="4846"/>
      <c r="J8" s="4847"/>
      <c r="K8" s="4844"/>
      <c r="L8" s="190" t="str">
        <f ca="1">IF(M8=1,"年",IF(M8=12,"月","天"))</f>
        <v>天</v>
      </c>
      <c r="M8" s="3677">
        <f ca="1">INDIRECT("'数据-取费表'!ai"&amp;$G$1)</f>
        <v>0</v>
      </c>
    </row>
    <row r="9" spans="1:37" ht="18" customHeight="1">
      <c r="A9" s="2937" t="s">
        <v>3402</v>
      </c>
      <c r="B9" s="4455" t="s">
        <v>3795</v>
      </c>
      <c r="C9" s="4454">
        <f ca="1">ROUND(C7*F9,2)</f>
        <v>0</v>
      </c>
      <c r="D9" s="2952" t="s">
        <v>3799</v>
      </c>
      <c r="E9" s="190" t="s">
        <v>684</v>
      </c>
      <c r="F9" s="3004">
        <f ca="1">INDIRECT("'数据-取费表'!w"&amp;$G$1)</f>
        <v>0</v>
      </c>
      <c r="G9" s="991"/>
      <c r="H9" s="2937" t="s">
        <v>3402</v>
      </c>
      <c r="I9" s="4455" t="s">
        <v>3795</v>
      </c>
      <c r="J9" s="4456">
        <f ca="1">ROUND(J7*M9,2)</f>
        <v>0</v>
      </c>
      <c r="K9" s="2952" t="s">
        <v>3799</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2021</v>
      </c>
      <c r="E10" s="201" t="s">
        <v>686</v>
      </c>
      <c r="F10" s="3000"/>
      <c r="G10" s="991"/>
      <c r="H10" s="745" t="s">
        <v>396</v>
      </c>
      <c r="I10" s="972" t="s">
        <v>685</v>
      </c>
      <c r="J10" s="4458">
        <f ca="1">ROUND(IF(M10="押一",J6/12*M11,IF(M10="押二",J6/12*2*M11,IF(M10="押三",J6/12*3*M11,J11*M11))),2)</f>
        <v>0</v>
      </c>
      <c r="K10" s="973" t="s">
        <v>2020</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4" t="e">
        <f ca="1">ROUND(C14+C22+C24+C26,0)</f>
        <v>#VALUE!</v>
      </c>
      <c r="D13" s="4369" t="s">
        <v>3887</v>
      </c>
      <c r="E13" s="4370"/>
      <c r="F13" s="4368"/>
      <c r="G13" s="4365"/>
      <c r="H13" s="754" t="s">
        <v>3677</v>
      </c>
      <c r="I13" s="755" t="s">
        <v>3886</v>
      </c>
      <c r="J13" s="4204" t="e">
        <f ca="1">ROUND(J14+J22+J24+J26,0)</f>
        <v>#VALUE!</v>
      </c>
      <c r="K13" s="4371" t="s">
        <v>3888</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3970</v>
      </c>
      <c r="C14" s="4456"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3970</v>
      </c>
      <c r="J14" s="4456" t="e">
        <f ca="1">ROUND(IF(AND(项目基本情况!B11="自然人",项目基本情况!B10="北京市",M56="住宅"),J6*M14/(1+'数据-取费表'!C43),J15+J19+J20),2)</f>
        <v>#VALUE!</v>
      </c>
      <c r="K14" s="2977" t="s">
        <v>3445</v>
      </c>
      <c r="L14" s="4598" t="str">
        <f>E14</f>
        <v/>
      </c>
      <c r="M14" s="4188" t="str">
        <f>IF(M56="非住宅","",IF(M6*M7*M8/12/(1+'数据-取费表'!F30)&gt;100000,4%,2.5%))</f>
        <v/>
      </c>
    </row>
    <row r="15" spans="1:37" s="1003" customFormat="1" ht="18" customHeight="1">
      <c r="A15" s="2937" t="s">
        <v>3404</v>
      </c>
      <c r="B15" s="2950" t="s">
        <v>3966</v>
      </c>
      <c r="C15" s="4456" t="e">
        <f ca="1">C18</f>
        <v>#VALUE!</v>
      </c>
      <c r="D15" s="4460" t="s">
        <v>3975</v>
      </c>
      <c r="E15" s="4461"/>
      <c r="F15" s="4499"/>
      <c r="G15" s="1002"/>
      <c r="H15" s="2937" t="s">
        <v>391</v>
      </c>
      <c r="I15" s="2950" t="s">
        <v>3966</v>
      </c>
      <c r="J15" s="4456" t="e">
        <f ca="1">J18</f>
        <v>#VALUE!</v>
      </c>
      <c r="K15" s="4460" t="s">
        <v>3965</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1" t="s">
        <v>3863</v>
      </c>
      <c r="L16" s="2958" t="s">
        <v>3407</v>
      </c>
      <c r="M16" s="3002">
        <v>0.09</v>
      </c>
    </row>
    <row r="17" spans="1:37" s="1003" customFormat="1" ht="18" customHeight="1">
      <c r="A17" s="2739" t="s">
        <v>3290</v>
      </c>
      <c r="B17" s="2954" t="s">
        <v>3406</v>
      </c>
      <c r="C17" s="2978" t="e">
        <f ca="1">ROUND(C22*F16+((C24+C26)*F17),2)</f>
        <v>#VALUE!</v>
      </c>
      <c r="D17" s="4340" t="s">
        <v>3858</v>
      </c>
      <c r="E17" s="2959"/>
      <c r="F17" s="3002">
        <v>0.06</v>
      </c>
      <c r="G17" s="1002"/>
      <c r="H17" s="2739" t="s">
        <v>3290</v>
      </c>
      <c r="I17" s="2954" t="s">
        <v>3406</v>
      </c>
      <c r="J17" s="2978" t="e">
        <f ca="1">ROUND(J22*M16+((J24+J26)*M17),2)</f>
        <v>#VALUE!</v>
      </c>
      <c r="K17" s="4340"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t="e">
        <f ca="1">ROUND((C16-C17)*F18,2)</f>
        <v>#VALUE!</v>
      </c>
      <c r="D18" s="2977" t="s">
        <v>3985</v>
      </c>
      <c r="E18" s="190" t="s">
        <v>3986</v>
      </c>
      <c r="F18" s="3002">
        <f>'数据-取费表'!B44</f>
        <v>0</v>
      </c>
      <c r="G18" s="1002"/>
      <c r="H18" s="2739" t="s">
        <v>3963</v>
      </c>
      <c r="I18" s="2954" t="s">
        <v>3962</v>
      </c>
      <c r="J18" s="2978" t="e">
        <f ca="1">ROUND((J16-J17)*M18,2)</f>
        <v>#VALUE!</v>
      </c>
      <c r="K18" s="2977" t="s">
        <v>3985</v>
      </c>
      <c r="L18" s="190" t="s">
        <v>3986</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6"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3968</v>
      </c>
      <c r="C20" s="4458">
        <f ca="1">IF(AND(项目基本情况!B11="自然人",M56="住宅"),"——",ROUND(F20*F21/10000,2))</f>
        <v>0</v>
      </c>
      <c r="D20" s="211" t="s">
        <v>716</v>
      </c>
      <c r="E20" s="190" t="s">
        <v>717</v>
      </c>
      <c r="F20" s="3003">
        <f>'数据-取费表'!B53</f>
        <v>0</v>
      </c>
      <c r="G20" s="991"/>
      <c r="H20" s="4462" t="s">
        <v>666</v>
      </c>
      <c r="I20" s="983" t="s">
        <v>3968</v>
      </c>
      <c r="J20" s="4458">
        <f ca="1">ROUND(M20*M21/10000,2)</f>
        <v>0</v>
      </c>
      <c r="K20" s="211" t="s">
        <v>716</v>
      </c>
      <c r="L20" s="190" t="s">
        <v>717</v>
      </c>
      <c r="M20" s="3003">
        <f>'数据-取费表'!B53</f>
        <v>0</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t="e">
        <f ca="1">ROUND(C51*F22,2)</f>
        <v>#VALUE!</v>
      </c>
      <c r="D22" s="4284" t="s">
        <v>3819</v>
      </c>
      <c r="E22" s="190" t="s">
        <v>697</v>
      </c>
      <c r="F22" s="3004">
        <f ca="1">INDIRECT("'数据-取费表'!Ak"&amp;$G$1)</f>
        <v>0</v>
      </c>
      <c r="G22" s="1002"/>
      <c r="H22" s="4210" t="s">
        <v>396</v>
      </c>
      <c r="I22" s="60" t="s">
        <v>723</v>
      </c>
      <c r="J22" s="4211" t="e">
        <f ca="1">ROUND(J35*M22,2)</f>
        <v>#VALUE!</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3820</v>
      </c>
      <c r="F23" s="3677" t="e">
        <f ca="1">C51</f>
        <v>#VALUE!</v>
      </c>
      <c r="G23" s="1002"/>
      <c r="H23" s="213"/>
      <c r="I23" s="199"/>
      <c r="J23" s="4212"/>
      <c r="K23" s="4285"/>
      <c r="L23" s="2950" t="s">
        <v>3820</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t="e">
        <f ca="1">ROUND(C53*F24,2)</f>
        <v>#VALUE!</v>
      </c>
      <c r="D24" s="4284" t="s">
        <v>3443</v>
      </c>
      <c r="E24" s="190" t="s">
        <v>729</v>
      </c>
      <c r="F24" s="3004">
        <f ca="1">INDIRECT("'数据-取费表'!Al"&amp;$G$1)</f>
        <v>0</v>
      </c>
      <c r="G24" s="991"/>
      <c r="H24" s="4210" t="s">
        <v>431</v>
      </c>
      <c r="I24" s="60" t="s">
        <v>727</v>
      </c>
      <c r="J24" s="4211" t="e">
        <f ca="1">ROUND(J37*M24,2)</f>
        <v>#VALUE!</v>
      </c>
      <c r="K24" s="4284" t="s">
        <v>3823</v>
      </c>
      <c r="L24" s="190" t="s">
        <v>729</v>
      </c>
      <c r="M24" s="3004">
        <f ca="1">INDIRECT("'数据-取费表'!Al"&amp;$G$1)</f>
        <v>0</v>
      </c>
    </row>
    <row r="25" spans="1:37" ht="18" customHeight="1">
      <c r="A25" s="213"/>
      <c r="B25" s="199"/>
      <c r="C25" s="4212"/>
      <c r="D25" s="4285"/>
      <c r="E25" s="4283" t="s">
        <v>3821</v>
      </c>
      <c r="F25" s="3677" t="e">
        <f ca="1">C53</f>
        <v>#VALUE!</v>
      </c>
      <c r="G25" s="991"/>
      <c r="H25" s="213"/>
      <c r="I25" s="199"/>
      <c r="J25" s="4212"/>
      <c r="K25" s="4285"/>
      <c r="L25" s="4283" t="s">
        <v>3821</v>
      </c>
      <c r="M25" s="3677" t="e">
        <f ca="1">J37</f>
        <v>#VALUE!</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3678</v>
      </c>
      <c r="B27" s="769" t="s">
        <v>3889</v>
      </c>
      <c r="C27" s="4204" t="e">
        <f ca="1">C5-C13</f>
        <v>#VALUE!</v>
      </c>
      <c r="D27" s="4373" t="s">
        <v>3890</v>
      </c>
      <c r="E27" s="4374"/>
      <c r="F27" s="4375"/>
      <c r="G27" s="4376"/>
      <c r="H27" s="754" t="s">
        <v>3301</v>
      </c>
      <c r="I27" s="769" t="s">
        <v>3889</v>
      </c>
      <c r="J27" s="4204" t="e">
        <f ca="1">J5-J13</f>
        <v>#VALUE!</v>
      </c>
      <c r="K27" s="4373" t="s">
        <v>3890</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87">
        <f ca="1">IF(C5&lt;&gt;0,ROUND(C27*(1-((1+F30)/(1+F28))^F29)/(F28-F30),0),0)</f>
        <v>0</v>
      </c>
      <c r="D28" s="4379" t="s">
        <v>3892</v>
      </c>
      <c r="E28" s="2962" t="s">
        <v>3893</v>
      </c>
      <c r="F28" s="3004">
        <f ca="1">INDIRECT("'数据-取费表'!I"&amp;$G$1)</f>
        <v>0</v>
      </c>
      <c r="G28" s="4365"/>
      <c r="H28" s="4263" t="s">
        <v>3679</v>
      </c>
      <c r="I28" s="4266" t="s">
        <v>3894</v>
      </c>
      <c r="J28" s="4287">
        <f ca="1">IF(J5&lt;&gt;0,ROUND(J27*(1-((1+M30)/(1+M28))^M29)/(M28-M30),0),0)</f>
        <v>0</v>
      </c>
      <c r="K28" s="4379" t="s">
        <v>3892</v>
      </c>
      <c r="L28" s="4380" t="s">
        <v>3893</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3895</v>
      </c>
      <c r="E29" s="2962" t="s">
        <v>3896</v>
      </c>
      <c r="F29" s="3005">
        <f ca="1">IF(INDIRECT("'数据-取费表'!af"&amp;$G$1)=0,INDIRECT("'数据-取费表'!ae"&amp;$G$1),INDIRECT("'数据-取费表'!af"&amp;$G$1))</f>
        <v>0</v>
      </c>
      <c r="G29" s="4365"/>
      <c r="H29" s="4264"/>
      <c r="I29" s="4267"/>
      <c r="J29" s="4288"/>
      <c r="K29" s="68" t="s">
        <v>3897</v>
      </c>
      <c r="L29" s="2962" t="s">
        <v>3896</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68"/>
      <c r="L30" s="2962" t="s">
        <v>3898</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f ca="1">ROUND(C28*(1+F31),0)</f>
        <v>0</v>
      </c>
      <c r="D31" s="4382" t="s">
        <v>3683</v>
      </c>
      <c r="E31" s="4383" t="str">
        <f>IF(D31="其他类型公式—收益价值×（1+9%）","销项税率","征收率")</f>
        <v>销项税率</v>
      </c>
      <c r="F31" s="3004">
        <f>IF(D31="其他类型公式—收益价值×（1+9%）",9%,3%)</f>
        <v>0.09</v>
      </c>
      <c r="G31" s="4376"/>
      <c r="H31" s="203" t="s">
        <v>3680</v>
      </c>
      <c r="I31" s="2962" t="s">
        <v>3900</v>
      </c>
      <c r="J31" s="4464">
        <f ca="1">ROUND(J28/(1+F28)^F29,0)</f>
        <v>0</v>
      </c>
      <c r="K31" s="4280" t="s">
        <v>3813</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3901</v>
      </c>
      <c r="E32" s="222" t="s">
        <v>3902</v>
      </c>
      <c r="F32" s="3006">
        <f ca="1">INDIRECT("'数据-取费表'!k"&amp;$G$1)</f>
        <v>0</v>
      </c>
      <c r="G32" s="4376"/>
      <c r="H32" s="4182" t="s">
        <v>3681</v>
      </c>
      <c r="I32" s="4183" t="s">
        <v>3903</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c r="A34" s="4358" t="s">
        <v>3879</v>
      </c>
      <c r="B34" s="4359" t="s">
        <v>3880</v>
      </c>
      <c r="C34" s="4360" t="s">
        <v>3818</v>
      </c>
      <c r="D34" s="4359" t="s">
        <v>3881</v>
      </c>
      <c r="E34" s="4361" t="s">
        <v>3882</v>
      </c>
      <c r="F34" s="4362"/>
      <c r="G34" s="4365"/>
      <c r="H34" s="4358" t="s">
        <v>3879</v>
      </c>
      <c r="I34" s="4359" t="s">
        <v>3880</v>
      </c>
      <c r="J34" s="4360" t="s">
        <v>3818</v>
      </c>
      <c r="K34" s="4359" t="s">
        <v>3881</v>
      </c>
      <c r="L34" s="4361" t="s">
        <v>3882</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3408</v>
      </c>
      <c r="B35" s="2962" t="s">
        <v>3409</v>
      </c>
      <c r="C35" s="4270">
        <f ca="1">SUM(C36:C41)</f>
        <v>0</v>
      </c>
      <c r="D35" s="4280" t="s">
        <v>3416</v>
      </c>
      <c r="E35" s="1053"/>
      <c r="F35" s="3538"/>
      <c r="G35" s="991"/>
      <c r="H35" s="4281" t="s">
        <v>3408</v>
      </c>
      <c r="I35" s="4282"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0</v>
      </c>
      <c r="G37" s="991"/>
      <c r="H37" s="2985" t="s">
        <v>3450</v>
      </c>
      <c r="I37" s="4286" t="s">
        <v>3822</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2963" t="s">
        <v>3816</v>
      </c>
      <c r="E43" s="2962" t="s">
        <v>3817</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81">
        <f>ROUND(F50/(1+'数据-取费表'!C43),4)</f>
        <v>0</v>
      </c>
      <c r="D50" s="4343" t="s">
        <v>3871</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3883</v>
      </c>
      <c r="E52" s="2962" t="s">
        <v>3884</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9" t="e">
        <f ca="1">IF(D2="含税",C83-C31,C80-C28)</f>
        <v>#VALUE!</v>
      </c>
      <c r="D55" s="1012" t="str">
        <f>C2</f>
        <v>万元</v>
      </c>
      <c r="E55" s="1006"/>
      <c r="F55" s="1006"/>
      <c r="I55" s="1013" t="s">
        <v>795</v>
      </c>
      <c r="J55" s="1014"/>
      <c r="K55" s="1015"/>
      <c r="L55" s="4248" t="e">
        <f ca="1">IF(M56="住宅",0,IF(L57&gt;J60,L69,J69))</f>
        <v>#VALUE!</v>
      </c>
      <c r="O55" s="4401" t="s">
        <v>1325</v>
      </c>
      <c r="P55" s="4402" t="s">
        <v>3908</v>
      </c>
      <c r="Q55" s="4403" t="s">
        <v>3909</v>
      </c>
      <c r="R55" s="4403" t="s">
        <v>3910</v>
      </c>
    </row>
    <row r="56" spans="1:18" s="991" customFormat="1" ht="13.5" thickBot="1">
      <c r="A56" s="4388" t="s">
        <v>3879</v>
      </c>
      <c r="B56" s="4389" t="s">
        <v>3880</v>
      </c>
      <c r="C56" s="4360" t="s">
        <v>3818</v>
      </c>
      <c r="D56" s="4389" t="s">
        <v>3881</v>
      </c>
      <c r="E56" s="4390" t="s">
        <v>3882</v>
      </c>
      <c r="F56" s="739"/>
      <c r="G56" s="515"/>
      <c r="I56" s="1020" t="s">
        <v>800</v>
      </c>
      <c r="J56" s="1021"/>
      <c r="K56" s="1022" t="s">
        <v>801</v>
      </c>
      <c r="L56" s="4249">
        <f ca="1">INDIRECT("'数据-取费表'!d"&amp;$G$1)</f>
        <v>0</v>
      </c>
      <c r="M56" s="987" t="str">
        <f>IF(ISNUMBER(FIND("住宅",C1)),"住宅","非住宅")</f>
        <v>非住宅</v>
      </c>
      <c r="O56" s="4404" t="s">
        <v>397</v>
      </c>
      <c r="P56" s="4405" t="s">
        <v>3911</v>
      </c>
      <c r="Q56" s="4407">
        <f ca="1">C28+J31</f>
        <v>0</v>
      </c>
      <c r="R56" s="4406" t="s">
        <v>3912</v>
      </c>
    </row>
    <row r="57" spans="1:18" s="991" customFormat="1" ht="42.75" thickBot="1">
      <c r="A57" s="687" t="s">
        <v>432</v>
      </c>
      <c r="B57" s="4266" t="s">
        <v>3904</v>
      </c>
      <c r="C57" s="4391">
        <f ca="1">ROUND(C58+C62+C64,0)</f>
        <v>0</v>
      </c>
      <c r="D57" s="4366" t="s">
        <v>3905</v>
      </c>
      <c r="E57" s="4392"/>
      <c r="F57" s="672"/>
      <c r="G57" s="515"/>
      <c r="H57" s="516"/>
      <c r="I57" s="1027" t="s">
        <v>804</v>
      </c>
      <c r="J57" s="1028"/>
      <c r="K57" s="1029" t="s">
        <v>805</v>
      </c>
      <c r="L57" s="4238">
        <f ca="1">INDIRECT("'数据-取费表'!f"&amp;$G$1)</f>
        <v>0</v>
      </c>
      <c r="O57" s="4404" t="s">
        <v>398</v>
      </c>
      <c r="P57" s="4405" t="s">
        <v>3913</v>
      </c>
      <c r="Q57" s="4407" t="e">
        <f ca="1">J69</f>
        <v>#VALUE!</v>
      </c>
      <c r="R57" s="4406" t="s">
        <v>3914</v>
      </c>
    </row>
    <row r="58" spans="1:18" s="991" customFormat="1" ht="15.75" thickBot="1">
      <c r="A58" s="4215" t="s">
        <v>3805</v>
      </c>
      <c r="B58" s="2951" t="s">
        <v>3796</v>
      </c>
      <c r="C58" s="4207">
        <f ca="1">C59-C61</f>
        <v>0</v>
      </c>
      <c r="D58" s="2952" t="s">
        <v>3800</v>
      </c>
      <c r="E58" s="2974" t="s">
        <v>3441</v>
      </c>
      <c r="F58" s="3682"/>
      <c r="G58" s="1031"/>
      <c r="H58" s="516"/>
      <c r="I58" s="1027" t="s">
        <v>808</v>
      </c>
      <c r="J58" s="4236"/>
      <c r="K58" s="1029" t="s">
        <v>809</v>
      </c>
      <c r="L58" s="4250"/>
      <c r="O58" s="1034" t="s">
        <v>399</v>
      </c>
      <c r="P58" s="1025" t="s">
        <v>810</v>
      </c>
      <c r="Q58" s="3698" t="e">
        <f ca="1">C51</f>
        <v>#VALUE!</v>
      </c>
      <c r="R58" s="1026" t="s">
        <v>803</v>
      </c>
    </row>
    <row r="59" spans="1:18" s="991" customFormat="1" ht="13.5" thickBot="1">
      <c r="A59" s="4222" t="s">
        <v>3404</v>
      </c>
      <c r="B59" s="4851" t="s">
        <v>3794</v>
      </c>
      <c r="C59" s="4852">
        <f ca="1">ROUND(F58*F60*F59/10000,2)</f>
        <v>0</v>
      </c>
      <c r="D59" s="4844" t="s">
        <v>3472</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851"/>
      <c r="C60" s="4853"/>
      <c r="D60" s="4844"/>
      <c r="E60" s="691" t="str">
        <f ca="1">IF(F60=1,"年",IF(F60=12,"月","天"))</f>
        <v>天</v>
      </c>
      <c r="F60" s="3677">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18" s="991" customFormat="1" ht="13.5" thickBot="1">
      <c r="A61" s="4224" t="s">
        <v>3402</v>
      </c>
      <c r="B61" s="4457" t="s">
        <v>3795</v>
      </c>
      <c r="C61" s="4208">
        <f ca="1">ROUND(C59*F61,2)</f>
        <v>0</v>
      </c>
      <c r="D61" s="2952" t="s">
        <v>3799</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3449</v>
      </c>
      <c r="B62" s="980" t="s">
        <v>685</v>
      </c>
      <c r="C62" s="4456">
        <f ca="1">ROUND(IF(F62="押一",C58/12*F11,IF(F62="押二",C58/12*2*F11,IF(F62="押三",C58/12*3*F11,C63*F11))),2)</f>
        <v>0</v>
      </c>
      <c r="D62" s="973" t="s">
        <v>2020</v>
      </c>
      <c r="E62" s="201" t="s">
        <v>686</v>
      </c>
      <c r="F62" s="3683"/>
      <c r="I62" s="1045" t="s">
        <v>821</v>
      </c>
      <c r="J62" s="4240">
        <f ca="1">IF(M56="住宅",IF(D1="——",MAX(J60,L57),MAX(J60,L57-'数据-取费表'!B24)),IF(D1="——",MIN(J60,L57),MIN(J60,L57-'数据-取费表'!B24)))</f>
        <v>0</v>
      </c>
      <c r="K62" s="4848" t="s">
        <v>822</v>
      </c>
      <c r="L62" s="4849"/>
      <c r="O62" s="4404" t="s">
        <v>403</v>
      </c>
      <c r="P62" s="4408" t="s">
        <v>3918</v>
      </c>
      <c r="Q62" s="4407" t="e">
        <f ca="1">ROUND((Q56+Q57)*(1+F31),0)</f>
        <v>#VALUE!</v>
      </c>
      <c r="R62" s="4406" t="s">
        <v>3919</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3806</v>
      </c>
      <c r="B64" s="976" t="s">
        <v>688</v>
      </c>
      <c r="C64" s="4205"/>
      <c r="D64" s="973"/>
      <c r="E64" s="4452"/>
      <c r="F64" s="1046"/>
      <c r="I64" s="1049" t="s">
        <v>825</v>
      </c>
      <c r="J64" s="4242" t="e">
        <f ca="1">ROUND(IF(J56="钢混",J66/J59,1-(1-2%)*(J59-J66)/J59),3)</f>
        <v>#DIV/0!</v>
      </c>
      <c r="K64" s="1051" t="s">
        <v>826</v>
      </c>
      <c r="L64" s="1052"/>
      <c r="O64" s="4401" t="s">
        <v>1325</v>
      </c>
      <c r="P64" s="4402" t="s">
        <v>3908</v>
      </c>
      <c r="Q64" s="4403" t="s">
        <v>3909</v>
      </c>
      <c r="R64" s="4403" t="s">
        <v>3910</v>
      </c>
    </row>
    <row r="65" spans="1:18" s="991" customFormat="1" ht="25.5" thickTop="1" thickBot="1">
      <c r="A65" s="203" t="s">
        <v>3677</v>
      </c>
      <c r="B65" s="668" t="s">
        <v>3886</v>
      </c>
      <c r="C65" s="4464" t="e">
        <f ca="1">ROUND(C66+C74+C76+C78,0)</f>
        <v>#VALUE!</v>
      </c>
      <c r="D65" s="668" t="s">
        <v>3906</v>
      </c>
      <c r="E65" s="671"/>
      <c r="F65" s="672"/>
      <c r="I65" s="1055" t="s">
        <v>827</v>
      </c>
      <c r="J65" s="4243"/>
      <c r="K65" s="1027" t="s">
        <v>828</v>
      </c>
      <c r="L65" s="4238">
        <f ca="1">IF(L57&lt;J60,"——",L57-J62)</f>
        <v>0</v>
      </c>
      <c r="O65" s="4404" t="s">
        <v>397</v>
      </c>
      <c r="P65" s="4405" t="s">
        <v>3911</v>
      </c>
      <c r="Q65" s="4407">
        <f ca="1">C28+J31</f>
        <v>0</v>
      </c>
      <c r="R65" s="4406" t="s">
        <v>3912</v>
      </c>
    </row>
    <row r="66" spans="1:18" s="991" customFormat="1" ht="24.75" thickBot="1">
      <c r="A66" s="546" t="s">
        <v>392</v>
      </c>
      <c r="B66" s="2932" t="s">
        <v>3970</v>
      </c>
      <c r="C66" s="4456" t="e">
        <f ca="1">ROUND(IF(AND(项目基本情况!B11="自然人",项目基本情况!B10="北京市",M56="住宅"),C58*F66,C67+C71+C72),2)</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4462" t="s">
        <v>391</v>
      </c>
      <c r="B67" s="2950" t="s">
        <v>3966</v>
      </c>
      <c r="C67" s="4456" t="e">
        <f ca="1">C70</f>
        <v>#VALUE!</v>
      </c>
      <c r="D67" s="4460"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6">
        <f ca="1">ROUND(C58*F68,2)</f>
        <v>0</v>
      </c>
      <c r="D68" s="1053" t="s">
        <v>3869</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6" t="e">
        <f ca="1">ROUND(C74*F68+((C76+C78)*F69),2)</f>
        <v>#VALUE!</v>
      </c>
      <c r="D69" s="4340" t="s">
        <v>3870</v>
      </c>
      <c r="E69" s="2959"/>
      <c r="F69" s="3002">
        <f t="shared" ref="F69" si="0">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4456" t="e">
        <f ca="1">ROUND((C68-C69)*F70,2)</f>
        <v>#VALUE!</v>
      </c>
      <c r="D70" s="2977" t="s">
        <v>3985</v>
      </c>
      <c r="E70" s="190" t="s">
        <v>3986</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3973</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3918</v>
      </c>
      <c r="Q71" s="4409" t="e">
        <f ca="1">ROUND((Q65+Q66)*(1+F31),0)</f>
        <v>#VALUE!</v>
      </c>
      <c r="R71" s="4406" t="s">
        <v>3919</v>
      </c>
    </row>
    <row r="72" spans="1:18" s="991" customFormat="1" ht="13.5" thickBot="1">
      <c r="A72" s="4462" t="s">
        <v>769</v>
      </c>
      <c r="B72" s="4449" t="s">
        <v>3968</v>
      </c>
      <c r="C72" s="4458">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t="e">
        <f ca="1">ROUND(F74*F75,2)</f>
        <v>#VALUE!</v>
      </c>
      <c r="D74" s="4213" t="s">
        <v>3440</v>
      </c>
      <c r="E74" s="4226" t="s">
        <v>3801</v>
      </c>
      <c r="F74" s="4227" t="e">
        <f ca="1">C51</f>
        <v>#VALUE!</v>
      </c>
      <c r="I74" s="1068" t="s">
        <v>851</v>
      </c>
      <c r="J74" s="3685">
        <v>40</v>
      </c>
      <c r="K74" s="3685">
        <v>30</v>
      </c>
      <c r="L74" s="3685">
        <v>50</v>
      </c>
      <c r="M74" s="1071">
        <v>0.02</v>
      </c>
      <c r="O74" s="4404" t="s">
        <v>397</v>
      </c>
      <c r="P74" s="4405" t="s">
        <v>3911</v>
      </c>
      <c r="Q74" s="4407">
        <f ca="1">C28+J31</f>
        <v>0</v>
      </c>
      <c r="R74" s="4406" t="s">
        <v>3912</v>
      </c>
    </row>
    <row r="75" spans="1:18" s="991" customFormat="1" ht="15" thickBot="1">
      <c r="A75" s="4220"/>
      <c r="B75" s="666"/>
      <c r="C75" s="4212"/>
      <c r="D75" s="4214"/>
      <c r="E75" s="660" t="s">
        <v>768</v>
      </c>
      <c r="F75" s="3004">
        <f ca="1">F22</f>
        <v>0</v>
      </c>
      <c r="O75" s="4404" t="s">
        <v>398</v>
      </c>
      <c r="P75" s="4405" t="s">
        <v>3915</v>
      </c>
      <c r="Q75" s="4409" t="e">
        <f ca="1">L69</f>
        <v>#VALUE!</v>
      </c>
      <c r="R75" s="4406" t="s">
        <v>3917</v>
      </c>
    </row>
    <row r="76" spans="1:18" s="991" customFormat="1" ht="13.5" thickBot="1">
      <c r="A76" s="4219" t="s">
        <v>777</v>
      </c>
      <c r="B76" s="659" t="s">
        <v>727</v>
      </c>
      <c r="C76" s="4211" t="e">
        <f ca="1">ROUND(F76*F77,2)</f>
        <v>#VALUE!</v>
      </c>
      <c r="D76" s="4213" t="s">
        <v>3443</v>
      </c>
      <c r="E76" s="4226" t="s">
        <v>3802</v>
      </c>
      <c r="F76" s="4228" t="e">
        <f ca="1">C53</f>
        <v>#VALUE!</v>
      </c>
      <c r="O76" s="1024"/>
      <c r="P76" s="1025"/>
      <c r="Q76" s="3694"/>
      <c r="R76" s="1026"/>
    </row>
    <row r="77" spans="1:18" s="991" customFormat="1" ht="16.5" thickBot="1">
      <c r="A77" s="4221"/>
      <c r="B77" s="666"/>
      <c r="C77" s="4212"/>
      <c r="D77" s="4214"/>
      <c r="E77" s="660" t="s">
        <v>729</v>
      </c>
      <c r="F77" s="3004">
        <f ca="1">F24</f>
        <v>0</v>
      </c>
      <c r="O77" s="1034" t="s">
        <v>399</v>
      </c>
      <c r="P77" s="1025" t="s">
        <v>834</v>
      </c>
      <c r="Q77" s="3698" t="e">
        <f ca="1">L60</f>
        <v>#VALUE!</v>
      </c>
      <c r="R77" s="1026" t="s">
        <v>854</v>
      </c>
    </row>
    <row r="78" spans="1:18" s="991" customFormat="1" ht="13.5" thickBot="1">
      <c r="A78" s="4221" t="s">
        <v>778</v>
      </c>
      <c r="B78" s="660" t="s">
        <v>713</v>
      </c>
      <c r="C78" s="4456">
        <f ca="1">ROUND(C57*F78,2)</f>
        <v>0</v>
      </c>
      <c r="D78" s="674" t="s">
        <v>3867</v>
      </c>
      <c r="E78" s="660" t="s">
        <v>697</v>
      </c>
      <c r="F78" s="3004">
        <f ca="1">F26</f>
        <v>0</v>
      </c>
      <c r="O78" s="1034"/>
      <c r="P78" s="1025"/>
      <c r="Q78" s="3698"/>
      <c r="R78" s="1026"/>
    </row>
    <row r="79" spans="1:18" s="991" customFormat="1" ht="16.5" thickBot="1">
      <c r="A79" s="667" t="s">
        <v>3803</v>
      </c>
      <c r="B79" s="677" t="s">
        <v>737</v>
      </c>
      <c r="C79" s="4464" t="e">
        <f ca="1">C57-C65</f>
        <v>#VALUE!</v>
      </c>
      <c r="D79" s="677" t="s">
        <v>3907</v>
      </c>
      <c r="E79" s="4393"/>
      <c r="F79" s="4394"/>
      <c r="O79" s="1034" t="s">
        <v>400</v>
      </c>
      <c r="P79" s="1073" t="s">
        <v>855</v>
      </c>
      <c r="Q79" s="3698" t="e">
        <f ca="1">ROUND(Q80-Q81*Q82,0)</f>
        <v>#VALUE!</v>
      </c>
      <c r="R79" s="1026" t="s">
        <v>408</v>
      </c>
    </row>
    <row r="80" spans="1:18" s="991" customFormat="1" ht="13.5" thickBot="1">
      <c r="A80" s="3453" t="s">
        <v>3804</v>
      </c>
      <c r="B80" s="658" t="s">
        <v>759</v>
      </c>
      <c r="C80" s="4269" t="e">
        <f ca="1">ROUND(C79*(1-((1+F82)/(1+F80))^F81)/(F80-F82),0)</f>
        <v>#VALUE!</v>
      </c>
      <c r="D80" s="4395" t="s">
        <v>3892</v>
      </c>
      <c r="E80" s="668" t="s">
        <v>3893</v>
      </c>
      <c r="F80" s="3004">
        <f ca="1">F28</f>
        <v>0</v>
      </c>
      <c r="O80" s="1034" t="s">
        <v>405</v>
      </c>
      <c r="P80" s="1073" t="s">
        <v>856</v>
      </c>
      <c r="Q80" s="3698" t="e">
        <f ca="1">C27</f>
        <v>#VALUE!</v>
      </c>
      <c r="R80" s="1026" t="s">
        <v>803</v>
      </c>
    </row>
    <row r="81" spans="1:18" s="991" customFormat="1" ht="13.5" thickBot="1">
      <c r="A81" s="3454"/>
      <c r="B81" s="662"/>
      <c r="C81" s="4465"/>
      <c r="D81" s="4396" t="s">
        <v>3897</v>
      </c>
      <c r="E81" s="668" t="s">
        <v>3896</v>
      </c>
      <c r="F81" s="3005">
        <f ca="1">F29</f>
        <v>0</v>
      </c>
      <c r="O81" s="1034" t="s">
        <v>406</v>
      </c>
      <c r="P81" s="1073" t="s">
        <v>857</v>
      </c>
      <c r="Q81" s="3698" t="e">
        <f ca="1">C52</f>
        <v>#VALUE!</v>
      </c>
      <c r="R81" s="1026" t="s">
        <v>803</v>
      </c>
    </row>
    <row r="82" spans="1:18" s="991" customFormat="1" ht="13.5" thickBot="1">
      <c r="A82" s="3455"/>
      <c r="B82" s="3020"/>
      <c r="C82" s="3020"/>
      <c r="D82" s="4397"/>
      <c r="E82" s="668" t="s">
        <v>3898</v>
      </c>
      <c r="F82" s="2999"/>
      <c r="O82" s="1034" t="s">
        <v>407</v>
      </c>
      <c r="P82" s="1073" t="s">
        <v>858</v>
      </c>
      <c r="Q82" s="3695">
        <f ca="1">C88</f>
        <v>0</v>
      </c>
      <c r="R82" s="1026"/>
    </row>
    <row r="83" spans="1:18" s="991" customFormat="1" ht="13.5" thickBot="1">
      <c r="A83" s="664" t="s">
        <v>3807</v>
      </c>
      <c r="B83" s="2979" t="s">
        <v>3447</v>
      </c>
      <c r="C83" s="4204" t="e">
        <f ca="1">ROUND(C80*(1+F31),0)</f>
        <v>#VALUE!</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#VALUE!</v>
      </c>
      <c r="D84" s="4400" t="s">
        <v>3901</v>
      </c>
      <c r="E84" s="682" t="s">
        <v>3902</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3918</v>
      </c>
      <c r="Q86" s="4407" t="e">
        <f ca="1">ROUND((Q74+Q75)*(1+F31),0)</f>
        <v>#VALUE!</v>
      </c>
      <c r="R86" s="4406" t="s">
        <v>3919</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8" customFormat="1" ht="18" customHeight="1">
      <c r="A4" s="2960" t="s">
        <v>3879</v>
      </c>
      <c r="B4" s="2961" t="s">
        <v>3880</v>
      </c>
      <c r="C4" s="3844" t="s">
        <v>3988</v>
      </c>
      <c r="D4" s="2961" t="s">
        <v>3881</v>
      </c>
      <c r="E4" s="4363" t="s">
        <v>3882</v>
      </c>
      <c r="F4" s="4427"/>
      <c r="G4" s="4416"/>
      <c r="H4" s="2960" t="s">
        <v>3879</v>
      </c>
      <c r="I4" s="2961" t="s">
        <v>3880</v>
      </c>
      <c r="J4" s="3844" t="s">
        <v>3988</v>
      </c>
      <c r="K4" s="2961" t="s">
        <v>3881</v>
      </c>
      <c r="L4" s="4429" t="s">
        <v>3882</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3403</v>
      </c>
      <c r="C5" s="4465">
        <f ca="1">C6+C10+C12</f>
        <v>0</v>
      </c>
      <c r="D5" s="4366" t="s">
        <v>3885</v>
      </c>
      <c r="E5" s="4367"/>
      <c r="F5" s="4368"/>
      <c r="G5" s="4365"/>
      <c r="H5" s="4263">
        <v>1</v>
      </c>
      <c r="I5" s="4266" t="s">
        <v>3920</v>
      </c>
      <c r="J5" s="4465">
        <f ca="1">J6+J10+J12</f>
        <v>0</v>
      </c>
      <c r="K5" s="4366" t="s">
        <v>3885</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601">
        <f ca="1">C7-C9</f>
        <v>0</v>
      </c>
      <c r="D6" s="2952" t="s">
        <v>3800</v>
      </c>
      <c r="E6" s="2950" t="s">
        <v>3983</v>
      </c>
      <c r="F6" s="3684">
        <f ca="1">INDIRECT("'数据-取费表'!u"&amp;$G$1)</f>
        <v>0</v>
      </c>
      <c r="G6" s="991"/>
      <c r="H6" s="745" t="s">
        <v>392</v>
      </c>
      <c r="I6" s="2951" t="s">
        <v>3796</v>
      </c>
      <c r="J6" s="2939">
        <f ca="1">J7-J9</f>
        <v>0</v>
      </c>
      <c r="K6" s="2952" t="s">
        <v>3800</v>
      </c>
      <c r="L6" s="2950" t="s">
        <v>3983</v>
      </c>
      <c r="M6" s="3703">
        <f ca="1">INDIRECT("'数据-取费表'!z"&amp;$G$1)</f>
        <v>0</v>
      </c>
    </row>
    <row r="7" spans="1:37" ht="18" customHeight="1">
      <c r="A7" s="4842" t="s">
        <v>391</v>
      </c>
      <c r="B7" s="4845" t="s">
        <v>3794</v>
      </c>
      <c r="C7" s="4855">
        <f ca="1">ROUND(F6*F7*F8,0)</f>
        <v>0</v>
      </c>
      <c r="D7" s="4844" t="s">
        <v>3472</v>
      </c>
      <c r="E7" s="4451" t="s">
        <v>682</v>
      </c>
      <c r="F7" s="3972">
        <f ca="1">IF(INDIRECT("'数据-取费表'!ah"&amp;$G$1)="",INDIRECT("'数据-取费表'!k"&amp;$G$1),INDIRECT("'数据-取费表'!ah"&amp;$G$1))</f>
        <v>0</v>
      </c>
      <c r="G7" s="991"/>
      <c r="H7" s="4842" t="s">
        <v>391</v>
      </c>
      <c r="I7" s="4845" t="s">
        <v>3794</v>
      </c>
      <c r="J7" s="4854">
        <f ca="1">ROUND(M6*M8*M7,0)</f>
        <v>0</v>
      </c>
      <c r="K7" s="4844" t="s">
        <v>3472</v>
      </c>
      <c r="L7" s="190" t="s">
        <v>682</v>
      </c>
      <c r="M7" s="4600">
        <f ca="1">F7</f>
        <v>0</v>
      </c>
    </row>
    <row r="8" spans="1:37" ht="18" customHeight="1">
      <c r="A8" s="4843"/>
      <c r="B8" s="4846"/>
      <c r="C8" s="4855"/>
      <c r="D8" s="4844"/>
      <c r="E8" s="190" t="str">
        <f ca="1">IF(F8=1,"年",IF(F8=12,"月","天"))</f>
        <v>天</v>
      </c>
      <c r="F8" s="3677">
        <f ca="1">INDIRECT("'数据-取费表'!ai"&amp;$G$1)</f>
        <v>0</v>
      </c>
      <c r="G8" s="991"/>
      <c r="H8" s="4843"/>
      <c r="I8" s="4846"/>
      <c r="J8" s="4854"/>
      <c r="K8" s="4844"/>
      <c r="L8" s="190" t="str">
        <f ca="1">IF(M8=1,"年",IF(M8=12,"月","天"))</f>
        <v>天</v>
      </c>
      <c r="M8" s="3705">
        <f ca="1">INDIRECT("'数据-取费表'!ai"&amp;$G$1)</f>
        <v>0</v>
      </c>
    </row>
    <row r="9" spans="1:37" ht="18" customHeight="1">
      <c r="A9" s="2937" t="s">
        <v>3402</v>
      </c>
      <c r="B9" s="4455" t="s">
        <v>3795</v>
      </c>
      <c r="C9" s="4465">
        <f ca="1">ROUND(C7*F9,0)</f>
        <v>0</v>
      </c>
      <c r="D9" s="2952" t="s">
        <v>3799</v>
      </c>
      <c r="E9" s="190" t="s">
        <v>684</v>
      </c>
      <c r="F9" s="3004">
        <f ca="1">INDIRECT("'数据-取费表'!w"&amp;$G$1)</f>
        <v>0</v>
      </c>
      <c r="G9" s="991"/>
      <c r="H9" s="2937" t="s">
        <v>3402</v>
      </c>
      <c r="I9" s="4455" t="s">
        <v>3795</v>
      </c>
      <c r="J9" s="4464">
        <f ca="1">ROUND(J7*M9,0)</f>
        <v>0</v>
      </c>
      <c r="K9" s="2952" t="s">
        <v>3799</v>
      </c>
      <c r="L9" s="201" t="s">
        <v>684</v>
      </c>
      <c r="M9" s="3699">
        <f ca="1">INDIRECT("'数据-取费表'!ab"&amp;$G$1)</f>
        <v>0</v>
      </c>
    </row>
    <row r="10" spans="1:37" ht="18" customHeight="1">
      <c r="A10" s="745" t="s">
        <v>396</v>
      </c>
      <c r="B10" s="972" t="s">
        <v>685</v>
      </c>
      <c r="C10" s="4464">
        <f ca="1">ROUND(IF(F10="押一",C6/12*F11,IF(F10="押二",C6/12*2*F11,IF(F10="押三",C6/12*3*F11,C11*F11))),0)</f>
        <v>0</v>
      </c>
      <c r="D10" s="973" t="s">
        <v>2020</v>
      </c>
      <c r="E10" s="201" t="s">
        <v>686</v>
      </c>
      <c r="F10" s="787"/>
      <c r="G10" s="991"/>
      <c r="H10" s="745" t="s">
        <v>396</v>
      </c>
      <c r="I10" s="972" t="s">
        <v>685</v>
      </c>
      <c r="J10" s="4269">
        <f ca="1">ROUND(IF(M10="押一",J6/12*M11,IF(M10="押二",J6/12*2*M11,IF(M10="押三",J6/12*3*M11,J11*M11))),0)</f>
        <v>0</v>
      </c>
      <c r="K10" s="973" t="s">
        <v>2020</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3921</v>
      </c>
      <c r="C13" s="4204" t="e">
        <f ca="1">ROUND(C14+C22+C24+C26,0)</f>
        <v>#VALUE!</v>
      </c>
      <c r="D13" s="4605" t="s">
        <v>3922</v>
      </c>
      <c r="E13" s="4370"/>
      <c r="F13" s="4368"/>
      <c r="G13" s="4365"/>
      <c r="H13" s="754" t="s">
        <v>3677</v>
      </c>
      <c r="I13" s="755" t="s">
        <v>3921</v>
      </c>
      <c r="J13" s="4204" t="e">
        <f ca="1">ROUND(J14+J22+J24+J26,0)</f>
        <v>#VALUE!</v>
      </c>
      <c r="K13" s="4604" t="s">
        <v>3923</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3969</v>
      </c>
      <c r="C14" s="2939"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3974</v>
      </c>
      <c r="J14" s="2939" t="e">
        <f ca="1">ROUND(IF(AND(项目基本情况!B11="自然人",项目基本情况!B10="北京市",M56="住宅"),J6*M14/(1+'数据-取费表'!C43),J15+J19+J20),0)</f>
        <v>#VALUE!</v>
      </c>
      <c r="K14" s="2977" t="s">
        <v>3445</v>
      </c>
      <c r="L14" s="4598" t="str">
        <f>E14</f>
        <v/>
      </c>
      <c r="M14" s="4188" t="str">
        <f>IF(M56="非住宅","",IF(M6*M7*M8/12/(1+'数据-取费表'!F30)&gt;100000,4%,2.5%))</f>
        <v/>
      </c>
    </row>
    <row r="15" spans="1:37" s="1003" customFormat="1" ht="18" customHeight="1">
      <c r="A15" s="2937" t="s">
        <v>391</v>
      </c>
      <c r="B15" s="2950" t="s">
        <v>3966</v>
      </c>
      <c r="C15" s="2939" t="e">
        <f ca="1">C18</f>
        <v>#VALUE!</v>
      </c>
      <c r="D15" s="4460" t="s">
        <v>3965</v>
      </c>
      <c r="E15" s="4461"/>
      <c r="F15" s="4499"/>
      <c r="G15" s="1002"/>
      <c r="H15" s="2937" t="s">
        <v>391</v>
      </c>
      <c r="I15" s="2950" t="s">
        <v>3966</v>
      </c>
      <c r="J15" s="2939" t="e">
        <f ca="1">J18</f>
        <v>#VALUE!</v>
      </c>
      <c r="K15" s="2952" t="s">
        <v>3965</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3859</v>
      </c>
      <c r="E16" s="2958" t="s">
        <v>3407</v>
      </c>
      <c r="F16" s="3002">
        <v>0.09</v>
      </c>
      <c r="G16" s="991"/>
      <c r="H16" s="2739" t="s">
        <v>3289</v>
      </c>
      <c r="I16" s="2954" t="s">
        <v>3405</v>
      </c>
      <c r="J16" s="2887">
        <f ca="1">ROUND(J6*M16,0)</f>
        <v>0</v>
      </c>
      <c r="K16" s="4340" t="s">
        <v>3860</v>
      </c>
      <c r="L16" s="2958" t="s">
        <v>3407</v>
      </c>
      <c r="M16" s="3701">
        <v>0.09</v>
      </c>
    </row>
    <row r="17" spans="1:37" s="1003" customFormat="1" ht="18" customHeight="1">
      <c r="A17" s="2739" t="s">
        <v>3290</v>
      </c>
      <c r="B17" s="2954" t="s">
        <v>3406</v>
      </c>
      <c r="C17" s="3268" t="e">
        <f ca="1">ROUND(C22*F16+((C24+C26)*F17),0)</f>
        <v>#VALUE!</v>
      </c>
      <c r="D17" s="4340" t="s">
        <v>3862</v>
      </c>
      <c r="E17" s="2959"/>
      <c r="F17" s="3002">
        <v>0.06</v>
      </c>
      <c r="G17" s="1002"/>
      <c r="H17" s="2739" t="s">
        <v>3290</v>
      </c>
      <c r="I17" s="2954" t="s">
        <v>3406</v>
      </c>
      <c r="J17" s="3268" t="e">
        <f ca="1">ROUND(J22*M16+((J24+J26)*M17),0)</f>
        <v>#VALUE!</v>
      </c>
      <c r="K17" s="4342" t="s">
        <v>3861</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8" t="e">
        <f ca="1">ROUND((C16-C17)*F18,0)</f>
        <v>#VALUE!</v>
      </c>
      <c r="D18" s="2977" t="s">
        <v>3985</v>
      </c>
      <c r="E18" s="190" t="s">
        <v>3986</v>
      </c>
      <c r="F18" s="3002">
        <f>'数据-取费表'!B44</f>
        <v>0</v>
      </c>
      <c r="G18" s="1002"/>
      <c r="H18" s="2739" t="s">
        <v>3963</v>
      </c>
      <c r="I18" s="2954" t="s">
        <v>3962</v>
      </c>
      <c r="J18" s="3268" t="e">
        <f ca="1">ROUND((J16-J17)*M18,0)</f>
        <v>#VALUE!</v>
      </c>
      <c r="K18" s="2977" t="s">
        <v>3985</v>
      </c>
      <c r="L18" s="190" t="s">
        <v>3986</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3972</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3968</v>
      </c>
      <c r="C20" s="3269">
        <f ca="1">IF(AND(项目基本情况!B11="自然人",M56="住宅"),"——",ROUND(F20*F21,0))</f>
        <v>0</v>
      </c>
      <c r="D20" s="211" t="s">
        <v>716</v>
      </c>
      <c r="E20" s="190" t="s">
        <v>717</v>
      </c>
      <c r="F20" s="3684">
        <f>'数据-取费表'!B53</f>
        <v>0</v>
      </c>
      <c r="G20" s="991"/>
      <c r="H20" s="4462" t="s">
        <v>666</v>
      </c>
      <c r="I20" s="4283" t="s">
        <v>3968</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t="e">
        <f ca="1">ROUND(C51*F22,0)</f>
        <v>#VALUE!</v>
      </c>
      <c r="D22" s="4284" t="s">
        <v>724</v>
      </c>
      <c r="E22" s="190" t="s">
        <v>697</v>
      </c>
      <c r="F22" s="3004">
        <f ca="1">INDIRECT("'数据-取费表'!Ak"&amp;$G$1)</f>
        <v>0</v>
      </c>
      <c r="G22" s="1002"/>
      <c r="H22" s="4210" t="s">
        <v>396</v>
      </c>
      <c r="I22" s="60" t="s">
        <v>723</v>
      </c>
      <c r="J22" s="4230" t="e">
        <f ca="1">ROUND(J35*M22,0)</f>
        <v>#VALUE!</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3820</v>
      </c>
      <c r="F23" s="3677" t="e">
        <f ca="1">C51</f>
        <v>#VALUE!</v>
      </c>
      <c r="G23" s="1002"/>
      <c r="H23" s="213"/>
      <c r="I23" s="199"/>
      <c r="J23" s="4231"/>
      <c r="K23" s="4285"/>
      <c r="L23" s="2950" t="s">
        <v>3820</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t="e">
        <f ca="1">ROUND(C53*F24,0)</f>
        <v>#VALUE!</v>
      </c>
      <c r="D24" s="4284" t="s">
        <v>3443</v>
      </c>
      <c r="E24" s="190" t="s">
        <v>697</v>
      </c>
      <c r="F24" s="3004">
        <f ca="1">INDIRECT("'数据-取费表'!Al"&amp;$G$1)</f>
        <v>0</v>
      </c>
      <c r="G24" s="991"/>
      <c r="H24" s="4210" t="s">
        <v>431</v>
      </c>
      <c r="I24" s="60" t="s">
        <v>727</v>
      </c>
      <c r="J24" s="4230" t="e">
        <f ca="1">ROUND(J37*M24,0)</f>
        <v>#VALUE!</v>
      </c>
      <c r="K24" s="4284" t="s">
        <v>728</v>
      </c>
      <c r="L24" s="190" t="s">
        <v>697</v>
      </c>
      <c r="M24" s="4252">
        <f ca="1">INDIRECT("'数据-取费表'!Al"&amp;$G$1)</f>
        <v>0</v>
      </c>
    </row>
    <row r="25" spans="1:37" ht="18" customHeight="1">
      <c r="A25" s="213"/>
      <c r="B25" s="199"/>
      <c r="C25" s="4231"/>
      <c r="D25" s="4285"/>
      <c r="E25" s="4283" t="s">
        <v>3821</v>
      </c>
      <c r="F25" s="3677" t="e">
        <f ca="1">C53</f>
        <v>#VALUE!</v>
      </c>
      <c r="G25" s="991"/>
      <c r="H25" s="213"/>
      <c r="I25" s="199"/>
      <c r="J25" s="4231"/>
      <c r="K25" s="4285"/>
      <c r="L25" s="4283" t="s">
        <v>3821</v>
      </c>
      <c r="M25" s="3705" t="e">
        <f ca="1">J37</f>
        <v>#VALUE!</v>
      </c>
    </row>
    <row r="26" spans="1:37" s="1003" customFormat="1" ht="18" customHeight="1" thickBot="1">
      <c r="A26" s="764" t="s">
        <v>669</v>
      </c>
      <c r="B26" s="765" t="s">
        <v>713</v>
      </c>
      <c r="C26" s="3271">
        <f ca="1">ROUND(C5*F26,0)</f>
        <v>0</v>
      </c>
      <c r="D26" s="767" t="s">
        <v>3866</v>
      </c>
      <c r="E26" s="765" t="s">
        <v>697</v>
      </c>
      <c r="F26" s="3072">
        <f ca="1">INDIRECT("'数据-取费表'!Am"&amp;$G$1)</f>
        <v>0</v>
      </c>
      <c r="G26" s="1002"/>
      <c r="H26" s="764" t="s">
        <v>669</v>
      </c>
      <c r="I26" s="765" t="s">
        <v>713</v>
      </c>
      <c r="J26" s="3271">
        <f ca="1">ROUND(J5*M26,0)</f>
        <v>0</v>
      </c>
      <c r="K26" s="767" t="s">
        <v>3866</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3301</v>
      </c>
      <c r="B27" s="769" t="s">
        <v>3924</v>
      </c>
      <c r="C27" s="4204" t="e">
        <f ca="1">C5-C13</f>
        <v>#VALUE!</v>
      </c>
      <c r="D27" s="4604" t="s">
        <v>3907</v>
      </c>
      <c r="E27" s="4374"/>
      <c r="F27" s="4375"/>
      <c r="G27" s="4376"/>
      <c r="H27" s="754" t="s">
        <v>3301</v>
      </c>
      <c r="I27" s="769" t="s">
        <v>3924</v>
      </c>
      <c r="J27" s="4204" t="e">
        <f ca="1">J5-J13</f>
        <v>#VALUE!</v>
      </c>
      <c r="K27" s="4604" t="s">
        <v>3907</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69" t="e">
        <f ca="1">ROUND(C27*(1-((1+F30)/(1+F28))^F29)/(F28-F30),0)</f>
        <v>#VALUE!</v>
      </c>
      <c r="D28" s="4379" t="s">
        <v>3925</v>
      </c>
      <c r="E28" s="2962" t="s">
        <v>3893</v>
      </c>
      <c r="F28" s="3004">
        <f ca="1">INDIRECT("'数据-取费表'!I"&amp;$G$1)</f>
        <v>0</v>
      </c>
      <c r="G28" s="4365"/>
      <c r="H28" s="4263" t="s">
        <v>3679</v>
      </c>
      <c r="I28" s="4271" t="s">
        <v>3812</v>
      </c>
      <c r="J28" s="4287">
        <f ca="1">IF(J5&lt;&gt;0,ROUND(J27*(1-((1+M30)/(1+M28))^M29)/(M28-M30),0),0)</f>
        <v>0</v>
      </c>
      <c r="K28" s="4379" t="s">
        <v>3925</v>
      </c>
      <c r="L28" s="4380" t="s">
        <v>3893</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3896</v>
      </c>
      <c r="F29" s="3005">
        <f ca="1">IF(INDIRECT("'数据-取费表'!af"&amp;$G$1)=0,INDIRECT("'数据-取费表'!ae"&amp;$G$1),INDIRECT("'数据-取费表'!af"&amp;$G$1))</f>
        <v>0</v>
      </c>
      <c r="G29" s="4365"/>
      <c r="H29" s="4264"/>
      <c r="I29" s="4267"/>
      <c r="J29" s="4288"/>
      <c r="K29" s="4381"/>
      <c r="L29" s="2962" t="s">
        <v>3896</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769"/>
      <c r="L30" s="2962" t="s">
        <v>3898</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t="e">
        <f ca="1">ROUND(C28*(1+F31),0)</f>
        <v>#VALUE!</v>
      </c>
      <c r="D31" s="4382" t="s">
        <v>3683</v>
      </c>
      <c r="E31" s="4383" t="str">
        <f>IF(D31="其他类型公式—收益价值×（1+9%）","销项税率","征收率")</f>
        <v>销项税率</v>
      </c>
      <c r="F31" s="4413">
        <f>IF(D31="其他类型公式—收益价值×（1+9%）",9%,3%)</f>
        <v>0.09</v>
      </c>
      <c r="G31" s="4376"/>
      <c r="H31" s="203" t="s">
        <v>3680</v>
      </c>
      <c r="I31" s="2962" t="s">
        <v>3900</v>
      </c>
      <c r="J31" s="4464">
        <f ca="1">ROUND(J28/(1+F28)^F29,0)</f>
        <v>0</v>
      </c>
      <c r="K31" s="2921" t="s">
        <v>3926</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#VALUE!</v>
      </c>
      <c r="D32" s="4384" t="s">
        <v>3901</v>
      </c>
      <c r="E32" s="222" t="s">
        <v>3902</v>
      </c>
      <c r="F32" s="3006">
        <f ca="1">INDIRECT("'数据-取费表'!k"&amp;$G$1)</f>
        <v>0</v>
      </c>
      <c r="G32" s="4376"/>
      <c r="H32" s="4182" t="s">
        <v>3682</v>
      </c>
      <c r="I32" s="4183" t="s">
        <v>3903</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thickBot="1">
      <c r="A34" s="4358" t="s">
        <v>3927</v>
      </c>
      <c r="B34" s="4359" t="s">
        <v>3928</v>
      </c>
      <c r="C34" s="4360" t="s">
        <v>3988</v>
      </c>
      <c r="D34" s="4359" t="s">
        <v>3929</v>
      </c>
      <c r="E34" s="4361" t="s">
        <v>3930</v>
      </c>
      <c r="F34" s="4362"/>
      <c r="G34" s="4365"/>
      <c r="H34" s="4358" t="s">
        <v>3927</v>
      </c>
      <c r="I34" s="4359" t="s">
        <v>3928</v>
      </c>
      <c r="J34" s="4360" t="s">
        <v>3988</v>
      </c>
      <c r="K34" s="4359" t="s">
        <v>3929</v>
      </c>
      <c r="L34" s="4361" t="s">
        <v>3930</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3873</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3932</v>
      </c>
      <c r="B50" s="2962" t="s">
        <v>3420</v>
      </c>
      <c r="C50" s="4345">
        <f>ROUND(F50/(1+'数据-取费表'!C43),4)</f>
        <v>0</v>
      </c>
      <c r="D50" s="4343" t="s">
        <v>3872</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3933</v>
      </c>
      <c r="B51" s="2962" t="s">
        <v>3934</v>
      </c>
      <c r="C51" s="4345" t="e">
        <f ca="1">ROUND((C35+C42+C45+C48)/(1-F43-C46-C49-C50),0)</f>
        <v>#VALUE!</v>
      </c>
      <c r="D51" s="2976" t="s">
        <v>3444</v>
      </c>
      <c r="E51" s="2962"/>
      <c r="F51" s="3004"/>
      <c r="K51" s="4416"/>
      <c r="Q51" s="4411"/>
    </row>
    <row r="52" spans="1:37" s="4365" customFormat="1" ht="18" customHeight="1">
      <c r="A52" s="2966" t="s">
        <v>3434</v>
      </c>
      <c r="B52" s="2965" t="s">
        <v>3436</v>
      </c>
      <c r="C52" s="4345" t="e">
        <f ca="1">ROUND(C51*(1-F52),0)</f>
        <v>#VALUE!</v>
      </c>
      <c r="D52" s="2962" t="s">
        <v>3935</v>
      </c>
      <c r="E52" s="2962" t="s">
        <v>3936</v>
      </c>
      <c r="F52" s="3004">
        <f ca="1">INDIRECT("'数据-取费表'!y"&amp;$G$1)</f>
        <v>0</v>
      </c>
      <c r="K52" s="4416"/>
      <c r="Q52" s="4411"/>
    </row>
    <row r="53" spans="1:37" s="4365" customFormat="1" ht="18" customHeight="1" thickBot="1">
      <c r="A53" s="2967" t="s">
        <v>3931</v>
      </c>
      <c r="B53" s="2975" t="s">
        <v>3442</v>
      </c>
      <c r="C53" s="2991" t="e">
        <f ca="1">C51-C52</f>
        <v>#VALUE!</v>
      </c>
      <c r="D53" s="2971" t="s">
        <v>3937</v>
      </c>
      <c r="E53" s="222"/>
      <c r="F53" s="2972"/>
      <c r="K53" s="4416"/>
      <c r="Q53" s="4411"/>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3964</v>
      </c>
      <c r="C55" s="4607" t="e">
        <f ca="1">ROUND(IF(D2="含税",C83-C31,C80-C28)/10000,4)</f>
        <v>#VALUE!</v>
      </c>
      <c r="D55" s="1012" t="str">
        <f>C2</f>
        <v>万元</v>
      </c>
      <c r="E55" s="1006"/>
      <c r="F55" s="1006"/>
      <c r="I55" s="1013" t="s">
        <v>795</v>
      </c>
      <c r="J55" s="1014"/>
      <c r="K55" s="1015"/>
      <c r="L55" s="4248" t="e">
        <f ca="1">IF(M56="住宅",0,IF(L57&gt;J60,L69,J69))</f>
        <v>#VALUE!</v>
      </c>
      <c r="O55" s="4401" t="s">
        <v>1325</v>
      </c>
      <c r="P55" s="4402" t="s">
        <v>3908</v>
      </c>
      <c r="Q55" s="4422" t="s">
        <v>3909</v>
      </c>
      <c r="R55" s="4403" t="s">
        <v>3910</v>
      </c>
    </row>
    <row r="56" spans="1:37" s="991" customFormat="1" ht="13.5" thickBot="1">
      <c r="A56" s="4388" t="s">
        <v>3879</v>
      </c>
      <c r="B56" s="4389" t="s">
        <v>3880</v>
      </c>
      <c r="C56" s="4360" t="s">
        <v>3988</v>
      </c>
      <c r="D56" s="4389" t="s">
        <v>3881</v>
      </c>
      <c r="E56" s="4390" t="s">
        <v>3882</v>
      </c>
      <c r="F56" s="4417"/>
      <c r="G56" s="515"/>
      <c r="I56" s="1020" t="s">
        <v>800</v>
      </c>
      <c r="J56" s="1021"/>
      <c r="K56" s="1022" t="s">
        <v>801</v>
      </c>
      <c r="L56" s="4249">
        <f ca="1">INDIRECT("'数据-取费表'!d"&amp;$G$1)</f>
        <v>0</v>
      </c>
      <c r="M56" s="987" t="str">
        <f>IF(ISNUMBER(FIND("住宅",C1)),"住宅","非住宅")</f>
        <v>非住宅</v>
      </c>
      <c r="O56" s="4404" t="s">
        <v>397</v>
      </c>
      <c r="P56" s="4408" t="s">
        <v>3948</v>
      </c>
      <c r="Q56" s="4409" t="e">
        <f ca="1">C28+J31</f>
        <v>#VALUE!</v>
      </c>
      <c r="R56" s="4406" t="s">
        <v>3912</v>
      </c>
    </row>
    <row r="57" spans="1:37" s="991" customFormat="1" ht="42.75" thickBot="1">
      <c r="A57" s="686" t="s">
        <v>432</v>
      </c>
      <c r="B57" s="4266" t="s">
        <v>3904</v>
      </c>
      <c r="C57" s="4391">
        <f ca="1">C58+C62+C64</f>
        <v>0</v>
      </c>
      <c r="D57" s="4366" t="s">
        <v>3938</v>
      </c>
      <c r="E57" s="4392"/>
      <c r="F57" s="4418"/>
      <c r="G57" s="515"/>
      <c r="H57" s="516"/>
      <c r="I57" s="1027" t="s">
        <v>804</v>
      </c>
      <c r="J57" s="1028"/>
      <c r="K57" s="1029" t="s">
        <v>805</v>
      </c>
      <c r="L57" s="4238">
        <f ca="1">INDIRECT("'数据-取费表'!f"&amp;$G$1)</f>
        <v>0</v>
      </c>
      <c r="O57" s="4404" t="s">
        <v>398</v>
      </c>
      <c r="P57" s="4405" t="s">
        <v>3913</v>
      </c>
      <c r="Q57" s="4409" t="e">
        <f ca="1">J69</f>
        <v>#VALUE!</v>
      </c>
      <c r="R57" s="4406" t="s">
        <v>3914</v>
      </c>
    </row>
    <row r="58" spans="1:37" s="991" customFormat="1" ht="15" customHeight="1" thickBot="1">
      <c r="A58" s="4215" t="s">
        <v>3809</v>
      </c>
      <c r="B58" s="2951" t="s">
        <v>3796</v>
      </c>
      <c r="C58" s="2994">
        <f ca="1">C59-C61</f>
        <v>0</v>
      </c>
      <c r="D58" s="2952" t="s">
        <v>3800</v>
      </c>
      <c r="E58" s="2974" t="s">
        <v>3441</v>
      </c>
      <c r="F58" s="2996"/>
      <c r="G58" s="1031"/>
      <c r="H58" s="516"/>
      <c r="I58" s="1027" t="s">
        <v>808</v>
      </c>
      <c r="J58" s="4236"/>
      <c r="K58" s="1029" t="s">
        <v>809</v>
      </c>
      <c r="L58" s="4250"/>
      <c r="O58" s="1034" t="s">
        <v>399</v>
      </c>
      <c r="P58" s="4424" t="s">
        <v>3949</v>
      </c>
      <c r="Q58" s="3694" t="e">
        <f ca="1">C51</f>
        <v>#VALUE!</v>
      </c>
      <c r="R58" s="1026" t="s">
        <v>803</v>
      </c>
    </row>
    <row r="59" spans="1:37" s="991" customFormat="1" ht="15" customHeight="1" thickBot="1">
      <c r="A59" s="4222" t="s">
        <v>3797</v>
      </c>
      <c r="B59" s="4845" t="s">
        <v>3794</v>
      </c>
      <c r="C59" s="4269">
        <f ca="1">ROUND(F58*F60*F59,0)</f>
        <v>0</v>
      </c>
      <c r="D59" s="4844" t="s">
        <v>3472</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846"/>
      <c r="C60" s="4203"/>
      <c r="D60" s="4844"/>
      <c r="E60" s="691" t="str">
        <f ca="1">IF(F60=1,"年",IF(F60=12,"月","天"))</f>
        <v>天</v>
      </c>
      <c r="F60" s="2998">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37" s="991" customFormat="1" ht="15" customHeight="1" thickBot="1">
      <c r="A61" s="4202" t="s">
        <v>3798</v>
      </c>
      <c r="B61" s="4455" t="s">
        <v>3795</v>
      </c>
      <c r="C61" s="2995">
        <f ca="1">ROUND(C59*F61,0)</f>
        <v>0</v>
      </c>
      <c r="D61" s="2952" t="s">
        <v>3799</v>
      </c>
      <c r="E61" s="691" t="s">
        <v>684</v>
      </c>
      <c r="F61" s="2999"/>
      <c r="I61" s="1043" t="s">
        <v>817</v>
      </c>
      <c r="J61" s="4239"/>
      <c r="K61" s="1043" t="s">
        <v>818</v>
      </c>
      <c r="L61" s="4253"/>
      <c r="O61" s="1034" t="s">
        <v>402</v>
      </c>
      <c r="P61" s="1025" t="s">
        <v>819</v>
      </c>
      <c r="Q61" s="3694">
        <f ca="1">J62</f>
        <v>0</v>
      </c>
      <c r="R61" s="1026" t="s">
        <v>820</v>
      </c>
    </row>
    <row r="62" spans="1:37" s="991" customFormat="1" ht="24.75" thickBot="1">
      <c r="A62" s="4225" t="s">
        <v>3449</v>
      </c>
      <c r="B62" s="980" t="s">
        <v>685</v>
      </c>
      <c r="C62" s="4464">
        <f ca="1">ROUND(IF(F62="押一",C58/12*F11,IF(F62="押二",C58/12*2*F11,IF(F62="押三",C58/12*3*F11,C63*F11))),0)</f>
        <v>0</v>
      </c>
      <c r="D62" s="973" t="s">
        <v>2020</v>
      </c>
      <c r="E62" s="201" t="s">
        <v>686</v>
      </c>
      <c r="F62" s="3000"/>
      <c r="I62" s="1045" t="s">
        <v>821</v>
      </c>
      <c r="J62" s="4240">
        <f ca="1">IF(M56="住宅",IF(D1="——",MAX(J60,L57),MAX(J60,L57-'数据-取费表'!B24)),IF(D1="——",MIN(J60,L57),MIN(J60,L57-'数据-取费表'!B24)))</f>
        <v>0</v>
      </c>
      <c r="K62" s="4848" t="s">
        <v>822</v>
      </c>
      <c r="L62" s="4849"/>
      <c r="O62" s="4404" t="s">
        <v>403</v>
      </c>
      <c r="P62" s="4408" t="s">
        <v>3950</v>
      </c>
      <c r="Q62" s="4409" t="e">
        <f ca="1">ROUND((Q56+Q57)*(1+F31),0)</f>
        <v>#VALUE!</v>
      </c>
      <c r="R62" s="4406" t="s">
        <v>3952</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3908</v>
      </c>
      <c r="Q64" s="4422" t="s">
        <v>3909</v>
      </c>
      <c r="R64" s="4403" t="s">
        <v>3910</v>
      </c>
    </row>
    <row r="65" spans="1:18" s="991" customFormat="1" ht="25.5" thickTop="1" thickBot="1">
      <c r="A65" s="203" t="s">
        <v>3939</v>
      </c>
      <c r="B65" s="668" t="s">
        <v>3921</v>
      </c>
      <c r="C65" s="4464" t="e">
        <f ca="1">ROUND(C66+C74+C76+C78,0)</f>
        <v>#VALUE!</v>
      </c>
      <c r="D65" s="668" t="s">
        <v>3940</v>
      </c>
      <c r="E65" s="4419"/>
      <c r="F65" s="672"/>
      <c r="I65" s="1055" t="s">
        <v>827</v>
      </c>
      <c r="J65" s="1056"/>
      <c r="K65" s="1027" t="s">
        <v>828</v>
      </c>
      <c r="L65" s="4238">
        <f ca="1">IF(L57&lt;J60,"——",L57-J62)</f>
        <v>0</v>
      </c>
      <c r="O65" s="4404" t="s">
        <v>397</v>
      </c>
      <c r="P65" s="4408" t="s">
        <v>3948</v>
      </c>
      <c r="Q65" s="4409" t="e">
        <f ca="1">C28+J31</f>
        <v>#VALUE!</v>
      </c>
      <c r="R65" s="4406" t="s">
        <v>3912</v>
      </c>
    </row>
    <row r="66" spans="1:18" s="991" customFormat="1" ht="24.75" thickBot="1">
      <c r="A66" s="546" t="s">
        <v>392</v>
      </c>
      <c r="B66" s="2932" t="s">
        <v>3974</v>
      </c>
      <c r="C66" s="2939" t="e">
        <f ca="1">ROUND(IF(AND(项目基本情况!B11="自然人",项目基本情况!B10="北京市",M56="住宅"),C58*F66,C67+C71+C72),0)</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2937" t="s">
        <v>391</v>
      </c>
      <c r="B67" s="2950" t="s">
        <v>3966</v>
      </c>
      <c r="C67" s="2939" t="e">
        <f ca="1">C70</f>
        <v>#VALUE!</v>
      </c>
      <c r="D67" s="2952"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40" t="s">
        <v>3862</v>
      </c>
      <c r="E69" s="2959"/>
      <c r="F69" s="3002">
        <f>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2939" t="e">
        <f ca="1">ROUND((C68-C69)*F70,0)</f>
        <v>#VALUE!</v>
      </c>
      <c r="D70" s="2977" t="s">
        <v>3985</v>
      </c>
      <c r="E70" s="190" t="s">
        <v>3987</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3951</v>
      </c>
      <c r="Q71" s="4409" t="e">
        <f ca="1">ROUND((Q65+Q66)*(1+F31),0)</f>
        <v>#VALUE!</v>
      </c>
      <c r="R71" s="4406" t="s">
        <v>3952</v>
      </c>
    </row>
    <row r="72" spans="1:18" s="991" customFormat="1" ht="13.5" thickBot="1">
      <c r="A72" s="4462" t="s">
        <v>769</v>
      </c>
      <c r="B72" s="4450" t="s">
        <v>3968</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3908</v>
      </c>
      <c r="Q73" s="4422" t="s">
        <v>3909</v>
      </c>
      <c r="R73" s="4403" t="s">
        <v>3910</v>
      </c>
    </row>
    <row r="74" spans="1:18" s="991" customFormat="1" ht="13.5" thickBot="1">
      <c r="A74" s="4219" t="s">
        <v>774</v>
      </c>
      <c r="B74" s="659" t="s">
        <v>775</v>
      </c>
      <c r="C74" s="4230" t="e">
        <f ca="1">ROUND(F74*F75,0)</f>
        <v>#VALUE!</v>
      </c>
      <c r="D74" s="4213" t="s">
        <v>724</v>
      </c>
      <c r="E74" s="2932" t="s">
        <v>3808</v>
      </c>
      <c r="F74" s="4227" t="e">
        <f ca="1">C51</f>
        <v>#VALUE!</v>
      </c>
      <c r="I74" s="3689" t="s">
        <v>851</v>
      </c>
      <c r="J74" s="3685">
        <v>40</v>
      </c>
      <c r="K74" s="3685">
        <v>30</v>
      </c>
      <c r="L74" s="3685">
        <v>50</v>
      </c>
      <c r="M74" s="1071">
        <v>0.02</v>
      </c>
      <c r="O74" s="4404" t="s">
        <v>397</v>
      </c>
      <c r="P74" s="4405" t="s">
        <v>3911</v>
      </c>
      <c r="Q74" s="4407" t="e">
        <f ca="1">C28+J31</f>
        <v>#VALUE!</v>
      </c>
      <c r="R74" s="4406" t="s">
        <v>3912</v>
      </c>
    </row>
    <row r="75" spans="1:18" s="991" customFormat="1" ht="15" thickBot="1">
      <c r="A75" s="4221"/>
      <c r="B75" s="666"/>
      <c r="C75" s="4231"/>
      <c r="D75" s="4214"/>
      <c r="E75" s="660" t="s">
        <v>697</v>
      </c>
      <c r="F75" s="3004">
        <f ca="1">F22</f>
        <v>0</v>
      </c>
      <c r="O75" s="4404" t="s">
        <v>398</v>
      </c>
      <c r="P75" s="4405" t="s">
        <v>3915</v>
      </c>
      <c r="Q75" s="4423" t="e">
        <f ca="1">L69</f>
        <v>#VALUE!</v>
      </c>
      <c r="R75" s="4406" t="s">
        <v>3917</v>
      </c>
    </row>
    <row r="76" spans="1:18" s="991" customFormat="1" ht="13.5" thickBot="1">
      <c r="A76" s="4219" t="s">
        <v>777</v>
      </c>
      <c r="B76" s="659" t="s">
        <v>727</v>
      </c>
      <c r="C76" s="4230" t="e">
        <f ca="1">ROUND(F76*F77,0)</f>
        <v>#VALUE!</v>
      </c>
      <c r="D76" s="4213" t="s">
        <v>3443</v>
      </c>
      <c r="E76" s="2932" t="s">
        <v>3442</v>
      </c>
      <c r="F76" s="4228" t="e">
        <f ca="1">C53</f>
        <v>#VALUE!</v>
      </c>
      <c r="O76" s="1024"/>
      <c r="P76" s="1025"/>
      <c r="Q76" s="3697"/>
      <c r="R76" s="1026"/>
    </row>
    <row r="77" spans="1:18" s="991" customFormat="1" ht="16.5" thickBot="1">
      <c r="A77" s="4221"/>
      <c r="B77" s="666"/>
      <c r="C77" s="4231"/>
      <c r="D77" s="4214"/>
      <c r="E77" s="660" t="s">
        <v>697</v>
      </c>
      <c r="F77" s="3004">
        <f ca="1">F24</f>
        <v>0</v>
      </c>
      <c r="O77" s="1034" t="s">
        <v>399</v>
      </c>
      <c r="P77" s="1025" t="s">
        <v>834</v>
      </c>
      <c r="Q77" s="3698" t="e">
        <f ca="1">L60</f>
        <v>#VALUE!</v>
      </c>
      <c r="R77" s="1026" t="s">
        <v>854</v>
      </c>
    </row>
    <row r="78" spans="1:18" s="4365" customFormat="1" ht="13.5" thickBot="1">
      <c r="A78" s="546" t="s">
        <v>778</v>
      </c>
      <c r="B78" s="660" t="s">
        <v>713</v>
      </c>
      <c r="C78" s="2939">
        <f ca="1">ROUND(C57*F78,0)</f>
        <v>0</v>
      </c>
      <c r="D78" s="674" t="s">
        <v>3866</v>
      </c>
      <c r="E78" s="660" t="s">
        <v>697</v>
      </c>
      <c r="F78" s="3004">
        <f ca="1">F26</f>
        <v>0</v>
      </c>
      <c r="G78" s="991"/>
      <c r="H78" s="991"/>
      <c r="O78" s="1034"/>
      <c r="P78" s="1025"/>
      <c r="Q78" s="3698"/>
      <c r="R78" s="1026"/>
    </row>
    <row r="79" spans="1:18" s="4365" customFormat="1" ht="16.5" thickBot="1">
      <c r="A79" s="667" t="s">
        <v>3941</v>
      </c>
      <c r="B79" s="677" t="s">
        <v>3889</v>
      </c>
      <c r="C79" s="4464" t="e">
        <f ca="1">C57-C65</f>
        <v>#VALUE!</v>
      </c>
      <c r="D79" s="677" t="s">
        <v>3890</v>
      </c>
      <c r="E79" s="4393"/>
      <c r="F79" s="4394"/>
      <c r="O79" s="1034" t="s">
        <v>400</v>
      </c>
      <c r="P79" s="1073" t="s">
        <v>3942</v>
      </c>
      <c r="Q79" s="3698" t="e">
        <f ca="1">ROUND(Q80-Q81*Q82,0)</f>
        <v>#VALUE!</v>
      </c>
      <c r="R79" s="1026" t="s">
        <v>408</v>
      </c>
    </row>
    <row r="80" spans="1:18" s="4365" customFormat="1" ht="13.5" thickBot="1">
      <c r="A80" s="3453" t="s">
        <v>388</v>
      </c>
      <c r="B80" s="658" t="s">
        <v>3891</v>
      </c>
      <c r="C80" s="4269" t="e">
        <f ca="1">ROUND(C79*(1-((1+F82)/(1+F80))^F81)/(F80-F82),0)</f>
        <v>#VALUE!</v>
      </c>
      <c r="D80" s="4395" t="s">
        <v>3892</v>
      </c>
      <c r="E80" s="668" t="s">
        <v>3893</v>
      </c>
      <c r="F80" s="3004">
        <f ca="1">F28</f>
        <v>0</v>
      </c>
      <c r="O80" s="1034" t="s">
        <v>405</v>
      </c>
      <c r="P80" s="1073" t="s">
        <v>3943</v>
      </c>
      <c r="Q80" s="3698" t="e">
        <f ca="1">C27</f>
        <v>#VALUE!</v>
      </c>
      <c r="R80" s="1026" t="s">
        <v>803</v>
      </c>
    </row>
    <row r="81" spans="1:18" s="4365" customFormat="1" ht="13.5" thickBot="1">
      <c r="A81" s="3454"/>
      <c r="B81" s="662"/>
      <c r="C81" s="4465"/>
      <c r="D81" s="4396" t="s">
        <v>3897</v>
      </c>
      <c r="E81" s="668" t="s">
        <v>3896</v>
      </c>
      <c r="F81" s="3005">
        <f ca="1">F29</f>
        <v>0</v>
      </c>
      <c r="O81" s="1034" t="s">
        <v>406</v>
      </c>
      <c r="P81" s="1073" t="s">
        <v>3944</v>
      </c>
      <c r="Q81" s="3698" t="e">
        <f ca="1">C52</f>
        <v>#VALUE!</v>
      </c>
      <c r="R81" s="1026" t="s">
        <v>803</v>
      </c>
    </row>
    <row r="82" spans="1:18" s="4365" customFormat="1" ht="13.5" thickBot="1">
      <c r="A82" s="4420"/>
      <c r="B82" s="4421"/>
      <c r="C82" s="4421"/>
      <c r="D82" s="4397"/>
      <c r="E82" s="668" t="s">
        <v>3898</v>
      </c>
      <c r="F82" s="2999"/>
      <c r="O82" s="1034" t="s">
        <v>407</v>
      </c>
      <c r="P82" s="1073" t="s">
        <v>3945</v>
      </c>
      <c r="Q82" s="3695">
        <f ca="1">C88</f>
        <v>0</v>
      </c>
      <c r="R82" s="1026"/>
    </row>
    <row r="83" spans="1:18" s="4365" customFormat="1" ht="13.5" thickBot="1">
      <c r="A83" s="664"/>
      <c r="B83" s="2979" t="s">
        <v>3947</v>
      </c>
      <c r="C83" s="4204" t="e">
        <f ca="1">ROUND(C80*(1+F31),0)</f>
        <v>#VALUE!</v>
      </c>
      <c r="D83" s="4606" t="str">
        <f>D31</f>
        <v>其他类型公式—收益价值×（1+9%）</v>
      </c>
      <c r="E83" s="1077"/>
      <c r="F83" s="4399"/>
      <c r="O83" s="1034" t="s">
        <v>401</v>
      </c>
      <c r="P83" s="1025" t="s">
        <v>3946</v>
      </c>
      <c r="Q83" s="3695">
        <f>L61</f>
        <v>0</v>
      </c>
      <c r="R83" s="1026"/>
    </row>
    <row r="84" spans="1:18" ht="16.5" thickBot="1">
      <c r="A84" s="681" t="s">
        <v>389</v>
      </c>
      <c r="B84" s="682" t="s">
        <v>761</v>
      </c>
      <c r="C84" s="2991" t="e">
        <f ca="1">ROUND(C83/F84,0)</f>
        <v>#VALUE!</v>
      </c>
      <c r="D84" s="4400" t="s">
        <v>3901</v>
      </c>
      <c r="E84" s="682" t="s">
        <v>3902</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3951</v>
      </c>
      <c r="Q86" s="4407" t="e">
        <f ca="1">ROUND((Q74+Q75)*(1+F31),0)</f>
        <v>#VALUE!</v>
      </c>
      <c r="R86" s="4406" t="s">
        <v>3952</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56" t="s">
        <v>679</v>
      </c>
      <c r="C6" s="750">
        <f ca="1">ROUND(F6*F8*F7*(1-F9),0)</f>
        <v>0</v>
      </c>
      <c r="D6" s="60" t="s">
        <v>2013</v>
      </c>
      <c r="E6" s="190" t="s">
        <v>681</v>
      </c>
      <c r="F6" s="191">
        <f ca="1">INDIRECT("'数据-取费表'!u"&amp;$G$1)</f>
        <v>0</v>
      </c>
      <c r="G6" s="991"/>
      <c r="H6" s="745" t="s">
        <v>392</v>
      </c>
      <c r="I6" s="4856" t="s">
        <v>679</v>
      </c>
      <c r="J6" s="189">
        <f ca="1">ROUND(M6*M8*M7*(1-M9),0)</f>
        <v>0</v>
      </c>
      <c r="K6" s="983" t="s">
        <v>2014</v>
      </c>
      <c r="L6" s="190" t="s">
        <v>681</v>
      </c>
      <c r="M6" s="191">
        <f ca="1">INDIRECT("'数据-取费表'!z"&amp;$G$1)</f>
        <v>0</v>
      </c>
    </row>
    <row r="7" spans="1:37" ht="18" customHeight="1">
      <c r="A7" s="749"/>
      <c r="B7" s="4857"/>
      <c r="C7" s="751"/>
      <c r="D7" s="195"/>
      <c r="E7" s="752" t="s">
        <v>682</v>
      </c>
      <c r="F7" s="191">
        <f ca="1">IF(INDIRECT("'数据-取费表'!ah"&amp;$G$1)="",INDIRECT("'数据-取费表'!k"&amp;$G$1),INDIRECT("'数据-取费表'!ah"&amp;$G$1))</f>
        <v>0</v>
      </c>
      <c r="G7" s="991"/>
      <c r="H7" s="192"/>
      <c r="I7" s="4857"/>
      <c r="J7" s="194"/>
      <c r="K7" s="195"/>
      <c r="L7" s="190" t="s">
        <v>682</v>
      </c>
      <c r="M7" s="191">
        <f ca="1">F7</f>
        <v>0</v>
      </c>
    </row>
    <row r="8" spans="1:37" ht="18" customHeight="1">
      <c r="A8" s="192"/>
      <c r="B8" s="4857"/>
      <c r="C8" s="194"/>
      <c r="D8" s="195"/>
      <c r="E8" s="190" t="s">
        <v>683</v>
      </c>
      <c r="F8" s="191">
        <f ca="1">INDIRECT("'数据-取费表'!ai"&amp;$G$1)</f>
        <v>0</v>
      </c>
      <c r="G8" s="991"/>
      <c r="H8" s="192"/>
      <c r="I8" s="4857"/>
      <c r="J8" s="194"/>
      <c r="K8" s="195"/>
      <c r="L8" s="190" t="s">
        <v>683</v>
      </c>
      <c r="M8" s="191">
        <f ca="1">INDIRECT("'数据-取费表'!ai"&amp;$G$1)</f>
        <v>0</v>
      </c>
    </row>
    <row r="9" spans="1:37" ht="18" customHeight="1">
      <c r="A9" s="192"/>
      <c r="B9" s="4858"/>
      <c r="C9" s="194"/>
      <c r="D9" s="195"/>
      <c r="E9" s="190" t="s">
        <v>684</v>
      </c>
      <c r="F9" s="200">
        <f ca="1">INDIRECT("'数据-取费表'!w"&amp;$G$1)</f>
        <v>0</v>
      </c>
      <c r="G9" s="991"/>
      <c r="H9" s="192"/>
      <c r="I9" s="485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48" t="s">
        <v>822</v>
      </c>
      <c r="L53" s="4849"/>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 sqref="G2:G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65" t="s">
        <v>2212</v>
      </c>
      <c r="K2" s="4866"/>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67" t="s">
        <v>2222</v>
      </c>
      <c r="K3" s="4868"/>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67" t="s">
        <v>2224</v>
      </c>
      <c r="K4" s="4868"/>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74" t="s">
        <v>3792</v>
      </c>
      <c r="B6" s="4875"/>
      <c r="C6" s="4876"/>
      <c r="D6" s="3709"/>
      <c r="E6" s="3857"/>
      <c r="F6" s="2276"/>
      <c r="G6" s="2277"/>
      <c r="H6" s="2255"/>
      <c r="I6" s="2256"/>
      <c r="J6" s="4859">
        <v>1</v>
      </c>
      <c r="K6" s="4860"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59"/>
      <c r="K7" s="4861"/>
      <c r="L7" s="2286" t="s">
        <v>2238</v>
      </c>
      <c r="M7" s="3980"/>
      <c r="N7" s="3979"/>
      <c r="O7" s="4613"/>
      <c r="P7" s="4613"/>
      <c r="Q7" s="3979">
        <v>365</v>
      </c>
      <c r="R7" s="3978">
        <f>ROUND(M7*N7*O7*P7*Q7/10000,0)</f>
        <v>0</v>
      </c>
      <c r="S7" s="2249"/>
      <c r="T7" s="2249" t="s">
        <v>2239</v>
      </c>
      <c r="U7" s="2249"/>
      <c r="V7" s="2256"/>
    </row>
    <row r="8" spans="1:22" s="2260" customFormat="1" ht="13.15" customHeight="1">
      <c r="A8" s="2290" t="s">
        <v>2240</v>
      </c>
      <c r="B8" s="4877" t="s">
        <v>2241</v>
      </c>
      <c r="C8" s="4878"/>
      <c r="D8" s="4432" t="s">
        <v>3954</v>
      </c>
      <c r="E8" s="2291" t="s">
        <v>2242</v>
      </c>
      <c r="F8" s="2292" t="s">
        <v>2243</v>
      </c>
      <c r="G8" s="2293"/>
      <c r="H8" s="2255"/>
      <c r="I8" s="2256"/>
      <c r="J8" s="4859"/>
      <c r="K8" s="4861"/>
      <c r="L8" s="2286" t="s">
        <v>2244</v>
      </c>
      <c r="M8" s="3980"/>
      <c r="N8" s="3979"/>
      <c r="O8" s="4613"/>
      <c r="P8" s="4613"/>
      <c r="Q8" s="3979">
        <v>365</v>
      </c>
      <c r="R8" s="3978">
        <f t="shared" ref="R8:R13" si="0">ROUND(M8*N8*O8*P8*Q8/10000,0)</f>
        <v>0</v>
      </c>
      <c r="S8" s="2249"/>
      <c r="T8" s="2249" t="s">
        <v>2245</v>
      </c>
      <c r="U8" s="2249"/>
      <c r="V8" s="2256"/>
    </row>
    <row r="9" spans="1:22" s="2260" customFormat="1" ht="13.15" customHeight="1">
      <c r="A9" s="2290">
        <v>1</v>
      </c>
      <c r="B9" s="4877" t="s">
        <v>2246</v>
      </c>
      <c r="C9" s="4878"/>
      <c r="D9" s="3711">
        <f>ROUND(D6*E9,0)</f>
        <v>0</v>
      </c>
      <c r="E9" s="3712"/>
      <c r="F9" s="2294" t="s">
        <v>2247</v>
      </c>
      <c r="G9" s="2277"/>
      <c r="H9" s="2255"/>
      <c r="I9" s="2256"/>
      <c r="J9" s="4859"/>
      <c r="K9" s="4861"/>
      <c r="L9" s="2286" t="s">
        <v>2248</v>
      </c>
      <c r="M9" s="3980"/>
      <c r="N9" s="3979"/>
      <c r="O9" s="4613"/>
      <c r="P9" s="4613"/>
      <c r="Q9" s="3979">
        <v>365</v>
      </c>
      <c r="R9" s="3978">
        <f t="shared" si="0"/>
        <v>0</v>
      </c>
      <c r="S9" s="2249"/>
      <c r="T9" s="2249"/>
      <c r="U9" s="2249"/>
      <c r="V9" s="2256"/>
    </row>
    <row r="10" spans="1:22" s="2260" customFormat="1" ht="13.15" customHeight="1">
      <c r="A10" s="2290">
        <v>2</v>
      </c>
      <c r="B10" s="4877" t="s">
        <v>2249</v>
      </c>
      <c r="C10" s="4878"/>
      <c r="D10" s="3711">
        <f>ROUND(D6*E10,0)</f>
        <v>0</v>
      </c>
      <c r="E10" s="3712"/>
      <c r="F10" s="3852" t="s">
        <v>3717</v>
      </c>
      <c r="G10" s="2277"/>
      <c r="H10" s="2255"/>
      <c r="I10" s="2256"/>
      <c r="J10" s="4859"/>
      <c r="K10" s="4861"/>
      <c r="L10" s="2286" t="s">
        <v>2250</v>
      </c>
      <c r="M10" s="3980"/>
      <c r="N10" s="3979"/>
      <c r="O10" s="4613"/>
      <c r="P10" s="4613"/>
      <c r="Q10" s="3979">
        <v>365</v>
      </c>
      <c r="R10" s="3978">
        <f t="shared" si="0"/>
        <v>0</v>
      </c>
      <c r="S10" s="2249"/>
      <c r="T10" s="2249"/>
      <c r="U10" s="2249"/>
      <c r="V10" s="2256"/>
    </row>
    <row r="11" spans="1:22" s="2260" customFormat="1" ht="13.15" customHeight="1">
      <c r="A11" s="2290">
        <v>3</v>
      </c>
      <c r="B11" s="4877" t="s">
        <v>2251</v>
      </c>
      <c r="C11" s="4878"/>
      <c r="D11" s="3711">
        <f>D12+D14+D15+D16</f>
        <v>0</v>
      </c>
      <c r="E11" s="3713" t="e">
        <f>D11/D6</f>
        <v>#DIV/0!</v>
      </c>
      <c r="F11" s="2292"/>
      <c r="G11" s="2293"/>
      <c r="H11" s="2255"/>
      <c r="I11" s="2256"/>
      <c r="J11" s="4859"/>
      <c r="K11" s="4861"/>
      <c r="L11" s="2286" t="s">
        <v>2252</v>
      </c>
      <c r="M11" s="3980"/>
      <c r="N11" s="3979"/>
      <c r="O11" s="4613"/>
      <c r="P11" s="4613"/>
      <c r="Q11" s="3979">
        <v>365</v>
      </c>
      <c r="R11" s="3978">
        <f t="shared" si="0"/>
        <v>0</v>
      </c>
      <c r="S11" s="2249"/>
      <c r="T11" s="2249"/>
      <c r="U11" s="2249"/>
      <c r="V11" s="2256"/>
    </row>
    <row r="12" spans="1:22" s="2260" customFormat="1" ht="13.15" customHeight="1">
      <c r="A12" s="2295" t="s">
        <v>2253</v>
      </c>
      <c r="B12" s="4871" t="s">
        <v>2254</v>
      </c>
      <c r="C12" s="4870"/>
      <c r="D12" s="3714">
        <f>ROUND(D13*1.2%*(1-30%),0)</f>
        <v>0</v>
      </c>
      <c r="E12" s="3715">
        <v>1.2E-2</v>
      </c>
      <c r="F12" s="2292" t="s">
        <v>2255</v>
      </c>
      <c r="G12" s="2293"/>
      <c r="H12" s="2255"/>
      <c r="I12" s="2256"/>
      <c r="J12" s="4859"/>
      <c r="K12" s="4861"/>
      <c r="L12" s="2286" t="s">
        <v>2256</v>
      </c>
      <c r="M12" s="3980"/>
      <c r="N12" s="3979"/>
      <c r="O12" s="4613"/>
      <c r="P12" s="4613"/>
      <c r="Q12" s="3979">
        <v>365</v>
      </c>
      <c r="R12" s="3978">
        <f t="shared" si="0"/>
        <v>0</v>
      </c>
      <c r="S12" s="2249"/>
      <c r="T12" s="2249"/>
      <c r="U12" s="2249"/>
      <c r="V12" s="2256"/>
    </row>
    <row r="13" spans="1:22" s="2260" customFormat="1" ht="13.15" customHeight="1">
      <c r="A13" s="2295"/>
      <c r="B13" s="2296"/>
      <c r="C13" s="2297" t="s">
        <v>2257</v>
      </c>
      <c r="D13" s="3716"/>
      <c r="E13" s="2299"/>
      <c r="F13" s="2292"/>
      <c r="G13" s="2293"/>
      <c r="H13" s="2255"/>
      <c r="I13" s="2256"/>
      <c r="J13" s="4859"/>
      <c r="K13" s="4861"/>
      <c r="L13" s="2286" t="s">
        <v>2258</v>
      </c>
      <c r="M13" s="3980"/>
      <c r="N13" s="3979"/>
      <c r="O13" s="4613"/>
      <c r="P13" s="4613"/>
      <c r="Q13" s="3979">
        <v>365</v>
      </c>
      <c r="R13" s="3978">
        <f t="shared" si="0"/>
        <v>0</v>
      </c>
      <c r="S13" s="2249"/>
      <c r="T13" s="2249"/>
      <c r="U13" s="2249"/>
      <c r="V13" s="2256"/>
    </row>
    <row r="14" spans="1:22" s="2260" customFormat="1" ht="13.15" customHeight="1">
      <c r="A14" s="2295" t="s">
        <v>2259</v>
      </c>
      <c r="B14" s="4871" t="s">
        <v>2260</v>
      </c>
      <c r="C14" s="4870"/>
      <c r="D14" s="3714">
        <f>ROUND(E14*B5/10000,0)</f>
        <v>0</v>
      </c>
      <c r="E14" s="3717"/>
      <c r="F14" s="2292" t="s">
        <v>2261</v>
      </c>
      <c r="G14" s="2293"/>
      <c r="H14" s="2255"/>
      <c r="I14" s="2256"/>
      <c r="J14" s="4859"/>
      <c r="K14" s="4862"/>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69" t="s">
        <v>3789</v>
      </c>
      <c r="C15" s="4870"/>
      <c r="D15" s="3714">
        <f>IF(F15="酒店",E48*(1+E15),IF(F15="购物中心",E67*(1+E15),IF(F15="按比例计算-酒店",E46,E65)))</f>
        <v>0</v>
      </c>
      <c r="E15" s="3715">
        <f>'数据-取费表'!B44</f>
        <v>0</v>
      </c>
      <c r="F15" s="3855" t="s">
        <v>3848</v>
      </c>
      <c r="G15" s="3856"/>
      <c r="H15" s="2255"/>
      <c r="I15" s="2256"/>
      <c r="J15" s="4859">
        <v>2</v>
      </c>
      <c r="K15" s="4860"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71" t="s">
        <v>2271</v>
      </c>
      <c r="C16" s="4870"/>
      <c r="D16" s="3718">
        <f>D6*E16</f>
        <v>0</v>
      </c>
      <c r="E16" s="3719"/>
      <c r="F16" s="2294" t="s">
        <v>2272</v>
      </c>
      <c r="G16" s="2277"/>
      <c r="H16" s="2255"/>
      <c r="I16" s="2256"/>
      <c r="J16" s="4859"/>
      <c r="K16" s="4861"/>
      <c r="L16" s="2286" t="s">
        <v>2273</v>
      </c>
      <c r="M16" s="3980"/>
      <c r="N16" s="3980"/>
      <c r="O16" s="4615"/>
      <c r="P16" s="3979">
        <v>365</v>
      </c>
      <c r="Q16" s="3979"/>
      <c r="R16" s="3978">
        <f>ROUND(M16*N16*O16*P16/10000,0)</f>
        <v>0</v>
      </c>
      <c r="S16" s="2249"/>
      <c r="T16" s="2249"/>
      <c r="U16" s="2249"/>
      <c r="V16" s="2256"/>
    </row>
    <row r="17" spans="1:22" s="2260" customFormat="1" ht="13.15" customHeight="1" thickBot="1">
      <c r="A17" s="2305">
        <v>4</v>
      </c>
      <c r="B17" s="4872" t="s">
        <v>2274</v>
      </c>
      <c r="C17" s="4873"/>
      <c r="D17" s="3720">
        <f>ROUND(D6*E17,0)</f>
        <v>0</v>
      </c>
      <c r="E17" s="3721"/>
      <c r="F17" s="3853" t="s">
        <v>3718</v>
      </c>
      <c r="G17" s="2277"/>
      <c r="H17" s="2255"/>
      <c r="I17" s="2256"/>
      <c r="J17" s="4859"/>
      <c r="K17" s="4861"/>
      <c r="L17" s="2286" t="s">
        <v>2275</v>
      </c>
      <c r="M17" s="3980"/>
      <c r="N17" s="3980"/>
      <c r="O17" s="4615"/>
      <c r="P17" s="3979">
        <v>365</v>
      </c>
      <c r="Q17" s="3979"/>
      <c r="R17" s="3978">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59"/>
      <c r="K18" s="4861"/>
      <c r="L18" s="2286" t="s">
        <v>2278</v>
      </c>
      <c r="M18" s="3980"/>
      <c r="N18" s="3980"/>
      <c r="O18" s="4615"/>
      <c r="P18" s="3979">
        <v>365</v>
      </c>
      <c r="Q18" s="3979"/>
      <c r="R18" s="3978">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59"/>
      <c r="K19" s="4862"/>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59">
        <v>3</v>
      </c>
      <c r="K20" s="4860"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59"/>
      <c r="K21" s="4861"/>
      <c r="L21" s="2286" t="s">
        <v>2291</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59"/>
      <c r="K22" s="4861"/>
      <c r="L22" s="2286" t="s">
        <v>2295</v>
      </c>
      <c r="M22" s="3980"/>
      <c r="N22" s="3980"/>
      <c r="O22" s="4614"/>
      <c r="P22" s="3979">
        <v>365</v>
      </c>
      <c r="Q22" s="3979"/>
      <c r="R22" s="3981">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59"/>
      <c r="K23" s="4861"/>
      <c r="L23" s="2286" t="s">
        <v>2297</v>
      </c>
      <c r="M23" s="3980"/>
      <c r="N23" s="3980"/>
      <c r="O23" s="4614"/>
      <c r="P23" s="3979">
        <v>365</v>
      </c>
      <c r="Q23" s="3979"/>
      <c r="R23" s="3981">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59"/>
      <c r="K24" s="4862"/>
      <c r="L24" s="2300" t="s">
        <v>2262</v>
      </c>
      <c r="M24" s="2301">
        <f>SUM(M21:M23)</f>
        <v>0</v>
      </c>
      <c r="N24" s="2301"/>
      <c r="O24" s="2302"/>
      <c r="P24" s="2308" t="s">
        <v>2323</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2">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63">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64"/>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65" t="s">
        <v>2212</v>
      </c>
      <c r="K32" s="4866"/>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67" t="s">
        <v>2222</v>
      </c>
      <c r="K33" s="4868"/>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67" t="s">
        <v>2224</v>
      </c>
      <c r="K34" s="4868"/>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59">
        <v>1</v>
      </c>
      <c r="K36" s="4860"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59"/>
      <c r="K37" s="4861"/>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59"/>
      <c r="K38" s="4861"/>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59"/>
      <c r="K39" s="4861"/>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59"/>
      <c r="K40" s="4862"/>
      <c r="L40" s="2300" t="s">
        <v>2262</v>
      </c>
      <c r="M40" s="2301"/>
      <c r="N40" s="2301"/>
      <c r="O40" s="2302"/>
      <c r="P40" s="2302"/>
      <c r="Q40" s="3753"/>
      <c r="R40" s="3983">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2">
        <f>ROUND(R40*Q41,0)</f>
        <v>0</v>
      </c>
      <c r="S41" s="2311"/>
      <c r="T41" s="2249"/>
      <c r="U41" s="2341"/>
      <c r="V41" s="2256"/>
    </row>
    <row r="42" spans="1:23" s="2260" customFormat="1" ht="13.15" customHeight="1">
      <c r="G42" s="2366"/>
      <c r="H42" s="2255"/>
      <c r="I42" s="2256"/>
      <c r="J42" s="4863">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64"/>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3719</v>
      </c>
      <c r="D46" s="3871" t="s">
        <v>3790</v>
      </c>
      <c r="E46" s="4320">
        <f>ROUND(D6*G46,0)</f>
        <v>0</v>
      </c>
      <c r="F46" s="3882" t="s">
        <v>3779</v>
      </c>
      <c r="G46" s="4321">
        <v>0.05</v>
      </c>
      <c r="H46" s="3858"/>
      <c r="I46" s="3859"/>
    </row>
    <row r="47" spans="1:23" ht="13.15" customHeight="1">
      <c r="A47" s="3858"/>
      <c r="B47" s="3858"/>
      <c r="C47" s="3872" t="s">
        <v>3720</v>
      </c>
      <c r="D47" s="3873" t="s">
        <v>3721</v>
      </c>
      <c r="E47" s="4433" t="s">
        <v>3955</v>
      </c>
      <c r="F47" s="3883" t="s">
        <v>3722</v>
      </c>
      <c r="G47" s="3884" t="s">
        <v>3723</v>
      </c>
      <c r="H47" s="3860"/>
      <c r="I47" s="3859"/>
    </row>
    <row r="48" spans="1:23" ht="13.15" customHeight="1">
      <c r="A48" s="3860"/>
      <c r="B48" s="3860"/>
      <c r="C48" s="3874">
        <v>1</v>
      </c>
      <c r="D48" s="3873" t="s">
        <v>3724</v>
      </c>
      <c r="E48" s="3894">
        <f>E49-E54</f>
        <v>0</v>
      </c>
      <c r="F48" s="3873"/>
      <c r="G48" s="3884"/>
      <c r="H48" s="3860"/>
      <c r="I48" s="3859"/>
    </row>
    <row r="49" spans="1:9" ht="13.15" customHeight="1">
      <c r="A49" s="3860"/>
      <c r="B49" s="3860"/>
      <c r="C49" s="3874">
        <v>2</v>
      </c>
      <c r="D49" s="3873" t="s">
        <v>3725</v>
      </c>
      <c r="E49" s="3894">
        <f>SUM(E50:E53)</f>
        <v>0</v>
      </c>
      <c r="F49" s="3873"/>
      <c r="G49" s="4315"/>
      <c r="H49" s="3860"/>
      <c r="I49" s="3859"/>
    </row>
    <row r="50" spans="1:9" ht="13.15" customHeight="1">
      <c r="A50" s="3860"/>
      <c r="B50" s="3860"/>
      <c r="C50" s="3875" t="s">
        <v>3741</v>
      </c>
      <c r="D50" s="3876" t="s">
        <v>3726</v>
      </c>
      <c r="E50" s="3895">
        <f>R14*G50/(1+G50)</f>
        <v>0</v>
      </c>
      <c r="F50" s="3885" t="s">
        <v>3742</v>
      </c>
      <c r="G50" s="4316">
        <v>0.06</v>
      </c>
      <c r="H50" s="3860"/>
      <c r="I50" s="3859"/>
    </row>
    <row r="51" spans="1:9" ht="13.15" customHeight="1">
      <c r="A51" s="3860"/>
      <c r="B51" s="3860"/>
      <c r="C51" s="3875" t="s">
        <v>3743</v>
      </c>
      <c r="D51" s="3876" t="s">
        <v>3727</v>
      </c>
      <c r="E51" s="3895">
        <f>R19*G51/(1+G51)</f>
        <v>0</v>
      </c>
      <c r="F51" s="3885" t="s">
        <v>3744</v>
      </c>
      <c r="G51" s="4316">
        <v>0.06</v>
      </c>
      <c r="H51" s="3860"/>
      <c r="I51" s="3859"/>
    </row>
    <row r="52" spans="1:9" ht="13.15" customHeight="1">
      <c r="A52" s="3860"/>
      <c r="B52" s="3860"/>
      <c r="C52" s="3875" t="s">
        <v>3745</v>
      </c>
      <c r="D52" s="3876" t="s">
        <v>3728</v>
      </c>
      <c r="E52" s="3895">
        <f>R24*G52/(1+R24)</f>
        <v>0</v>
      </c>
      <c r="F52" s="3885" t="s">
        <v>3729</v>
      </c>
      <c r="G52" s="4316">
        <v>0.09</v>
      </c>
      <c r="H52" s="3860"/>
      <c r="I52" s="3859"/>
    </row>
    <row r="53" spans="1:9" ht="13.15" customHeight="1">
      <c r="A53" s="3860"/>
      <c r="B53" s="3860"/>
      <c r="C53" s="3875" t="s">
        <v>3746</v>
      </c>
      <c r="D53" s="3876" t="s">
        <v>3730</v>
      </c>
      <c r="E53" s="3895">
        <f>R27*G53/(1+G53)</f>
        <v>0</v>
      </c>
      <c r="F53" s="3885" t="s">
        <v>3729</v>
      </c>
      <c r="G53" s="4316">
        <v>0.09</v>
      </c>
      <c r="H53" s="3860"/>
      <c r="I53" s="3859"/>
    </row>
    <row r="54" spans="1:9" ht="13.15" customHeight="1">
      <c r="A54" s="3860" t="s">
        <v>3774</v>
      </c>
      <c r="B54" s="3859"/>
      <c r="C54" s="3874">
        <v>3</v>
      </c>
      <c r="D54" s="3873" t="s">
        <v>3731</v>
      </c>
      <c r="E54" s="3894">
        <f>E55+E56+E60</f>
        <v>0</v>
      </c>
      <c r="F54" s="3873"/>
      <c r="G54" s="4315"/>
      <c r="H54" s="3860"/>
      <c r="I54" s="3859"/>
    </row>
    <row r="55" spans="1:9" ht="13.15" customHeight="1">
      <c r="A55" s="3861">
        <v>0.05</v>
      </c>
      <c r="B55" s="3862" t="s">
        <v>3778</v>
      </c>
      <c r="C55" s="3875" t="s">
        <v>3741</v>
      </c>
      <c r="D55" s="3876" t="s">
        <v>3732</v>
      </c>
      <c r="E55" s="3895">
        <f>D9*G55/(1+G55)</f>
        <v>0</v>
      </c>
      <c r="F55" s="3887" t="s">
        <v>3780</v>
      </c>
      <c r="G55" s="4316">
        <v>0.13</v>
      </c>
      <c r="H55" s="3860"/>
      <c r="I55" s="3859"/>
    </row>
    <row r="56" spans="1:9" ht="13.15" customHeight="1">
      <c r="A56" s="3861">
        <f>SUM(A57:A59)</f>
        <v>0.39</v>
      </c>
      <c r="B56" s="3862"/>
      <c r="C56" s="3875" t="s">
        <v>3743</v>
      </c>
      <c r="D56" s="3876" t="s">
        <v>3733</v>
      </c>
      <c r="E56" s="3895">
        <f>SUM(E57:E59)</f>
        <v>0</v>
      </c>
      <c r="F56" s="3885"/>
      <c r="G56" s="3888"/>
      <c r="H56" s="3860" t="s">
        <v>3787</v>
      </c>
      <c r="I56" s="3860" t="s">
        <v>3788</v>
      </c>
    </row>
    <row r="57" spans="1:9" ht="13.15" customHeight="1">
      <c r="A57" s="3861">
        <v>0.25</v>
      </c>
      <c r="B57" s="3862" t="s">
        <v>3775</v>
      </c>
      <c r="C57" s="3877" t="s">
        <v>3734</v>
      </c>
      <c r="D57" s="3878" t="s">
        <v>3735</v>
      </c>
      <c r="E57" s="3896">
        <v>0</v>
      </c>
      <c r="F57" s="3889"/>
      <c r="G57" s="3890" t="s">
        <v>3736</v>
      </c>
      <c r="H57" s="3854">
        <v>0.65</v>
      </c>
      <c r="I57" s="3863">
        <f>A57/SUM(A57:A59)</f>
        <v>0.64102564102564097</v>
      </c>
    </row>
    <row r="58" spans="1:9" ht="13.15" customHeight="1">
      <c r="A58" s="3861">
        <v>0.06</v>
      </c>
      <c r="B58" s="3862" t="s">
        <v>3776</v>
      </c>
      <c r="C58" s="3877" t="s">
        <v>3737</v>
      </c>
      <c r="D58" s="3879" t="s">
        <v>3782</v>
      </c>
      <c r="E58" s="3896">
        <f>D10*H58*G58/(1+G58)</f>
        <v>0</v>
      </c>
      <c r="F58" s="3889" t="s">
        <v>3747</v>
      </c>
      <c r="G58" s="4317">
        <v>0.09</v>
      </c>
      <c r="H58" s="3854">
        <v>0.15</v>
      </c>
      <c r="I58" s="3863">
        <f>A58/SUM(A57:A59)</f>
        <v>0.15384615384615383</v>
      </c>
    </row>
    <row r="59" spans="1:9" ht="13.15" customHeight="1">
      <c r="A59" s="3861">
        <v>0.08</v>
      </c>
      <c r="B59" s="3862" t="s">
        <v>3777</v>
      </c>
      <c r="C59" s="3877" t="s">
        <v>3738</v>
      </c>
      <c r="D59" s="3878" t="s">
        <v>3748</v>
      </c>
      <c r="E59" s="3896">
        <f>D10*H59*G59/(1+G59)</f>
        <v>0</v>
      </c>
      <c r="F59" s="3889" t="s">
        <v>3749</v>
      </c>
      <c r="G59" s="4317">
        <v>0.06</v>
      </c>
      <c r="H59" s="3854">
        <v>0.2</v>
      </c>
      <c r="I59" s="3863">
        <f>1-I57-I58</f>
        <v>0.2051282051282052</v>
      </c>
    </row>
    <row r="60" spans="1:9" ht="13.15" customHeight="1">
      <c r="A60" s="3861">
        <f>SUM(A61:A62)</f>
        <v>0.1</v>
      </c>
      <c r="B60" s="3862"/>
      <c r="C60" s="3875" t="s">
        <v>3745</v>
      </c>
      <c r="D60" s="3876" t="s">
        <v>3750</v>
      </c>
      <c r="E60" s="3895">
        <f>SUM(E61:E62)</f>
        <v>0</v>
      </c>
      <c r="F60" s="3885"/>
      <c r="G60" s="4318"/>
      <c r="I60" s="3859"/>
    </row>
    <row r="61" spans="1:9" ht="13.15" customHeight="1">
      <c r="A61" s="3861">
        <v>0.05</v>
      </c>
      <c r="B61" s="3862" t="s">
        <v>3778</v>
      </c>
      <c r="C61" s="3877" t="s">
        <v>3751</v>
      </c>
      <c r="D61" s="3878" t="s">
        <v>3752</v>
      </c>
      <c r="E61" s="3896">
        <f>D17*H61*G61/(1+G61)</f>
        <v>0</v>
      </c>
      <c r="F61" s="3889" t="s">
        <v>3749</v>
      </c>
      <c r="G61" s="4317">
        <v>0.06</v>
      </c>
      <c r="H61" s="3854">
        <v>0.5</v>
      </c>
      <c r="I61" s="3859"/>
    </row>
    <row r="62" spans="1:9" ht="13.15" customHeight="1" thickBot="1">
      <c r="A62" s="3861">
        <v>0.05</v>
      </c>
      <c r="B62" s="3862" t="s">
        <v>3779</v>
      </c>
      <c r="C62" s="3880" t="s">
        <v>3737</v>
      </c>
      <c r="D62" s="3881" t="s">
        <v>3753</v>
      </c>
      <c r="E62" s="3897">
        <f>D17*H62*G62/(1+G62)</f>
        <v>0</v>
      </c>
      <c r="F62" s="3892" t="s">
        <v>3754</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3755</v>
      </c>
      <c r="D65" s="3871" t="s">
        <v>3790</v>
      </c>
      <c r="E65" s="4320">
        <f>ROUND(D6*G65,0)</f>
        <v>0</v>
      </c>
      <c r="F65" s="3882" t="s">
        <v>3791</v>
      </c>
      <c r="G65" s="4321">
        <v>0.03</v>
      </c>
      <c r="H65" s="3860"/>
      <c r="I65" s="3859"/>
    </row>
    <row r="66" spans="1:9" ht="12.75">
      <c r="A66" s="3860"/>
      <c r="B66" s="3860"/>
      <c r="C66" s="3872" t="s">
        <v>3756</v>
      </c>
      <c r="D66" s="3873" t="s">
        <v>3757</v>
      </c>
      <c r="E66" s="4433" t="s">
        <v>3955</v>
      </c>
      <c r="F66" s="3883" t="s">
        <v>3758</v>
      </c>
      <c r="G66" s="3884" t="s">
        <v>3759</v>
      </c>
      <c r="H66" s="3860"/>
      <c r="I66" s="3859"/>
    </row>
    <row r="67" spans="1:9" ht="12">
      <c r="A67" s="3860"/>
      <c r="B67" s="3860"/>
      <c r="C67" s="3874">
        <v>1</v>
      </c>
      <c r="D67" s="3873" t="s">
        <v>3760</v>
      </c>
      <c r="E67" s="3898">
        <f>E68-E73</f>
        <v>0</v>
      </c>
      <c r="F67" s="3873"/>
      <c r="G67" s="3884"/>
      <c r="H67" s="3860"/>
      <c r="I67" s="3859"/>
    </row>
    <row r="68" spans="1:9" ht="13.15" customHeight="1">
      <c r="A68" s="3860"/>
      <c r="B68" s="3860"/>
      <c r="C68" s="3899">
        <v>2</v>
      </c>
      <c r="D68" s="3873" t="s">
        <v>3761</v>
      </c>
      <c r="E68" s="3898">
        <f>SUM(E69:E70)</f>
        <v>0</v>
      </c>
      <c r="F68" s="3873"/>
      <c r="G68" s="3884"/>
      <c r="H68" s="3860"/>
      <c r="I68" s="3859"/>
    </row>
    <row r="69" spans="1:9" ht="13.15" customHeight="1">
      <c r="A69" s="3860"/>
      <c r="B69" s="3860"/>
      <c r="C69" s="3875" t="s">
        <v>3762</v>
      </c>
      <c r="D69" s="3876" t="s">
        <v>3763</v>
      </c>
      <c r="E69" s="3876"/>
      <c r="F69" s="3885" t="s">
        <v>3764</v>
      </c>
      <c r="G69" s="3886">
        <v>0.09</v>
      </c>
      <c r="H69" s="3860"/>
      <c r="I69" s="3859"/>
    </row>
    <row r="70" spans="1:9" ht="13.15" customHeight="1">
      <c r="A70" s="3860"/>
      <c r="B70" s="3860"/>
      <c r="C70" s="3875" t="s">
        <v>3743</v>
      </c>
      <c r="D70" s="3876" t="s">
        <v>3765</v>
      </c>
      <c r="E70" s="3876"/>
      <c r="F70" s="3885" t="s">
        <v>3766</v>
      </c>
      <c r="G70" s="3886">
        <v>0.06</v>
      </c>
      <c r="H70" s="3860"/>
      <c r="I70" s="3859"/>
    </row>
    <row r="71" spans="1:9" ht="13.15" customHeight="1">
      <c r="A71" s="3860" t="s">
        <v>3781</v>
      </c>
      <c r="B71" s="3860"/>
      <c r="C71" s="3899">
        <v>3</v>
      </c>
      <c r="D71" s="3873" t="s">
        <v>3767</v>
      </c>
      <c r="E71" s="3898">
        <f>E72+E77</f>
        <v>0</v>
      </c>
      <c r="F71" s="3873"/>
      <c r="G71" s="3884"/>
      <c r="H71" s="3860"/>
      <c r="I71" s="3859"/>
    </row>
    <row r="72" spans="1:9" ht="13.15" customHeight="1">
      <c r="A72" s="3861">
        <v>0.05</v>
      </c>
      <c r="B72" s="3868"/>
      <c r="C72" s="3875" t="s">
        <v>3762</v>
      </c>
      <c r="D72" s="3876" t="s">
        <v>3768</v>
      </c>
      <c r="E72" s="3876">
        <f>D9*G72/(1+G72)</f>
        <v>0</v>
      </c>
      <c r="F72" s="3887" t="s">
        <v>3780</v>
      </c>
      <c r="G72" s="3886">
        <v>0.13</v>
      </c>
      <c r="H72" s="3860"/>
      <c r="I72" s="3859"/>
    </row>
    <row r="73" spans="1:9" ht="13.15" customHeight="1">
      <c r="A73" s="3861">
        <f>SUM(A74:A76)</f>
        <v>0.2</v>
      </c>
      <c r="B73" s="3868"/>
      <c r="C73" s="3875" t="s">
        <v>3743</v>
      </c>
      <c r="D73" s="3876" t="s">
        <v>3769</v>
      </c>
      <c r="E73" s="3876">
        <f>SUM(E74:E76)</f>
        <v>0</v>
      </c>
      <c r="F73" s="3885"/>
      <c r="G73" s="3888"/>
      <c r="H73" s="3860" t="s">
        <v>3787</v>
      </c>
      <c r="I73" s="3860" t="s">
        <v>3788</v>
      </c>
    </row>
    <row r="74" spans="1:9" ht="13.15" customHeight="1">
      <c r="A74" s="3861">
        <v>0.05</v>
      </c>
      <c r="B74" s="3868" t="s">
        <v>3785</v>
      </c>
      <c r="C74" s="3900" t="s">
        <v>3770</v>
      </c>
      <c r="D74" s="3878" t="s">
        <v>3771</v>
      </c>
      <c r="E74" s="3878">
        <v>0</v>
      </c>
      <c r="F74" s="3889"/>
      <c r="G74" s="3890" t="s">
        <v>3772</v>
      </c>
      <c r="H74" s="3854">
        <v>0.25</v>
      </c>
      <c r="I74" s="3863">
        <f>A74/SUM(A74:A76)</f>
        <v>0.25</v>
      </c>
    </row>
    <row r="75" spans="1:9" ht="13.15" customHeight="1">
      <c r="A75" s="3861">
        <v>0.1</v>
      </c>
      <c r="B75" s="3868" t="s">
        <v>3783</v>
      </c>
      <c r="C75" s="3900" t="s">
        <v>3739</v>
      </c>
      <c r="D75" s="3879" t="s">
        <v>3782</v>
      </c>
      <c r="E75" s="3878">
        <f>D10*H75*G75/(1+G75)</f>
        <v>0</v>
      </c>
      <c r="F75" s="3889" t="s">
        <v>3773</v>
      </c>
      <c r="G75" s="3891">
        <v>0.09</v>
      </c>
      <c r="H75" s="3854">
        <v>0.5</v>
      </c>
      <c r="I75" s="3863">
        <f>A75/SUM(A74:A76)</f>
        <v>0.5</v>
      </c>
    </row>
    <row r="76" spans="1:9" ht="13.15" customHeight="1">
      <c r="A76" s="3861">
        <v>0.05</v>
      </c>
      <c r="B76" s="3868" t="s">
        <v>3786</v>
      </c>
      <c r="C76" s="3900" t="s">
        <v>3740</v>
      </c>
      <c r="D76" s="3878" t="s">
        <v>3748</v>
      </c>
      <c r="E76" s="3878">
        <f>D10*H76*G76/(1+G76)</f>
        <v>0</v>
      </c>
      <c r="F76" s="3889" t="s">
        <v>3749</v>
      </c>
      <c r="G76" s="3891">
        <v>0.06</v>
      </c>
      <c r="H76" s="3854">
        <v>0.25</v>
      </c>
      <c r="I76" s="3863">
        <f>1-I74-I75</f>
        <v>0.25</v>
      </c>
    </row>
    <row r="77" spans="1:9" ht="13.15" customHeight="1">
      <c r="A77" s="3861">
        <f>SUM(A78:A79)</f>
        <v>0.1</v>
      </c>
      <c r="B77" s="3868"/>
      <c r="C77" s="3875" t="s">
        <v>3745</v>
      </c>
      <c r="D77" s="3876" t="s">
        <v>3750</v>
      </c>
      <c r="E77" s="3876">
        <f>SUM(E78:E79)</f>
        <v>0</v>
      </c>
      <c r="F77" s="3885"/>
      <c r="G77" s="3888"/>
      <c r="I77" s="3859"/>
    </row>
    <row r="78" spans="1:9" ht="13.15" customHeight="1">
      <c r="A78" s="3861">
        <v>0.05</v>
      </c>
      <c r="B78" s="3868" t="s">
        <v>3776</v>
      </c>
      <c r="C78" s="3900" t="s">
        <v>3770</v>
      </c>
      <c r="D78" s="3878" t="s">
        <v>3752</v>
      </c>
      <c r="E78" s="3878">
        <f>D17*H78*G78/(1+G78)</f>
        <v>0</v>
      </c>
      <c r="F78" s="3889" t="s">
        <v>3749</v>
      </c>
      <c r="G78" s="3891">
        <v>0.06</v>
      </c>
      <c r="H78" s="3854">
        <v>0.5</v>
      </c>
      <c r="I78" s="3859"/>
    </row>
    <row r="79" spans="1:9" ht="13.15" customHeight="1" thickBot="1">
      <c r="A79" s="3861">
        <v>0.05</v>
      </c>
      <c r="B79" s="3868" t="s">
        <v>3784</v>
      </c>
      <c r="C79" s="3901" t="s">
        <v>3739</v>
      </c>
      <c r="D79" s="3881" t="s">
        <v>3753</v>
      </c>
      <c r="E79" s="3881">
        <f>D17*H79*G79/(1+G79)</f>
        <v>0</v>
      </c>
      <c r="F79" s="3892" t="s">
        <v>3754</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 sqref="G2:G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79" t="s">
        <v>1561</v>
      </c>
      <c r="C5" s="4880"/>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2" sqref="G2:G5"/>
      <selection pane="bottomLeft" activeCell="G2" sqref="G2:G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84" t="s">
        <v>1991</v>
      </c>
      <c r="D1" s="4885"/>
      <c r="E1" s="4885"/>
      <c r="F1" s="4885"/>
      <c r="G1" s="4885"/>
      <c r="H1" s="4885"/>
      <c r="I1" s="4885"/>
      <c r="J1" s="4885"/>
      <c r="K1" s="4885"/>
      <c r="L1" s="4885"/>
      <c r="M1" s="4885"/>
      <c r="N1" s="4885"/>
      <c r="O1" s="4885"/>
      <c r="P1" s="4885"/>
      <c r="Q1" s="4885"/>
      <c r="R1" s="4885"/>
      <c r="S1" s="488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81" t="s">
        <v>25</v>
      </c>
      <c r="D22" s="4882"/>
      <c r="E22" s="4882"/>
      <c r="F22" s="4882"/>
      <c r="G22" s="4882"/>
      <c r="H22" s="4882"/>
      <c r="I22" s="4882"/>
      <c r="J22" s="4882"/>
      <c r="K22" s="4882"/>
      <c r="L22" s="4882"/>
      <c r="M22" s="4882"/>
      <c r="N22" s="4882"/>
      <c r="O22" s="4882"/>
      <c r="P22" s="4882"/>
      <c r="Q22" s="4883"/>
      <c r="R22" s="3924" t="e">
        <f>ROUND(S22*10000/B22,0)</f>
        <v>#DIV/0!</v>
      </c>
      <c r="S22" s="3924">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2" sqref="G2:G5"/>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06" t="s">
        <v>1574</v>
      </c>
      <c r="D4" s="4907"/>
      <c r="E4" s="4908" t="s">
        <v>1575</v>
      </c>
      <c r="F4" s="4909"/>
      <c r="G4" s="4906" t="s">
        <v>1576</v>
      </c>
      <c r="H4" s="4907"/>
      <c r="I4" s="4906" t="s">
        <v>1577</v>
      </c>
      <c r="J4" s="4907"/>
      <c r="K4" s="3050" t="s">
        <v>1578</v>
      </c>
      <c r="L4" s="2146"/>
      <c r="M4" s="2147"/>
      <c r="N4" s="2147"/>
      <c r="O4" s="2147"/>
      <c r="P4" s="4910" t="s">
        <v>1579</v>
      </c>
      <c r="Q4" s="4911"/>
      <c r="R4" s="4916" t="s">
        <v>1575</v>
      </c>
      <c r="S4" s="4917"/>
      <c r="T4" s="4916" t="s">
        <v>1576</v>
      </c>
      <c r="U4" s="4917"/>
      <c r="V4" s="4922" t="s">
        <v>1577</v>
      </c>
      <c r="W4" s="4922"/>
      <c r="X4" s="963"/>
      <c r="Y4" s="4931" t="s">
        <v>1579</v>
      </c>
      <c r="Z4" s="4932"/>
      <c r="AA4" s="4903" t="s">
        <v>1575</v>
      </c>
      <c r="AB4" s="4903" t="s">
        <v>1576</v>
      </c>
      <c r="AC4" s="4903" t="s">
        <v>1577</v>
      </c>
    </row>
    <row r="5" spans="1:29" ht="15">
      <c r="A5" s="244"/>
      <c r="B5" s="245"/>
      <c r="C5" s="4925" t="s">
        <v>1580</v>
      </c>
      <c r="D5" s="4926"/>
      <c r="E5" s="4940" t="s">
        <v>1581</v>
      </c>
      <c r="F5" s="4941"/>
      <c r="G5" s="4925" t="s">
        <v>1582</v>
      </c>
      <c r="H5" s="4926"/>
      <c r="I5" s="4925" t="s">
        <v>1583</v>
      </c>
      <c r="J5" s="4926"/>
      <c r="K5" s="3051"/>
      <c r="L5" s="2146"/>
      <c r="M5" s="2147"/>
      <c r="N5" s="2147"/>
      <c r="O5" s="2147"/>
      <c r="P5" s="4912"/>
      <c r="Q5" s="4913"/>
      <c r="R5" s="4918"/>
      <c r="S5" s="4919"/>
      <c r="T5" s="4918"/>
      <c r="U5" s="4919"/>
      <c r="V5" s="4922"/>
      <c r="W5" s="4922"/>
      <c r="X5" s="963"/>
      <c r="Y5" s="4933"/>
      <c r="Z5" s="4934"/>
      <c r="AA5" s="4904"/>
      <c r="AB5" s="4904"/>
      <c r="AC5" s="4904"/>
    </row>
    <row r="6" spans="1:29" ht="15.75" thickBot="1">
      <c r="A6" s="246"/>
      <c r="B6" s="247"/>
      <c r="C6" s="4923" t="s">
        <v>1584</v>
      </c>
      <c r="D6" s="4924"/>
      <c r="E6" s="4938" t="s">
        <v>1584</v>
      </c>
      <c r="F6" s="4939"/>
      <c r="G6" s="4923" t="s">
        <v>1584</v>
      </c>
      <c r="H6" s="4924"/>
      <c r="I6" s="4923" t="s">
        <v>1584</v>
      </c>
      <c r="J6" s="4924"/>
      <c r="K6" s="3051" t="s">
        <v>1585</v>
      </c>
      <c r="L6" s="2146"/>
      <c r="M6" s="2147"/>
      <c r="N6" s="2147"/>
      <c r="O6" s="2147"/>
      <c r="P6" s="4914"/>
      <c r="Q6" s="4915"/>
      <c r="R6" s="4918"/>
      <c r="S6" s="4919"/>
      <c r="T6" s="4920"/>
      <c r="U6" s="4921"/>
      <c r="V6" s="4922"/>
      <c r="W6" s="4922"/>
      <c r="X6" s="963"/>
      <c r="Y6" s="4935"/>
      <c r="Z6" s="4936"/>
      <c r="AA6" s="4905"/>
      <c r="AB6" s="4905"/>
      <c r="AC6" s="4905"/>
    </row>
    <row r="7" spans="1:29" s="49" customFormat="1" ht="15.75" thickBot="1">
      <c r="A7" s="248" t="s">
        <v>1586</v>
      </c>
      <c r="B7" s="249"/>
      <c r="C7" s="3052">
        <f>'数据-取费表'!B2</f>
        <v>46063</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927" t="s">
        <v>1587</v>
      </c>
      <c r="Q7" s="4937"/>
      <c r="R7" s="3921" t="s">
        <v>18</v>
      </c>
      <c r="S7" s="3405">
        <f t="shared" ref="S7:S15" si="0">F7</f>
        <v>0</v>
      </c>
      <c r="T7" s="3921" t="s">
        <v>18</v>
      </c>
      <c r="U7" s="3405">
        <f t="shared" ref="U7:U15" si="1">H7</f>
        <v>0</v>
      </c>
      <c r="V7" s="3921" t="s">
        <v>18</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927" t="s">
        <v>1590</v>
      </c>
      <c r="Q8" s="4928"/>
      <c r="R8" s="3921" t="s">
        <v>18</v>
      </c>
      <c r="S8" s="3405">
        <f t="shared" si="0"/>
        <v>100</v>
      </c>
      <c r="T8" s="3921" t="s">
        <v>18</v>
      </c>
      <c r="U8" s="3405">
        <f t="shared" si="1"/>
        <v>100</v>
      </c>
      <c r="V8" s="3921" t="s">
        <v>18</v>
      </c>
      <c r="W8" s="3405">
        <f t="shared" si="2"/>
        <v>100</v>
      </c>
      <c r="X8" s="504"/>
      <c r="Y8" s="4929" t="s">
        <v>1590</v>
      </c>
      <c r="Z8" s="4930"/>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01"/>
      <c r="Q11" s="3026" t="str">
        <f t="shared" si="6"/>
        <v>容积率</v>
      </c>
      <c r="R11" s="3921" t="s">
        <v>16</v>
      </c>
      <c r="S11" s="3405">
        <f t="shared" si="0"/>
        <v>100</v>
      </c>
      <c r="T11" s="3921" t="s">
        <v>16</v>
      </c>
      <c r="U11" s="3405">
        <f t="shared" si="1"/>
        <v>100</v>
      </c>
      <c r="V11" s="3921" t="s">
        <v>16</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01"/>
      <c r="Q12" s="3026">
        <f t="shared" si="6"/>
        <v>111</v>
      </c>
      <c r="R12" s="3921" t="s">
        <v>16</v>
      </c>
      <c r="S12" s="3405">
        <f t="shared" si="0"/>
        <v>100</v>
      </c>
      <c r="T12" s="3921" t="s">
        <v>16</v>
      </c>
      <c r="U12" s="3405">
        <f t="shared" si="1"/>
        <v>100</v>
      </c>
      <c r="V12" s="3921" t="s">
        <v>16</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01"/>
      <c r="Q13" s="3026">
        <f t="shared" si="6"/>
        <v>111</v>
      </c>
      <c r="R13" s="3921" t="s">
        <v>16</v>
      </c>
      <c r="S13" s="3405">
        <f t="shared" si="0"/>
        <v>100</v>
      </c>
      <c r="T13" s="3921" t="s">
        <v>16</v>
      </c>
      <c r="U13" s="3405">
        <f t="shared" si="1"/>
        <v>100</v>
      </c>
      <c r="V13" s="3921" t="s">
        <v>16</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01"/>
      <c r="Q14" s="3026">
        <f t="shared" si="6"/>
        <v>111</v>
      </c>
      <c r="R14" s="3921" t="s">
        <v>16</v>
      </c>
      <c r="S14" s="3405">
        <f t="shared" si="0"/>
        <v>100</v>
      </c>
      <c r="T14" s="3921" t="s">
        <v>16</v>
      </c>
      <c r="U14" s="3405">
        <f t="shared" si="1"/>
        <v>100</v>
      </c>
      <c r="V14" s="3921" t="s">
        <v>16</v>
      </c>
      <c r="W14" s="3405">
        <f t="shared" si="2"/>
        <v>100</v>
      </c>
      <c r="X14" s="504"/>
      <c r="Y14" s="4902"/>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899" t="s">
        <v>1598</v>
      </c>
      <c r="Q15" s="1618" t="str">
        <f t="shared" si="6"/>
        <v>居住社区成熟度</v>
      </c>
      <c r="R15" s="4042" t="s">
        <v>16</v>
      </c>
      <c r="S15" s="3406">
        <f t="shared" si="0"/>
        <v>100</v>
      </c>
      <c r="T15" s="4042" t="s">
        <v>16</v>
      </c>
      <c r="U15" s="3406">
        <f t="shared" si="1"/>
        <v>100</v>
      </c>
      <c r="V15" s="4042" t="s">
        <v>16</v>
      </c>
      <c r="W15" s="3406">
        <f t="shared" si="2"/>
        <v>100</v>
      </c>
      <c r="X15" s="963"/>
      <c r="Y15" s="4892"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00"/>
      <c r="Q16" s="1618"/>
      <c r="R16" s="4042"/>
      <c r="S16" s="3406"/>
      <c r="T16" s="4042"/>
      <c r="U16" s="3406"/>
      <c r="V16" s="4042"/>
      <c r="W16" s="3406"/>
      <c r="X16" s="963"/>
      <c r="Y16" s="489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00"/>
      <c r="Q17" s="1618" t="str">
        <f>B17</f>
        <v>交通便捷度</v>
      </c>
      <c r="R17" s="4042" t="s">
        <v>16</v>
      </c>
      <c r="S17" s="3406">
        <f>F17</f>
        <v>100</v>
      </c>
      <c r="T17" s="4042" t="s">
        <v>16</v>
      </c>
      <c r="U17" s="3406">
        <f>H17</f>
        <v>100</v>
      </c>
      <c r="V17" s="4042" t="s">
        <v>16</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00"/>
      <c r="Q19" s="1618" t="str">
        <f>B19</f>
        <v>公共配套设施</v>
      </c>
      <c r="R19" s="4042" t="s">
        <v>16</v>
      </c>
      <c r="S19" s="3406">
        <f>F19</f>
        <v>100</v>
      </c>
      <c r="T19" s="4042" t="s">
        <v>16</v>
      </c>
      <c r="U19" s="3406">
        <f>H19</f>
        <v>100</v>
      </c>
      <c r="V19" s="4042" t="s">
        <v>16</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00"/>
      <c r="Q22" s="1618"/>
      <c r="R22" s="4042"/>
      <c r="S22" s="3406"/>
      <c r="T22" s="4042"/>
      <c r="U22" s="3406"/>
      <c r="V22" s="4042"/>
      <c r="W22" s="3406"/>
      <c r="X22" s="963"/>
      <c r="Y22" s="4893"/>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00"/>
      <c r="Q23" s="1618" t="str">
        <f>B23</f>
        <v>自然及人文环境</v>
      </c>
      <c r="R23" s="4042" t="s">
        <v>16</v>
      </c>
      <c r="S23" s="3406">
        <f>F23</f>
        <v>100</v>
      </c>
      <c r="T23" s="4042" t="s">
        <v>16</v>
      </c>
      <c r="U23" s="3406">
        <f>H23</f>
        <v>100</v>
      </c>
      <c r="V23" s="4042" t="s">
        <v>16</v>
      </c>
      <c r="W23" s="3406">
        <f>J23</f>
        <v>100</v>
      </c>
      <c r="X23" s="963"/>
      <c r="Y23" s="4893"/>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00"/>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9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00"/>
      <c r="Q26" s="1618" t="str">
        <f t="shared" si="11"/>
        <v>朝向</v>
      </c>
      <c r="R26" s="4042" t="s">
        <v>16</v>
      </c>
      <c r="S26" s="3406">
        <f t="shared" si="12"/>
        <v>100</v>
      </c>
      <c r="T26" s="4042" t="s">
        <v>16</v>
      </c>
      <c r="U26" s="3406">
        <f t="shared" si="13"/>
        <v>100</v>
      </c>
      <c r="V26" s="4042" t="s">
        <v>16</v>
      </c>
      <c r="W26" s="3406">
        <f t="shared" si="14"/>
        <v>100</v>
      </c>
      <c r="X26" s="963"/>
      <c r="Y26" s="4893"/>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00"/>
      <c r="Q27" s="3026">
        <f t="shared" si="11"/>
        <v>111</v>
      </c>
      <c r="R27" s="3921" t="s">
        <v>16</v>
      </c>
      <c r="S27" s="3405">
        <f t="shared" si="12"/>
        <v>100</v>
      </c>
      <c r="T27" s="3921" t="s">
        <v>16</v>
      </c>
      <c r="U27" s="3405">
        <f t="shared" si="13"/>
        <v>100</v>
      </c>
      <c r="V27" s="3921" t="s">
        <v>16</v>
      </c>
      <c r="W27" s="3405">
        <f t="shared" si="14"/>
        <v>100</v>
      </c>
      <c r="X27" s="504"/>
      <c r="Y27" s="4893"/>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00"/>
      <c r="Q28" s="1618">
        <f t="shared" si="11"/>
        <v>111</v>
      </c>
      <c r="R28" s="4042" t="s">
        <v>16</v>
      </c>
      <c r="S28" s="3406">
        <f t="shared" si="12"/>
        <v>100</v>
      </c>
      <c r="T28" s="4042" t="s">
        <v>16</v>
      </c>
      <c r="U28" s="3406">
        <f t="shared" si="13"/>
        <v>100</v>
      </c>
      <c r="V28" s="4042" t="s">
        <v>16</v>
      </c>
      <c r="W28" s="3406">
        <f t="shared" si="14"/>
        <v>100</v>
      </c>
      <c r="X28" s="963"/>
      <c r="Y28" s="4893"/>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00"/>
      <c r="Q29" s="1618">
        <f t="shared" si="11"/>
        <v>111</v>
      </c>
      <c r="R29" s="4042" t="s">
        <v>16</v>
      </c>
      <c r="S29" s="3406">
        <f t="shared" si="12"/>
        <v>100</v>
      </c>
      <c r="T29" s="4042" t="s">
        <v>16</v>
      </c>
      <c r="U29" s="3406">
        <f t="shared" si="13"/>
        <v>100</v>
      </c>
      <c r="V29" s="4042" t="s">
        <v>16</v>
      </c>
      <c r="W29" s="3406">
        <f t="shared" si="14"/>
        <v>100</v>
      </c>
      <c r="X29" s="963"/>
      <c r="Y29" s="4893"/>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00"/>
      <c r="Q30" s="1618">
        <f t="shared" si="11"/>
        <v>111</v>
      </c>
      <c r="R30" s="4042" t="s">
        <v>16</v>
      </c>
      <c r="S30" s="3406">
        <f t="shared" si="12"/>
        <v>100</v>
      </c>
      <c r="T30" s="4042" t="s">
        <v>16</v>
      </c>
      <c r="U30" s="3406">
        <f t="shared" si="13"/>
        <v>100</v>
      </c>
      <c r="V30" s="4042" t="s">
        <v>16</v>
      </c>
      <c r="W30" s="3406">
        <f t="shared" si="14"/>
        <v>100</v>
      </c>
      <c r="X30" s="963"/>
      <c r="Y30" s="4893"/>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00"/>
      <c r="Q31" s="1618">
        <f t="shared" si="11"/>
        <v>111</v>
      </c>
      <c r="R31" s="4042" t="s">
        <v>16</v>
      </c>
      <c r="S31" s="3406">
        <f t="shared" si="12"/>
        <v>100</v>
      </c>
      <c r="T31" s="4042" t="s">
        <v>16</v>
      </c>
      <c r="U31" s="3406">
        <f t="shared" si="13"/>
        <v>100</v>
      </c>
      <c r="V31" s="4042" t="s">
        <v>16</v>
      </c>
      <c r="W31" s="3406">
        <f t="shared" si="14"/>
        <v>100</v>
      </c>
      <c r="X31" s="963"/>
      <c r="Y31" s="4893"/>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894" t="s">
        <v>1603</v>
      </c>
      <c r="Q32" s="1618" t="str">
        <f t="shared" si="11"/>
        <v>建筑类型</v>
      </c>
      <c r="R32" s="4042" t="s">
        <v>16</v>
      </c>
      <c r="S32" s="3406">
        <f t="shared" si="12"/>
        <v>100</v>
      </c>
      <c r="T32" s="4042" t="s">
        <v>16</v>
      </c>
      <c r="U32" s="3406">
        <f t="shared" si="13"/>
        <v>100</v>
      </c>
      <c r="V32" s="4042" t="s">
        <v>16</v>
      </c>
      <c r="W32" s="3406">
        <f t="shared" si="14"/>
        <v>100</v>
      </c>
      <c r="X32" s="963"/>
      <c r="Y32" s="489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895"/>
      <c r="Q33" s="3106" t="str">
        <f t="shared" si="11"/>
        <v>项目建筑规模</v>
      </c>
      <c r="R33" s="4043" t="s">
        <v>16</v>
      </c>
      <c r="S33" s="3407" t="e">
        <f t="shared" si="12"/>
        <v>#N/A</v>
      </c>
      <c r="T33" s="4043" t="s">
        <v>16</v>
      </c>
      <c r="U33" s="3407" t="e">
        <f t="shared" si="13"/>
        <v>#N/A</v>
      </c>
      <c r="V33" s="4043" t="s">
        <v>16</v>
      </c>
      <c r="W33" s="3407" t="e">
        <f t="shared" si="14"/>
        <v>#N/A</v>
      </c>
      <c r="X33" s="507"/>
      <c r="Y33" s="489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895"/>
      <c r="Q34" s="1618" t="str">
        <f t="shared" si="11"/>
        <v>建筑结构</v>
      </c>
      <c r="R34" s="4042" t="s">
        <v>16</v>
      </c>
      <c r="S34" s="3406">
        <f t="shared" si="12"/>
        <v>100</v>
      </c>
      <c r="T34" s="4042" t="s">
        <v>16</v>
      </c>
      <c r="U34" s="3406">
        <f t="shared" si="13"/>
        <v>100</v>
      </c>
      <c r="V34" s="4042" t="s">
        <v>16</v>
      </c>
      <c r="W34" s="3406">
        <f t="shared" si="14"/>
        <v>100</v>
      </c>
      <c r="X34" s="963"/>
      <c r="Y34" s="4897"/>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895"/>
      <c r="Q35" s="1618" t="str">
        <f t="shared" si="11"/>
        <v>建筑品质</v>
      </c>
      <c r="R35" s="4042" t="s">
        <v>16</v>
      </c>
      <c r="S35" s="3406">
        <f t="shared" si="12"/>
        <v>100</v>
      </c>
      <c r="T35" s="4042" t="s">
        <v>16</v>
      </c>
      <c r="U35" s="3406">
        <f t="shared" si="13"/>
        <v>100</v>
      </c>
      <c r="V35" s="4042" t="s">
        <v>16</v>
      </c>
      <c r="W35" s="3406">
        <f t="shared" si="14"/>
        <v>100</v>
      </c>
      <c r="X35" s="963"/>
      <c r="Y35" s="4897"/>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895"/>
      <c r="Q36" s="1618" t="str">
        <f t="shared" si="11"/>
        <v>公共部分装修</v>
      </c>
      <c r="R36" s="4042" t="s">
        <v>16</v>
      </c>
      <c r="S36" s="3406">
        <f t="shared" si="12"/>
        <v>100</v>
      </c>
      <c r="T36" s="4042" t="s">
        <v>16</v>
      </c>
      <c r="U36" s="3406">
        <f t="shared" si="13"/>
        <v>100</v>
      </c>
      <c r="V36" s="4042" t="s">
        <v>16</v>
      </c>
      <c r="W36" s="3406">
        <f t="shared" si="14"/>
        <v>100</v>
      </c>
      <c r="X36" s="963"/>
      <c r="Y36" s="489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895"/>
      <c r="Q37" s="3026" t="str">
        <f t="shared" si="11"/>
        <v>成新度</v>
      </c>
      <c r="R37" s="3921" t="s">
        <v>16</v>
      </c>
      <c r="S37" s="3405" t="e">
        <f t="shared" si="12"/>
        <v>#N/A</v>
      </c>
      <c r="T37" s="3921" t="s">
        <v>16</v>
      </c>
      <c r="U37" s="3405" t="e">
        <f t="shared" si="13"/>
        <v>#N/A</v>
      </c>
      <c r="V37" s="3921" t="s">
        <v>16</v>
      </c>
      <c r="W37" s="3405" t="e">
        <f t="shared" si="14"/>
        <v>#N/A</v>
      </c>
      <c r="X37" s="504"/>
      <c r="Y37" s="489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895" t="s">
        <v>1603</v>
      </c>
      <c r="Q38" s="1618" t="str">
        <f t="shared" si="11"/>
        <v>物业管理</v>
      </c>
      <c r="R38" s="4042" t="s">
        <v>16</v>
      </c>
      <c r="S38" s="3406">
        <f t="shared" si="12"/>
        <v>100</v>
      </c>
      <c r="T38" s="4042" t="s">
        <v>16</v>
      </c>
      <c r="U38" s="3406">
        <f t="shared" si="13"/>
        <v>100</v>
      </c>
      <c r="V38" s="4042" t="s">
        <v>16</v>
      </c>
      <c r="W38" s="3406">
        <f t="shared" si="14"/>
        <v>100</v>
      </c>
      <c r="X38" s="963"/>
      <c r="Y38" s="489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895"/>
      <c r="Q39" s="1618" t="str">
        <f t="shared" si="11"/>
        <v>市政基础设施</v>
      </c>
      <c r="R39" s="4042" t="s">
        <v>16</v>
      </c>
      <c r="S39" s="3406">
        <f t="shared" si="12"/>
        <v>100</v>
      </c>
      <c r="T39" s="4042" t="s">
        <v>16</v>
      </c>
      <c r="U39" s="3406">
        <f t="shared" si="13"/>
        <v>100</v>
      </c>
      <c r="V39" s="4042" t="s">
        <v>16</v>
      </c>
      <c r="W39" s="3406">
        <f t="shared" si="14"/>
        <v>100</v>
      </c>
      <c r="X39" s="963"/>
      <c r="Y39" s="489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895"/>
      <c r="Q40" s="1618" t="str">
        <f t="shared" si="11"/>
        <v>房型</v>
      </c>
      <c r="R40" s="4042" t="s">
        <v>16</v>
      </c>
      <c r="S40" s="3406">
        <f t="shared" si="12"/>
        <v>100</v>
      </c>
      <c r="T40" s="4042" t="s">
        <v>16</v>
      </c>
      <c r="U40" s="3406">
        <f t="shared" si="13"/>
        <v>100</v>
      </c>
      <c r="V40" s="4042" t="s">
        <v>16</v>
      </c>
      <c r="W40" s="3406">
        <f t="shared" si="14"/>
        <v>100</v>
      </c>
      <c r="X40" s="963"/>
      <c r="Y40" s="4897"/>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895"/>
      <c r="Q41" s="3106" t="str">
        <f t="shared" si="11"/>
        <v>单套/主力户型建筑面积</v>
      </c>
      <c r="R41" s="4043" t="s">
        <v>16</v>
      </c>
      <c r="S41" s="3407">
        <f t="shared" si="12"/>
        <v>100</v>
      </c>
      <c r="T41" s="4043" t="s">
        <v>16</v>
      </c>
      <c r="U41" s="3407">
        <f t="shared" si="13"/>
        <v>100</v>
      </c>
      <c r="V41" s="4043" t="s">
        <v>16</v>
      </c>
      <c r="W41" s="3407">
        <f t="shared" si="14"/>
        <v>100</v>
      </c>
      <c r="X41" s="507"/>
      <c r="Y41" s="489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895"/>
      <c r="Q42" s="1618" t="str">
        <f t="shared" si="11"/>
        <v>内部装修</v>
      </c>
      <c r="R42" s="4042" t="s">
        <v>16</v>
      </c>
      <c r="S42" s="3406">
        <f t="shared" si="12"/>
        <v>100</v>
      </c>
      <c r="T42" s="4042" t="s">
        <v>16</v>
      </c>
      <c r="U42" s="3406">
        <f t="shared" si="13"/>
        <v>100</v>
      </c>
      <c r="V42" s="4042" t="s">
        <v>16</v>
      </c>
      <c r="W42" s="3406">
        <f t="shared" si="14"/>
        <v>100</v>
      </c>
      <c r="X42" s="963"/>
      <c r="Y42" s="4897"/>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895"/>
      <c r="Q43" s="1618" t="str">
        <f t="shared" si="11"/>
        <v>内部装修维护情况</v>
      </c>
      <c r="R43" s="4042" t="s">
        <v>16</v>
      </c>
      <c r="S43" s="3406">
        <f t="shared" si="12"/>
        <v>100</v>
      </c>
      <c r="T43" s="4042" t="s">
        <v>16</v>
      </c>
      <c r="U43" s="3406">
        <f t="shared" si="13"/>
        <v>100</v>
      </c>
      <c r="V43" s="4042" t="s">
        <v>16</v>
      </c>
      <c r="W43" s="3406">
        <f t="shared" si="14"/>
        <v>100</v>
      </c>
      <c r="X43" s="963"/>
      <c r="Y43" s="489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895"/>
      <c r="Q44" s="3026">
        <f t="shared" si="11"/>
        <v>111</v>
      </c>
      <c r="R44" s="3921" t="s">
        <v>16</v>
      </c>
      <c r="S44" s="3405">
        <f t="shared" si="12"/>
        <v>100</v>
      </c>
      <c r="T44" s="3921" t="s">
        <v>16</v>
      </c>
      <c r="U44" s="3405">
        <f t="shared" si="13"/>
        <v>100</v>
      </c>
      <c r="V44" s="3921" t="s">
        <v>16</v>
      </c>
      <c r="W44" s="3405">
        <f t="shared" si="14"/>
        <v>100</v>
      </c>
      <c r="X44" s="504"/>
      <c r="Y44" s="4897"/>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895"/>
      <c r="Q45" s="1618">
        <f t="shared" si="11"/>
        <v>111</v>
      </c>
      <c r="R45" s="4042" t="s">
        <v>16</v>
      </c>
      <c r="S45" s="3406">
        <f t="shared" si="12"/>
        <v>100</v>
      </c>
      <c r="T45" s="4042" t="s">
        <v>16</v>
      </c>
      <c r="U45" s="3406">
        <f t="shared" si="13"/>
        <v>100</v>
      </c>
      <c r="V45" s="4042" t="s">
        <v>16</v>
      </c>
      <c r="W45" s="3406">
        <f t="shared" si="14"/>
        <v>100</v>
      </c>
      <c r="X45" s="963"/>
      <c r="Y45" s="4897"/>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896"/>
      <c r="Q46" s="1618">
        <f t="shared" si="11"/>
        <v>111</v>
      </c>
      <c r="R46" s="4042" t="s">
        <v>15</v>
      </c>
      <c r="S46" s="3406">
        <f t="shared" si="12"/>
        <v>100</v>
      </c>
      <c r="T46" s="4042" t="s">
        <v>15</v>
      </c>
      <c r="U46" s="3406">
        <f t="shared" si="13"/>
        <v>100</v>
      </c>
      <c r="V46" s="4042" t="s">
        <v>15</v>
      </c>
      <c r="W46" s="3406">
        <f t="shared" si="14"/>
        <v>100</v>
      </c>
      <c r="X46" s="963"/>
      <c r="Y46" s="4898"/>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1616</v>
      </c>
      <c r="B48" s="296"/>
      <c r="C48" s="4040" t="e">
        <f>R49</f>
        <v>#DIV/0!</v>
      </c>
      <c r="D48" s="4197" t="s">
        <v>2042</v>
      </c>
      <c r="E48" s="3127" t="e">
        <f>R48</f>
        <v>#DIV/0!</v>
      </c>
      <c r="F48" s="3042"/>
      <c r="G48" s="3126" t="e">
        <f>T48</f>
        <v>#DIV/0!</v>
      </c>
      <c r="H48" s="3042"/>
      <c r="I48" s="3127" t="e">
        <f>V48</f>
        <v>#DIV/0!</v>
      </c>
      <c r="J48" s="3042"/>
      <c r="K48" s="3097">
        <f>F48+H48+J48</f>
        <v>0</v>
      </c>
      <c r="L48" s="2155"/>
      <c r="M48" s="2156"/>
      <c r="N48" s="2156"/>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06" t="s">
        <v>1677</v>
      </c>
      <c r="D4" s="4907"/>
      <c r="E4" s="4908" t="s">
        <v>1678</v>
      </c>
      <c r="F4" s="4909"/>
      <c r="G4" s="4906" t="s">
        <v>1679</v>
      </c>
      <c r="H4" s="4907"/>
      <c r="I4" s="4906" t="s">
        <v>1680</v>
      </c>
      <c r="J4" s="4907"/>
      <c r="K4" s="3105" t="s">
        <v>1681</v>
      </c>
      <c r="L4" s="2146"/>
      <c r="M4" s="2147"/>
      <c r="N4" s="2147"/>
      <c r="O4" s="2147"/>
      <c r="P4" s="4910" t="s">
        <v>1682</v>
      </c>
      <c r="Q4" s="4911"/>
      <c r="R4" s="4916" t="s">
        <v>1678</v>
      </c>
      <c r="S4" s="4917"/>
      <c r="T4" s="4916" t="s">
        <v>1679</v>
      </c>
      <c r="U4" s="4917"/>
      <c r="V4" s="4922" t="s">
        <v>1680</v>
      </c>
      <c r="W4" s="4922"/>
      <c r="X4" s="963"/>
      <c r="Y4" s="4931" t="s">
        <v>1682</v>
      </c>
      <c r="Z4" s="4932"/>
      <c r="AA4" s="4903" t="s">
        <v>1678</v>
      </c>
      <c r="AB4" s="4942" t="s">
        <v>1679</v>
      </c>
      <c r="AC4" s="4903" t="s">
        <v>1680</v>
      </c>
    </row>
    <row r="5" spans="1:29" ht="15">
      <c r="A5" s="244"/>
      <c r="B5" s="245"/>
      <c r="C5" s="4925" t="s">
        <v>1580</v>
      </c>
      <c r="D5" s="4926"/>
      <c r="E5" s="4940" t="s">
        <v>1581</v>
      </c>
      <c r="F5" s="4941"/>
      <c r="G5" s="4925" t="s">
        <v>1582</v>
      </c>
      <c r="H5" s="4926"/>
      <c r="I5" s="4925" t="s">
        <v>1583</v>
      </c>
      <c r="J5" s="4926"/>
      <c r="K5" s="3105"/>
      <c r="L5" s="2146"/>
      <c r="M5" s="2147"/>
      <c r="N5" s="2147"/>
      <c r="O5" s="2147"/>
      <c r="P5" s="4912"/>
      <c r="Q5" s="4913"/>
      <c r="R5" s="4918"/>
      <c r="S5" s="4919"/>
      <c r="T5" s="4918"/>
      <c r="U5" s="4919"/>
      <c r="V5" s="4922"/>
      <c r="W5" s="4922"/>
      <c r="X5" s="963"/>
      <c r="Y5" s="4933"/>
      <c r="Z5" s="4934"/>
      <c r="AA5" s="4904"/>
      <c r="AB5" s="4942"/>
      <c r="AC5" s="4904"/>
    </row>
    <row r="6" spans="1:29" ht="15.75" thickBot="1">
      <c r="A6" s="246"/>
      <c r="B6" s="247"/>
      <c r="C6" s="4923" t="s">
        <v>1584</v>
      </c>
      <c r="D6" s="4924"/>
      <c r="E6" s="4938" t="s">
        <v>1584</v>
      </c>
      <c r="F6" s="4939"/>
      <c r="G6" s="4923" t="s">
        <v>1584</v>
      </c>
      <c r="H6" s="4924"/>
      <c r="I6" s="4923" t="s">
        <v>1584</v>
      </c>
      <c r="J6" s="4924"/>
      <c r="K6" s="3105" t="s">
        <v>1585</v>
      </c>
      <c r="L6" s="2146"/>
      <c r="M6" s="2147"/>
      <c r="N6" s="2147"/>
      <c r="O6" s="2147"/>
      <c r="P6" s="4914"/>
      <c r="Q6" s="4915"/>
      <c r="R6" s="4918"/>
      <c r="S6" s="4919"/>
      <c r="T6" s="4920"/>
      <c r="U6" s="4921"/>
      <c r="V6" s="4922"/>
      <c r="W6" s="4922"/>
      <c r="X6" s="963"/>
      <c r="Y6" s="4935"/>
      <c r="Z6" s="4936"/>
      <c r="AA6" s="4905"/>
      <c r="AB6" s="4942"/>
      <c r="AC6" s="4905"/>
    </row>
    <row r="7" spans="1:29" s="49" customFormat="1" ht="15.75" thickBot="1">
      <c r="A7" s="248" t="s">
        <v>1586</v>
      </c>
      <c r="B7" s="249"/>
      <c r="C7" s="250">
        <f>'数据-取费表'!B2</f>
        <v>46063</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927"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927" t="s">
        <v>1590</v>
      </c>
      <c r="Q8" s="4928"/>
      <c r="R8" s="3921" t="s">
        <v>13</v>
      </c>
      <c r="S8" s="3405">
        <f t="shared" si="0"/>
        <v>100</v>
      </c>
      <c r="T8" s="3921" t="s">
        <v>13</v>
      </c>
      <c r="U8" s="3405">
        <f t="shared" si="1"/>
        <v>100</v>
      </c>
      <c r="V8" s="3921" t="s">
        <v>13</v>
      </c>
      <c r="W8" s="3405">
        <f t="shared" si="2"/>
        <v>100</v>
      </c>
      <c r="X8" s="504"/>
      <c r="Y8" s="4929" t="s">
        <v>1590</v>
      </c>
      <c r="Z8" s="4930"/>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01"/>
      <c r="Q11" s="3026"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01"/>
      <c r="Q12" s="3026">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01"/>
      <c r="Q13" s="3026">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01"/>
      <c r="Q14" s="3026">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899" t="s">
        <v>1598</v>
      </c>
      <c r="Q15" s="1618" t="str">
        <f t="shared" si="6"/>
        <v>商业繁华度</v>
      </c>
      <c r="R15" s="4042" t="s">
        <v>13</v>
      </c>
      <c r="S15" s="3406">
        <f t="shared" si="0"/>
        <v>100</v>
      </c>
      <c r="T15" s="4042" t="s">
        <v>13</v>
      </c>
      <c r="U15" s="3406">
        <f t="shared" si="1"/>
        <v>100</v>
      </c>
      <c r="V15" s="4042" t="s">
        <v>13</v>
      </c>
      <c r="W15" s="3406">
        <f t="shared" si="2"/>
        <v>100</v>
      </c>
      <c r="X15" s="963"/>
      <c r="Y15" s="4892"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00"/>
      <c r="Q16" s="1618"/>
      <c r="R16" s="4042"/>
      <c r="S16" s="3406"/>
      <c r="T16" s="4042"/>
      <c r="U16" s="3406"/>
      <c r="V16" s="4042"/>
      <c r="W16" s="3406"/>
      <c r="X16" s="963"/>
      <c r="Y16" s="489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00"/>
      <c r="Q17" s="1618"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00"/>
      <c r="Q19" s="1618"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00"/>
      <c r="Q22" s="1618"/>
      <c r="R22" s="4042"/>
      <c r="S22" s="3406"/>
      <c r="T22" s="4042"/>
      <c r="U22" s="3406"/>
      <c r="V22" s="4042"/>
      <c r="W22" s="3406"/>
      <c r="X22" s="963"/>
      <c r="Y22" s="4893"/>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00"/>
      <c r="Q23" s="1618" t="str">
        <f>B23</f>
        <v>自然及人文环境</v>
      </c>
      <c r="R23" s="4042" t="s">
        <v>13</v>
      </c>
      <c r="S23" s="3406">
        <f>F23</f>
        <v>100</v>
      </c>
      <c r="T23" s="4042" t="s">
        <v>13</v>
      </c>
      <c r="U23" s="3406">
        <f>H23</f>
        <v>100</v>
      </c>
      <c r="V23" s="4042" t="s">
        <v>13</v>
      </c>
      <c r="W23" s="3406">
        <f>J23</f>
        <v>100</v>
      </c>
      <c r="X23" s="963"/>
      <c r="Y23" s="4893"/>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00"/>
      <c r="Q25" s="1618" t="str">
        <f t="shared" ref="Q25:Q46" si="11">B25</f>
        <v>临街状况</v>
      </c>
      <c r="R25" s="4042" t="s">
        <v>13</v>
      </c>
      <c r="S25" s="3406">
        <f>F25</f>
        <v>100</v>
      </c>
      <c r="T25" s="4042" t="s">
        <v>13</v>
      </c>
      <c r="U25" s="3406">
        <f>H25</f>
        <v>100</v>
      </c>
      <c r="V25" s="4042" t="s">
        <v>13</v>
      </c>
      <c r="W25" s="3406">
        <f>J25</f>
        <v>100</v>
      </c>
      <c r="X25" s="963"/>
      <c r="Y25" s="4893"/>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00"/>
      <c r="Q26" s="1618" t="str">
        <f t="shared" si="11"/>
        <v>平面位置/可视性</v>
      </c>
      <c r="R26" s="4042" t="s">
        <v>13</v>
      </c>
      <c r="S26" s="3406">
        <f>F26</f>
        <v>100</v>
      </c>
      <c r="T26" s="4042" t="s">
        <v>13</v>
      </c>
      <c r="U26" s="3406">
        <f>H26</f>
        <v>100</v>
      </c>
      <c r="V26" s="4042" t="s">
        <v>13</v>
      </c>
      <c r="W26" s="3406">
        <f>J26</f>
        <v>100</v>
      </c>
      <c r="X26" s="963"/>
      <c r="Y26" s="4893"/>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00"/>
      <c r="Q27" s="3026" t="str">
        <f t="shared" si="11"/>
        <v>人流量</v>
      </c>
      <c r="R27" s="3921" t="s">
        <v>13</v>
      </c>
      <c r="S27" s="3405">
        <f>F27</f>
        <v>100</v>
      </c>
      <c r="T27" s="3921" t="s">
        <v>13</v>
      </c>
      <c r="U27" s="3405">
        <f>H27</f>
        <v>100</v>
      </c>
      <c r="V27" s="3921" t="s">
        <v>13</v>
      </c>
      <c r="W27" s="3405">
        <f>J27</f>
        <v>100</v>
      </c>
      <c r="X27" s="504"/>
      <c r="Y27" s="4893"/>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00"/>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93"/>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00"/>
      <c r="Q29" s="1618">
        <f t="shared" si="11"/>
        <v>111</v>
      </c>
      <c r="R29" s="4042" t="s">
        <v>13</v>
      </c>
      <c r="S29" s="3406">
        <f t="shared" si="12"/>
        <v>100</v>
      </c>
      <c r="T29" s="4042" t="s">
        <v>13</v>
      </c>
      <c r="U29" s="3406">
        <f t="shared" si="13"/>
        <v>100</v>
      </c>
      <c r="V29" s="4042" t="s">
        <v>13</v>
      </c>
      <c r="W29" s="3406">
        <f t="shared" si="14"/>
        <v>100</v>
      </c>
      <c r="X29" s="963"/>
      <c r="Y29" s="4893"/>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00"/>
      <c r="Q30" s="1618">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00"/>
      <c r="Q31" s="1618">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894" t="s">
        <v>1603</v>
      </c>
      <c r="Q32" s="1618" t="str">
        <f t="shared" si="11"/>
        <v>商业类型</v>
      </c>
      <c r="R32" s="4042" t="s">
        <v>13</v>
      </c>
      <c r="S32" s="3406">
        <f t="shared" si="12"/>
        <v>100</v>
      </c>
      <c r="T32" s="4042" t="s">
        <v>13</v>
      </c>
      <c r="U32" s="3406">
        <f t="shared" si="13"/>
        <v>100</v>
      </c>
      <c r="V32" s="4042" t="s">
        <v>13</v>
      </c>
      <c r="W32" s="3406">
        <f t="shared" si="14"/>
        <v>100</v>
      </c>
      <c r="X32" s="963"/>
      <c r="Y32" s="489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895"/>
      <c r="Q33" s="3106" t="str">
        <f t="shared" si="11"/>
        <v>项目建筑规模</v>
      </c>
      <c r="R33" s="4043" t="s">
        <v>13</v>
      </c>
      <c r="S33" s="3407" t="e">
        <f t="shared" si="12"/>
        <v>#N/A</v>
      </c>
      <c r="T33" s="4043" t="s">
        <v>13</v>
      </c>
      <c r="U33" s="3407" t="e">
        <f t="shared" si="13"/>
        <v>#N/A</v>
      </c>
      <c r="V33" s="4043" t="s">
        <v>13</v>
      </c>
      <c r="W33" s="3407" t="e">
        <f t="shared" si="14"/>
        <v>#N/A</v>
      </c>
      <c r="X33" s="507"/>
      <c r="Y33" s="489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895"/>
      <c r="Q34" s="1618" t="str">
        <f t="shared" si="11"/>
        <v>建筑结构</v>
      </c>
      <c r="R34" s="4042" t="s">
        <v>13</v>
      </c>
      <c r="S34" s="3406">
        <f t="shared" si="12"/>
        <v>100</v>
      </c>
      <c r="T34" s="4042" t="s">
        <v>13</v>
      </c>
      <c r="U34" s="3406">
        <f t="shared" si="13"/>
        <v>100</v>
      </c>
      <c r="V34" s="4042" t="s">
        <v>13</v>
      </c>
      <c r="W34" s="3406">
        <f t="shared" si="14"/>
        <v>100</v>
      </c>
      <c r="X34" s="963"/>
      <c r="Y34" s="4897"/>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895"/>
      <c r="Q35" s="1618" t="str">
        <f t="shared" si="11"/>
        <v>公共部分装修</v>
      </c>
      <c r="R35" s="4042" t="s">
        <v>13</v>
      </c>
      <c r="S35" s="3406">
        <f t="shared" si="12"/>
        <v>100</v>
      </c>
      <c r="T35" s="4042" t="s">
        <v>13</v>
      </c>
      <c r="U35" s="3406">
        <f t="shared" si="13"/>
        <v>100</v>
      </c>
      <c r="V35" s="4042" t="s">
        <v>13</v>
      </c>
      <c r="W35" s="3406">
        <f t="shared" si="14"/>
        <v>100</v>
      </c>
      <c r="X35" s="963"/>
      <c r="Y35" s="4897"/>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895"/>
      <c r="Q36" s="1618" t="str">
        <f t="shared" si="11"/>
        <v>成新度</v>
      </c>
      <c r="R36" s="4042" t="s">
        <v>13</v>
      </c>
      <c r="S36" s="3406" t="e">
        <f t="shared" si="12"/>
        <v>#N/A</v>
      </c>
      <c r="T36" s="4042" t="s">
        <v>13</v>
      </c>
      <c r="U36" s="3406" t="e">
        <f t="shared" si="13"/>
        <v>#N/A</v>
      </c>
      <c r="V36" s="4042" t="s">
        <v>13</v>
      </c>
      <c r="W36" s="3406" t="e">
        <f t="shared" si="14"/>
        <v>#N/A</v>
      </c>
      <c r="X36" s="963"/>
      <c r="Y36" s="489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895"/>
      <c r="Q37" s="3026" t="str">
        <f t="shared" si="11"/>
        <v>市政基础设施</v>
      </c>
      <c r="R37" s="3921" t="s">
        <v>13</v>
      </c>
      <c r="S37" s="3405">
        <f t="shared" si="12"/>
        <v>100</v>
      </c>
      <c r="T37" s="3921" t="s">
        <v>13</v>
      </c>
      <c r="U37" s="3405">
        <f t="shared" si="13"/>
        <v>100</v>
      </c>
      <c r="V37" s="3921" t="s">
        <v>13</v>
      </c>
      <c r="W37" s="3405">
        <f t="shared" si="14"/>
        <v>100</v>
      </c>
      <c r="X37" s="504"/>
      <c r="Y37" s="4897"/>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895" t="s">
        <v>1603</v>
      </c>
      <c r="Q38" s="1618" t="str">
        <f t="shared" si="11"/>
        <v>业态</v>
      </c>
      <c r="R38" s="4042" t="s">
        <v>13</v>
      </c>
      <c r="S38" s="3406">
        <f t="shared" si="12"/>
        <v>100</v>
      </c>
      <c r="T38" s="4042" t="s">
        <v>13</v>
      </c>
      <c r="U38" s="3406">
        <f t="shared" si="13"/>
        <v>100</v>
      </c>
      <c r="V38" s="4042" t="s">
        <v>13</v>
      </c>
      <c r="W38" s="3406">
        <f t="shared" si="14"/>
        <v>100</v>
      </c>
      <c r="X38" s="963"/>
      <c r="Y38" s="4897"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895"/>
      <c r="Q39" s="1618" t="str">
        <f t="shared" si="11"/>
        <v>层高</v>
      </c>
      <c r="R39" s="4042" t="s">
        <v>13</v>
      </c>
      <c r="S39" s="3406">
        <f t="shared" si="12"/>
        <v>100</v>
      </c>
      <c r="T39" s="4042" t="s">
        <v>13</v>
      </c>
      <c r="U39" s="3406">
        <f t="shared" si="13"/>
        <v>100</v>
      </c>
      <c r="V39" s="4042" t="s">
        <v>13</v>
      </c>
      <c r="W39" s="3406">
        <f t="shared" si="14"/>
        <v>100</v>
      </c>
      <c r="X39" s="963"/>
      <c r="Y39" s="4897"/>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895"/>
      <c r="Q40" s="1618" t="str">
        <f t="shared" si="11"/>
        <v>单套建筑面积</v>
      </c>
      <c r="R40" s="4042" t="s">
        <v>13</v>
      </c>
      <c r="S40" s="3406">
        <f t="shared" si="12"/>
        <v>100</v>
      </c>
      <c r="T40" s="4042" t="s">
        <v>13</v>
      </c>
      <c r="U40" s="3406">
        <f t="shared" si="13"/>
        <v>100</v>
      </c>
      <c r="V40" s="4042" t="s">
        <v>13</v>
      </c>
      <c r="W40" s="3406">
        <f t="shared" si="14"/>
        <v>100</v>
      </c>
      <c r="X40" s="963"/>
      <c r="Y40" s="489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895"/>
      <c r="Q41" s="3106" t="str">
        <f t="shared" si="11"/>
        <v>进深比</v>
      </c>
      <c r="R41" s="4043" t="s">
        <v>13</v>
      </c>
      <c r="S41" s="3407">
        <f t="shared" si="12"/>
        <v>100</v>
      </c>
      <c r="T41" s="4043" t="s">
        <v>13</v>
      </c>
      <c r="U41" s="3407">
        <f t="shared" si="13"/>
        <v>100</v>
      </c>
      <c r="V41" s="4043" t="s">
        <v>13</v>
      </c>
      <c r="W41" s="3407">
        <f t="shared" si="14"/>
        <v>100</v>
      </c>
      <c r="X41" s="507"/>
      <c r="Y41" s="4897"/>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895"/>
      <c r="Q42" s="1618" t="str">
        <f t="shared" si="11"/>
        <v>内部装修</v>
      </c>
      <c r="R42" s="4042" t="s">
        <v>13</v>
      </c>
      <c r="S42" s="3406">
        <f t="shared" si="12"/>
        <v>100</v>
      </c>
      <c r="T42" s="4042" t="s">
        <v>13</v>
      </c>
      <c r="U42" s="3406">
        <f t="shared" si="13"/>
        <v>100</v>
      </c>
      <c r="V42" s="4042" t="s">
        <v>13</v>
      </c>
      <c r="W42" s="3406">
        <f t="shared" si="14"/>
        <v>100</v>
      </c>
      <c r="X42" s="963"/>
      <c r="Y42" s="4897"/>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895"/>
      <c r="Q43" s="1618" t="str">
        <f t="shared" si="11"/>
        <v>内部装修维护情况</v>
      </c>
      <c r="R43" s="4042" t="s">
        <v>13</v>
      </c>
      <c r="S43" s="3406">
        <f t="shared" si="12"/>
        <v>100</v>
      </c>
      <c r="T43" s="4042" t="s">
        <v>13</v>
      </c>
      <c r="U43" s="3406">
        <f t="shared" si="13"/>
        <v>100</v>
      </c>
      <c r="V43" s="4042" t="s">
        <v>13</v>
      </c>
      <c r="W43" s="3406">
        <f t="shared" si="14"/>
        <v>100</v>
      </c>
      <c r="X43" s="963"/>
      <c r="Y43" s="489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895"/>
      <c r="Q44" s="3026">
        <f t="shared" si="11"/>
        <v>111</v>
      </c>
      <c r="R44" s="3921" t="s">
        <v>13</v>
      </c>
      <c r="S44" s="3405">
        <f t="shared" si="12"/>
        <v>100</v>
      </c>
      <c r="T44" s="3921" t="s">
        <v>13</v>
      </c>
      <c r="U44" s="3405">
        <f t="shared" si="13"/>
        <v>100</v>
      </c>
      <c r="V44" s="3921" t="s">
        <v>13</v>
      </c>
      <c r="W44" s="3405">
        <f t="shared" si="14"/>
        <v>100</v>
      </c>
      <c r="X44" s="504"/>
      <c r="Y44" s="4897"/>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895"/>
      <c r="Q45" s="1618">
        <f t="shared" si="11"/>
        <v>111</v>
      </c>
      <c r="R45" s="4042" t="s">
        <v>13</v>
      </c>
      <c r="S45" s="3406">
        <f t="shared" si="12"/>
        <v>100</v>
      </c>
      <c r="T45" s="4042" t="s">
        <v>13</v>
      </c>
      <c r="U45" s="3406">
        <f t="shared" si="13"/>
        <v>100</v>
      </c>
      <c r="V45" s="4042" t="s">
        <v>13</v>
      </c>
      <c r="W45" s="3406">
        <f t="shared" si="14"/>
        <v>100</v>
      </c>
      <c r="X45" s="963"/>
      <c r="Y45" s="4897"/>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896"/>
      <c r="Q46" s="1618">
        <f t="shared" si="11"/>
        <v>111</v>
      </c>
      <c r="R46" s="4042" t="s">
        <v>13</v>
      </c>
      <c r="S46" s="3406">
        <f t="shared" si="12"/>
        <v>100</v>
      </c>
      <c r="T46" s="4042" t="s">
        <v>13</v>
      </c>
      <c r="U46" s="3406">
        <f t="shared" si="13"/>
        <v>100</v>
      </c>
      <c r="V46" s="4042" t="s">
        <v>13</v>
      </c>
      <c r="W46" s="3406">
        <f t="shared" si="14"/>
        <v>100</v>
      </c>
      <c r="X46" s="963"/>
      <c r="Y46" s="4898"/>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1700</v>
      </c>
      <c r="B48" s="296"/>
      <c r="C48" s="4040" t="e">
        <f>R49</f>
        <v>#DIV/0!</v>
      </c>
      <c r="D48" s="4197" t="s">
        <v>2042</v>
      </c>
      <c r="E48" s="4051" t="e">
        <f>R48</f>
        <v>#DIV/0!</v>
      </c>
      <c r="F48" s="3042"/>
      <c r="G48" s="4040" t="e">
        <f>T48</f>
        <v>#DIV/0!</v>
      </c>
      <c r="H48" s="3042"/>
      <c r="I48" s="4051" t="e">
        <f>V48</f>
        <v>#DIV/0!</v>
      </c>
      <c r="J48" s="3042"/>
      <c r="K48" s="3097">
        <f>F48+H48+J48</f>
        <v>0</v>
      </c>
      <c r="L48" s="2155"/>
      <c r="M48" s="2156"/>
      <c r="N48" s="2147"/>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2026年2月10日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53" t="s">
        <v>1682</v>
      </c>
      <c r="Q4" s="4954"/>
      <c r="R4" s="4957" t="s">
        <v>1678</v>
      </c>
      <c r="S4" s="4958"/>
      <c r="T4" s="4957" t="s">
        <v>1679</v>
      </c>
      <c r="U4" s="4958"/>
      <c r="V4" s="4959" t="s">
        <v>1680</v>
      </c>
      <c r="W4" s="4959"/>
      <c r="X4" s="1517"/>
      <c r="Y4" s="4965" t="s">
        <v>1682</v>
      </c>
      <c r="Z4" s="4966"/>
      <c r="AA4" s="4969" t="s">
        <v>1678</v>
      </c>
      <c r="AB4" s="4969" t="s">
        <v>1679</v>
      </c>
      <c r="AC4" s="4946" t="s">
        <v>1680</v>
      </c>
    </row>
    <row r="5" spans="1:29" ht="15">
      <c r="A5" s="244"/>
      <c r="B5" s="245"/>
      <c r="C5" s="4962" t="s">
        <v>1580</v>
      </c>
      <c r="D5" s="4963"/>
      <c r="E5" s="4970" t="s">
        <v>1581</v>
      </c>
      <c r="F5" s="4971"/>
      <c r="G5" s="4962" t="s">
        <v>1582</v>
      </c>
      <c r="H5" s="4963"/>
      <c r="I5" s="4962" t="s">
        <v>1583</v>
      </c>
      <c r="J5" s="4963"/>
      <c r="K5" s="406"/>
      <c r="L5" s="2146"/>
      <c r="M5" s="2147"/>
      <c r="N5" s="2147"/>
      <c r="O5" s="2147"/>
      <c r="P5" s="4955"/>
      <c r="Q5" s="4913"/>
      <c r="R5" s="4918"/>
      <c r="S5" s="4919"/>
      <c r="T5" s="4918"/>
      <c r="U5" s="4919"/>
      <c r="V5" s="4922"/>
      <c r="W5" s="4922"/>
      <c r="X5" s="963"/>
      <c r="Y5" s="4933"/>
      <c r="Z5" s="4934"/>
      <c r="AA5" s="4904"/>
      <c r="AB5" s="4904"/>
      <c r="AC5" s="4947"/>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56"/>
      <c r="Q6" s="4915"/>
      <c r="R6" s="4918"/>
      <c r="S6" s="4919"/>
      <c r="T6" s="4920"/>
      <c r="U6" s="4921"/>
      <c r="V6" s="4922"/>
      <c r="W6" s="4922"/>
      <c r="X6" s="963"/>
      <c r="Y6" s="4935"/>
      <c r="Z6" s="4936"/>
      <c r="AA6" s="4905"/>
      <c r="AB6" s="4905"/>
      <c r="AC6" s="4948"/>
    </row>
    <row r="7" spans="1:29" s="49" customFormat="1" ht="15.75" thickBot="1">
      <c r="A7" s="248" t="s">
        <v>1586</v>
      </c>
      <c r="B7" s="249"/>
      <c r="C7" s="250">
        <f>'数据-取费表'!B2</f>
        <v>46063</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64"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64" t="s">
        <v>1590</v>
      </c>
      <c r="Q8" s="4928"/>
      <c r="R8" s="3921" t="s">
        <v>13</v>
      </c>
      <c r="S8" s="3405">
        <f t="shared" si="0"/>
        <v>100</v>
      </c>
      <c r="T8" s="3921" t="s">
        <v>13</v>
      </c>
      <c r="U8" s="3405">
        <f t="shared" si="1"/>
        <v>100</v>
      </c>
      <c r="V8" s="3921" t="s">
        <v>13</v>
      </c>
      <c r="W8" s="3405">
        <f t="shared" si="2"/>
        <v>100</v>
      </c>
      <c r="X8" s="504"/>
      <c r="Y8" s="4929" t="s">
        <v>1590</v>
      </c>
      <c r="Z8" s="4930"/>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01" t="s">
        <v>1593</v>
      </c>
      <c r="Q9" s="3274"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01"/>
      <c r="Q10" s="3274"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01"/>
      <c r="Q11" s="3274"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01"/>
      <c r="Q12" s="3274">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01"/>
      <c r="Q13" s="3274">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01"/>
      <c r="Q14" s="3274">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899" t="s">
        <v>1598</v>
      </c>
      <c r="Q15" s="3277" t="str">
        <f t="shared" si="6"/>
        <v>办公集聚程度</v>
      </c>
      <c r="R15" s="4042" t="s">
        <v>13</v>
      </c>
      <c r="S15" s="3406">
        <f t="shared" si="0"/>
        <v>100</v>
      </c>
      <c r="T15" s="4042" t="s">
        <v>13</v>
      </c>
      <c r="U15" s="3406">
        <f t="shared" si="1"/>
        <v>100</v>
      </c>
      <c r="V15" s="4042" t="s">
        <v>13</v>
      </c>
      <c r="W15" s="3406">
        <f t="shared" si="2"/>
        <v>100</v>
      </c>
      <c r="X15" s="963"/>
      <c r="Y15" s="4892"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00"/>
      <c r="Q16" s="3277"/>
      <c r="R16" s="4042"/>
      <c r="S16" s="3406"/>
      <c r="T16" s="4042"/>
      <c r="U16" s="3406"/>
      <c r="V16" s="4042"/>
      <c r="W16" s="3406"/>
      <c r="X16" s="963"/>
      <c r="Y16" s="489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00"/>
      <c r="Q17" s="3277"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00"/>
      <c r="Q18" s="3277"/>
      <c r="R18" s="4042"/>
      <c r="S18" s="3406"/>
      <c r="T18" s="4042"/>
      <c r="U18" s="3406"/>
      <c r="V18" s="4042"/>
      <c r="W18" s="3406"/>
      <c r="X18" s="963"/>
      <c r="Y18" s="4893"/>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00"/>
      <c r="Q19" s="3277"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00"/>
      <c r="Q20" s="3277"/>
      <c r="R20" s="4042"/>
      <c r="S20" s="3406"/>
      <c r="T20" s="4042"/>
      <c r="U20" s="3406"/>
      <c r="V20" s="4042"/>
      <c r="W20" s="3406"/>
      <c r="X20" s="963"/>
      <c r="Y20" s="4893"/>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00"/>
      <c r="Q21" s="3277"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00"/>
      <c r="Q22" s="3277"/>
      <c r="R22" s="4042"/>
      <c r="S22" s="3406"/>
      <c r="T22" s="4042"/>
      <c r="U22" s="3406"/>
      <c r="V22" s="4042"/>
      <c r="W22" s="3406"/>
      <c r="X22" s="963"/>
      <c r="Y22" s="4893"/>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0"/>
      <c r="Q23" s="3277" t="str">
        <f>B23</f>
        <v>环境质量</v>
      </c>
      <c r="R23" s="4042" t="s">
        <v>13</v>
      </c>
      <c r="S23" s="3406">
        <f>F23</f>
        <v>100</v>
      </c>
      <c r="T23" s="4042" t="s">
        <v>13</v>
      </c>
      <c r="U23" s="3406">
        <f>H23</f>
        <v>100</v>
      </c>
      <c r="V23" s="4042" t="s">
        <v>13</v>
      </c>
      <c r="W23" s="3406">
        <f>J23</f>
        <v>100</v>
      </c>
      <c r="X23" s="963"/>
      <c r="Y23" s="4893"/>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00"/>
      <c r="Q24" s="3277"/>
      <c r="R24" s="4042"/>
      <c r="S24" s="3406"/>
      <c r="T24" s="4042"/>
      <c r="U24" s="3406"/>
      <c r="V24" s="4042"/>
      <c r="W24" s="3406"/>
      <c r="X24" s="963"/>
      <c r="Y24" s="4893"/>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00"/>
      <c r="Q25" s="3277" t="str">
        <f>B25</f>
        <v>毗邻道路的类型与等级</v>
      </c>
      <c r="R25" s="4042" t="s">
        <v>13</v>
      </c>
      <c r="S25" s="3406">
        <f>F25</f>
        <v>100</v>
      </c>
      <c r="T25" s="4042" t="s">
        <v>13</v>
      </c>
      <c r="U25" s="3406">
        <f>H25</f>
        <v>100</v>
      </c>
      <c r="V25" s="4042" t="s">
        <v>13</v>
      </c>
      <c r="W25" s="3406">
        <f>J25</f>
        <v>100</v>
      </c>
      <c r="X25" s="963"/>
      <c r="Y25" s="4893"/>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00"/>
      <c r="Q26" s="3277"/>
      <c r="R26" s="4042"/>
      <c r="S26" s="3406"/>
      <c r="T26" s="4042"/>
      <c r="U26" s="3406"/>
      <c r="V26" s="4042"/>
      <c r="W26" s="3406"/>
      <c r="X26" s="963"/>
      <c r="Y26" s="4893"/>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00"/>
      <c r="Q27" s="3277" t="str">
        <f t="shared" ref="Q27:Q47" si="11">B27</f>
        <v>楼层</v>
      </c>
      <c r="R27" s="4042" t="s">
        <v>13</v>
      </c>
      <c r="S27" s="3406">
        <f>F27</f>
        <v>100</v>
      </c>
      <c r="T27" s="4042" t="s">
        <v>13</v>
      </c>
      <c r="U27" s="3406">
        <f>H27</f>
        <v>100</v>
      </c>
      <c r="V27" s="4042" t="s">
        <v>13</v>
      </c>
      <c r="W27" s="3406">
        <f>J27</f>
        <v>100</v>
      </c>
      <c r="X27" s="963"/>
      <c r="Y27" s="4893"/>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00"/>
      <c r="Q28" s="3274" t="str">
        <f t="shared" si="11"/>
        <v>朝向</v>
      </c>
      <c r="R28" s="3921" t="s">
        <v>13</v>
      </c>
      <c r="S28" s="3405">
        <f>F28</f>
        <v>100</v>
      </c>
      <c r="T28" s="3921" t="s">
        <v>13</v>
      </c>
      <c r="U28" s="3405">
        <f>H28</f>
        <v>100</v>
      </c>
      <c r="V28" s="3921" t="s">
        <v>13</v>
      </c>
      <c r="W28" s="3405">
        <f>J28</f>
        <v>100</v>
      </c>
      <c r="X28" s="504"/>
      <c r="Y28" s="4893"/>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00"/>
      <c r="Q29" s="3277">
        <f t="shared" si="11"/>
        <v>111</v>
      </c>
      <c r="R29" s="4042" t="s">
        <v>13</v>
      </c>
      <c r="S29" s="3406">
        <f t="shared" ref="S29:S47" si="12">F29</f>
        <v>100</v>
      </c>
      <c r="T29" s="4042" t="s">
        <v>13</v>
      </c>
      <c r="U29" s="3406">
        <f t="shared" ref="U29:U47" si="13">H29</f>
        <v>100</v>
      </c>
      <c r="V29" s="4042" t="s">
        <v>13</v>
      </c>
      <c r="W29" s="3406">
        <f t="shared" ref="W29:W47" si="14">J29</f>
        <v>100</v>
      </c>
      <c r="X29" s="963"/>
      <c r="Y29" s="4893"/>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00"/>
      <c r="Q30" s="3277">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00"/>
      <c r="Q31" s="3277">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00"/>
      <c r="Q32" s="3277">
        <f t="shared" si="11"/>
        <v>111</v>
      </c>
      <c r="R32" s="4042" t="s">
        <v>13</v>
      </c>
      <c r="S32" s="3406">
        <f t="shared" si="12"/>
        <v>100</v>
      </c>
      <c r="T32" s="4042" t="s">
        <v>13</v>
      </c>
      <c r="U32" s="3406">
        <f t="shared" si="13"/>
        <v>100</v>
      </c>
      <c r="V32" s="4042" t="s">
        <v>13</v>
      </c>
      <c r="W32" s="3406">
        <f t="shared" si="14"/>
        <v>100</v>
      </c>
      <c r="X32" s="963"/>
      <c r="Y32" s="4893"/>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894" t="s">
        <v>1603</v>
      </c>
      <c r="Q33" s="3277" t="str">
        <f t="shared" si="11"/>
        <v>建筑类型</v>
      </c>
      <c r="R33" s="4042" t="s">
        <v>13</v>
      </c>
      <c r="S33" s="3406">
        <f t="shared" si="12"/>
        <v>100</v>
      </c>
      <c r="T33" s="4042" t="s">
        <v>13</v>
      </c>
      <c r="U33" s="3406">
        <f t="shared" si="13"/>
        <v>100</v>
      </c>
      <c r="V33" s="4042" t="s">
        <v>13</v>
      </c>
      <c r="W33" s="3406">
        <f t="shared" si="14"/>
        <v>100</v>
      </c>
      <c r="X33" s="963"/>
      <c r="Y33" s="489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895"/>
      <c r="Q34" s="3106" t="str">
        <f t="shared" si="11"/>
        <v>项目建筑规模</v>
      </c>
      <c r="R34" s="4043" t="s">
        <v>13</v>
      </c>
      <c r="S34" s="3407" t="e">
        <f t="shared" si="12"/>
        <v>#N/A</v>
      </c>
      <c r="T34" s="4043" t="s">
        <v>13</v>
      </c>
      <c r="U34" s="3407" t="e">
        <f t="shared" si="13"/>
        <v>#N/A</v>
      </c>
      <c r="V34" s="4043" t="s">
        <v>13</v>
      </c>
      <c r="W34" s="3407" t="e">
        <f t="shared" si="14"/>
        <v>#N/A</v>
      </c>
      <c r="X34" s="507"/>
      <c r="Y34" s="489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895"/>
      <c r="Q35" s="3277" t="str">
        <f t="shared" si="11"/>
        <v>建筑结构</v>
      </c>
      <c r="R35" s="4042" t="s">
        <v>13</v>
      </c>
      <c r="S35" s="3406">
        <f t="shared" si="12"/>
        <v>100</v>
      </c>
      <c r="T35" s="4042" t="s">
        <v>13</v>
      </c>
      <c r="U35" s="3406">
        <f t="shared" si="13"/>
        <v>100</v>
      </c>
      <c r="V35" s="4042" t="s">
        <v>13</v>
      </c>
      <c r="W35" s="3406">
        <f t="shared" si="14"/>
        <v>100</v>
      </c>
      <c r="X35" s="963"/>
      <c r="Y35" s="4897"/>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895"/>
      <c r="Q36" s="3277" t="str">
        <f t="shared" si="11"/>
        <v>公共部分装修</v>
      </c>
      <c r="R36" s="4042" t="s">
        <v>13</v>
      </c>
      <c r="S36" s="3406">
        <f t="shared" si="12"/>
        <v>100</v>
      </c>
      <c r="T36" s="4042" t="s">
        <v>13</v>
      </c>
      <c r="U36" s="3406">
        <f t="shared" si="13"/>
        <v>100</v>
      </c>
      <c r="V36" s="4042" t="s">
        <v>13</v>
      </c>
      <c r="W36" s="3406">
        <f t="shared" si="14"/>
        <v>100</v>
      </c>
      <c r="X36" s="963"/>
      <c r="Y36" s="4897"/>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895"/>
      <c r="Q37" s="3277" t="str">
        <f t="shared" si="11"/>
        <v>成新度</v>
      </c>
      <c r="R37" s="4042" t="s">
        <v>13</v>
      </c>
      <c r="S37" s="3406" t="e">
        <f t="shared" si="12"/>
        <v>#N/A</v>
      </c>
      <c r="T37" s="4042" t="s">
        <v>13</v>
      </c>
      <c r="U37" s="3406" t="e">
        <f t="shared" si="13"/>
        <v>#N/A</v>
      </c>
      <c r="V37" s="4042" t="s">
        <v>13</v>
      </c>
      <c r="W37" s="3406" t="e">
        <f t="shared" si="14"/>
        <v>#N/A</v>
      </c>
      <c r="X37" s="963"/>
      <c r="Y37" s="489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895"/>
      <c r="Q38" s="3274" t="str">
        <f t="shared" si="11"/>
        <v>写字楼等级</v>
      </c>
      <c r="R38" s="3921" t="s">
        <v>13</v>
      </c>
      <c r="S38" s="3405">
        <f t="shared" si="12"/>
        <v>100</v>
      </c>
      <c r="T38" s="3921" t="s">
        <v>13</v>
      </c>
      <c r="U38" s="3405">
        <f t="shared" si="13"/>
        <v>100</v>
      </c>
      <c r="V38" s="3921" t="s">
        <v>13</v>
      </c>
      <c r="W38" s="3405">
        <f t="shared" si="14"/>
        <v>100</v>
      </c>
      <c r="X38" s="504"/>
      <c r="Y38" s="4897"/>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895" t="s">
        <v>1603</v>
      </c>
      <c r="Q39" s="3277" t="str">
        <f t="shared" si="11"/>
        <v>物业管理</v>
      </c>
      <c r="R39" s="4042" t="s">
        <v>13</v>
      </c>
      <c r="S39" s="3406">
        <f t="shared" si="12"/>
        <v>100</v>
      </c>
      <c r="T39" s="4042" t="s">
        <v>13</v>
      </c>
      <c r="U39" s="3406">
        <f t="shared" si="13"/>
        <v>100</v>
      </c>
      <c r="V39" s="4042" t="s">
        <v>13</v>
      </c>
      <c r="W39" s="3406">
        <f t="shared" si="14"/>
        <v>100</v>
      </c>
      <c r="X39" s="963"/>
      <c r="Y39" s="489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895"/>
      <c r="Q40" s="3277" t="str">
        <f t="shared" si="11"/>
        <v>市政基础设施</v>
      </c>
      <c r="R40" s="4042" t="s">
        <v>13</v>
      </c>
      <c r="S40" s="3406">
        <f t="shared" si="12"/>
        <v>100</v>
      </c>
      <c r="T40" s="4042" t="s">
        <v>13</v>
      </c>
      <c r="U40" s="3406">
        <f t="shared" si="13"/>
        <v>100</v>
      </c>
      <c r="V40" s="4042" t="s">
        <v>13</v>
      </c>
      <c r="W40" s="3406">
        <f t="shared" si="14"/>
        <v>100</v>
      </c>
      <c r="X40" s="963"/>
      <c r="Y40" s="4897"/>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895"/>
      <c r="Q41" s="3277" t="str">
        <f t="shared" si="11"/>
        <v>层高</v>
      </c>
      <c r="R41" s="4042" t="s">
        <v>13</v>
      </c>
      <c r="S41" s="3406">
        <f t="shared" si="12"/>
        <v>100</v>
      </c>
      <c r="T41" s="4042" t="s">
        <v>13</v>
      </c>
      <c r="U41" s="3406">
        <f t="shared" si="13"/>
        <v>100</v>
      </c>
      <c r="V41" s="4042" t="s">
        <v>13</v>
      </c>
      <c r="W41" s="3406">
        <f t="shared" si="14"/>
        <v>100</v>
      </c>
      <c r="X41" s="963"/>
      <c r="Y41" s="489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895"/>
      <c r="Q42" s="3106" t="str">
        <f t="shared" si="11"/>
        <v>单套建筑面积</v>
      </c>
      <c r="R42" s="4043" t="s">
        <v>13</v>
      </c>
      <c r="S42" s="3407">
        <f t="shared" si="12"/>
        <v>100</v>
      </c>
      <c r="T42" s="4043" t="s">
        <v>13</v>
      </c>
      <c r="U42" s="3407">
        <f t="shared" si="13"/>
        <v>100</v>
      </c>
      <c r="V42" s="4043" t="s">
        <v>13</v>
      </c>
      <c r="W42" s="3407">
        <f t="shared" si="14"/>
        <v>100</v>
      </c>
      <c r="X42" s="507"/>
      <c r="Y42" s="4897"/>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895"/>
      <c r="Q43" s="3277" t="str">
        <f t="shared" si="11"/>
        <v>内部装修</v>
      </c>
      <c r="R43" s="4042" t="s">
        <v>13</v>
      </c>
      <c r="S43" s="3406">
        <f t="shared" si="12"/>
        <v>100</v>
      </c>
      <c r="T43" s="4042" t="s">
        <v>13</v>
      </c>
      <c r="U43" s="3406">
        <f t="shared" si="13"/>
        <v>100</v>
      </c>
      <c r="V43" s="4042" t="s">
        <v>13</v>
      </c>
      <c r="W43" s="3406">
        <f t="shared" si="14"/>
        <v>100</v>
      </c>
      <c r="X43" s="963"/>
      <c r="Y43" s="4897"/>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895"/>
      <c r="Q44" s="3277" t="str">
        <f t="shared" si="11"/>
        <v>内部装修维护情况</v>
      </c>
      <c r="R44" s="4042" t="s">
        <v>13</v>
      </c>
      <c r="S44" s="3406">
        <f t="shared" si="12"/>
        <v>100</v>
      </c>
      <c r="T44" s="4042" t="s">
        <v>13</v>
      </c>
      <c r="U44" s="3406">
        <f t="shared" si="13"/>
        <v>100</v>
      </c>
      <c r="V44" s="4042" t="s">
        <v>13</v>
      </c>
      <c r="W44" s="3406">
        <f t="shared" si="14"/>
        <v>100</v>
      </c>
      <c r="X44" s="963"/>
      <c r="Y44" s="489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895"/>
      <c r="Q45" s="3274">
        <f t="shared" si="11"/>
        <v>111</v>
      </c>
      <c r="R45" s="3921" t="s">
        <v>13</v>
      </c>
      <c r="S45" s="3405">
        <f t="shared" si="12"/>
        <v>100</v>
      </c>
      <c r="T45" s="3921" t="s">
        <v>13</v>
      </c>
      <c r="U45" s="3405">
        <f t="shared" si="13"/>
        <v>100</v>
      </c>
      <c r="V45" s="3921" t="s">
        <v>13</v>
      </c>
      <c r="W45" s="3405">
        <f t="shared" si="14"/>
        <v>100</v>
      </c>
      <c r="X45" s="504"/>
      <c r="Y45" s="4897"/>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895"/>
      <c r="Q46" s="3277">
        <f t="shared" si="11"/>
        <v>111</v>
      </c>
      <c r="R46" s="4042" t="s">
        <v>13</v>
      </c>
      <c r="S46" s="3406">
        <f t="shared" si="12"/>
        <v>100</v>
      </c>
      <c r="T46" s="4042" t="s">
        <v>13</v>
      </c>
      <c r="U46" s="3406">
        <f t="shared" si="13"/>
        <v>100</v>
      </c>
      <c r="V46" s="4042" t="s">
        <v>13</v>
      </c>
      <c r="W46" s="3406">
        <f t="shared" si="14"/>
        <v>100</v>
      </c>
      <c r="X46" s="963"/>
      <c r="Y46" s="4897"/>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896"/>
      <c r="Q47" s="3277">
        <f t="shared" si="11"/>
        <v>111</v>
      </c>
      <c r="R47" s="4042" t="s">
        <v>13</v>
      </c>
      <c r="S47" s="3406">
        <f t="shared" si="12"/>
        <v>100</v>
      </c>
      <c r="T47" s="4042" t="s">
        <v>13</v>
      </c>
      <c r="U47" s="3406">
        <f t="shared" si="13"/>
        <v>100</v>
      </c>
      <c r="V47" s="4042" t="s">
        <v>13</v>
      </c>
      <c r="W47" s="3406">
        <f t="shared" si="14"/>
        <v>100</v>
      </c>
      <c r="X47" s="963"/>
      <c r="Y47" s="4898"/>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01" t="str">
        <f>A48</f>
        <v>成交单价（元/平方米）</v>
      </c>
      <c r="Q48" s="4890"/>
      <c r="R48" s="4891">
        <f>E48</f>
        <v>0</v>
      </c>
      <c r="S48" s="4891"/>
      <c r="T48" s="4891">
        <f>G48</f>
        <v>0</v>
      </c>
      <c r="U48" s="4891"/>
      <c r="V48" s="4891">
        <f>I48</f>
        <v>0</v>
      </c>
      <c r="W48" s="4891"/>
      <c r="X48" s="271"/>
      <c r="Y48" s="509"/>
      <c r="Z48" s="271"/>
      <c r="AA48" s="271"/>
      <c r="AB48" s="271"/>
      <c r="AC48" s="418"/>
    </row>
    <row r="49" spans="1:29" ht="15.75" thickBot="1">
      <c r="A49" s="295" t="s">
        <v>1700</v>
      </c>
      <c r="B49" s="296"/>
      <c r="C49" s="4040" t="e">
        <f>R50</f>
        <v>#DIV/0!</v>
      </c>
      <c r="D49" s="4197" t="s">
        <v>2042</v>
      </c>
      <c r="E49" s="4051" t="e">
        <f>R49</f>
        <v>#DIV/0!</v>
      </c>
      <c r="F49" s="3042"/>
      <c r="G49" s="4040" t="e">
        <f>T49</f>
        <v>#DIV/0!</v>
      </c>
      <c r="H49" s="3042"/>
      <c r="I49" s="4051" t="e">
        <f>V49</f>
        <v>#DIV/0!</v>
      </c>
      <c r="J49" s="3042"/>
      <c r="K49" s="3097">
        <f>F49+H49+J49</f>
        <v>0</v>
      </c>
      <c r="L49" s="2155"/>
      <c r="M49" s="2147"/>
      <c r="N49" s="2147"/>
      <c r="O49" s="2147"/>
      <c r="P49" s="4901" t="str">
        <f>A49</f>
        <v>比较价值（元/平方米）</v>
      </c>
      <c r="Q49" s="4890"/>
      <c r="R49" s="4891" t="e">
        <f>IF(F1="售价",ROUND(PRODUCT(R48,AA7:AA47),0),ROUND(PRODUCT(R48,AA7:AA47),1))</f>
        <v>#DIV/0!</v>
      </c>
      <c r="S49" s="4891"/>
      <c r="T49" s="4891" t="e">
        <f>IF(F1="售价",ROUND(PRODUCT(T48,AB7:AB47),0),ROUND(PRODUCT(T48,AB7:AB47),1))</f>
        <v>#DIV/0!</v>
      </c>
      <c r="U49" s="4891"/>
      <c r="V49" s="4891" t="e">
        <f>IF(F1="售价",ROUND(PRODUCT(V48,AC7:AC47),0),ROUND(PRODUCT(V48,AC7:AC47),1))</f>
        <v>#DIV/0!</v>
      </c>
      <c r="W49" s="4891"/>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43" t="str">
        <f>A50</f>
        <v>估价对象XX用房的比较价值（楼面单价，元/平方米）</v>
      </c>
      <c r="Q50" s="4944"/>
      <c r="R50" s="4945" t="e">
        <f>IF(F1="售价",ROUND(IF(D49="简单平均",AVERAGE(R49:V49),R49*F49+T49*H49+V49*J49),0),ROUND(IF(D49="简单平均",AVERAGE(R49:V49),R49*F49+T49*H49+V49*J49),1))</f>
        <v>#DIV/0!</v>
      </c>
      <c r="S50" s="4945"/>
      <c r="T50" s="4945"/>
      <c r="U50" s="4945"/>
      <c r="V50" s="4945"/>
      <c r="W50" s="4945"/>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8" t="s">
        <v>3476</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625"/>
      <c r="M4" s="626"/>
      <c r="N4" s="626"/>
      <c r="O4" s="626"/>
      <c r="P4" s="4910" t="s">
        <v>1682</v>
      </c>
      <c r="Q4" s="4911"/>
      <c r="R4" s="4916" t="s">
        <v>1678</v>
      </c>
      <c r="S4" s="4917"/>
      <c r="T4" s="4916" t="s">
        <v>1679</v>
      </c>
      <c r="U4" s="4917"/>
      <c r="V4" s="4922" t="s">
        <v>1680</v>
      </c>
      <c r="W4" s="492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625"/>
      <c r="M5" s="626"/>
      <c r="N5" s="626"/>
      <c r="O5" s="626"/>
      <c r="P5" s="4912"/>
      <c r="Q5" s="4913"/>
      <c r="R5" s="4918"/>
      <c r="S5" s="4919"/>
      <c r="T5" s="4918"/>
      <c r="U5" s="4919"/>
      <c r="V5" s="4922"/>
      <c r="W5" s="492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625"/>
      <c r="M6" s="626"/>
      <c r="N6" s="626"/>
      <c r="O6" s="626"/>
      <c r="P6" s="4914"/>
      <c r="Q6" s="4915"/>
      <c r="R6" s="4918"/>
      <c r="S6" s="4919"/>
      <c r="T6" s="4920"/>
      <c r="U6" s="4921"/>
      <c r="V6" s="4922"/>
      <c r="W6" s="4922"/>
      <c r="X6" s="963"/>
      <c r="Y6" s="4935"/>
      <c r="Z6" s="4936"/>
      <c r="AA6" s="4905"/>
      <c r="AB6" s="4905"/>
      <c r="AC6" s="4905"/>
    </row>
    <row r="7" spans="1:29" s="49" customFormat="1" ht="15.75" thickBot="1">
      <c r="A7" s="248" t="s">
        <v>1586</v>
      </c>
      <c r="B7" s="249"/>
      <c r="C7" s="250">
        <f>'数据-取费表'!B2</f>
        <v>46063</v>
      </c>
      <c r="D7" s="3140">
        <v>100</v>
      </c>
      <c r="E7" s="251"/>
      <c r="F7" s="4055">
        <f>SUMIF(52:52,YEAR(E7)&amp;"-"&amp;MONTH(E7),53:53)</f>
        <v>0</v>
      </c>
      <c r="G7" s="251"/>
      <c r="H7" s="4066">
        <f>SUMIF(52:52,YEAR(G7)&amp;"-"&amp;MONTH(G7),53:53)</f>
        <v>0</v>
      </c>
      <c r="I7" s="251"/>
      <c r="J7" s="4066">
        <f>SUMIF(52:52,YEAR(I7)&amp;"-"&amp;MONTH(I7),53:53)</f>
        <v>0</v>
      </c>
      <c r="K7" s="407"/>
      <c r="L7" s="627"/>
      <c r="M7" s="628"/>
      <c r="N7" s="628"/>
      <c r="O7" s="628"/>
      <c r="P7" s="4927" t="s">
        <v>1587</v>
      </c>
      <c r="Q7" s="4937"/>
      <c r="R7" s="4074" t="s">
        <v>13</v>
      </c>
      <c r="S7" s="4077">
        <f t="shared" ref="S7:S15" si="0">F7</f>
        <v>0</v>
      </c>
      <c r="T7" s="4074" t="s">
        <v>13</v>
      </c>
      <c r="U7" s="4077">
        <f t="shared" ref="U7:U15" si="1">H7</f>
        <v>0</v>
      </c>
      <c r="V7" s="4074" t="s">
        <v>13</v>
      </c>
      <c r="W7" s="4077">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927" t="s">
        <v>1590</v>
      </c>
      <c r="Q8" s="4928"/>
      <c r="R8" s="4074" t="s">
        <v>13</v>
      </c>
      <c r="S8" s="4077">
        <f t="shared" si="0"/>
        <v>100</v>
      </c>
      <c r="T8" s="4074" t="s">
        <v>13</v>
      </c>
      <c r="U8" s="4077">
        <f t="shared" si="1"/>
        <v>100</v>
      </c>
      <c r="V8" s="4074" t="s">
        <v>13</v>
      </c>
      <c r="W8" s="4077">
        <f t="shared" si="2"/>
        <v>100</v>
      </c>
      <c r="X8" s="504"/>
      <c r="Y8" s="4929" t="s">
        <v>1590</v>
      </c>
      <c r="Z8" s="4930"/>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90" t="s">
        <v>1593</v>
      </c>
      <c r="Q9" s="3274" t="str">
        <f t="shared" ref="Q9:Q15" si="6">B9</f>
        <v>用途</v>
      </c>
      <c r="R9" s="4074" t="s">
        <v>13</v>
      </c>
      <c r="S9" s="4077">
        <f t="shared" si="0"/>
        <v>100</v>
      </c>
      <c r="T9" s="4074" t="s">
        <v>13</v>
      </c>
      <c r="U9" s="4077">
        <f t="shared" si="1"/>
        <v>100</v>
      </c>
      <c r="V9" s="4074" t="s">
        <v>13</v>
      </c>
      <c r="W9" s="4077">
        <f t="shared" si="2"/>
        <v>100</v>
      </c>
      <c r="X9" s="504"/>
      <c r="Y9" s="4902"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90"/>
      <c r="Q10" s="3274" t="str">
        <f t="shared" si="6"/>
        <v>土地使用年限（年）</v>
      </c>
      <c r="R10" s="4074" t="s">
        <v>13</v>
      </c>
      <c r="S10" s="4077">
        <f t="shared" si="0"/>
        <v>100</v>
      </c>
      <c r="T10" s="4074" t="s">
        <v>13</v>
      </c>
      <c r="U10" s="4077">
        <f t="shared" si="1"/>
        <v>100</v>
      </c>
      <c r="V10" s="4074" t="s">
        <v>13</v>
      </c>
      <c r="W10" s="4077">
        <f t="shared" si="2"/>
        <v>100</v>
      </c>
      <c r="X10" s="504"/>
      <c r="Y10" s="4902"/>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90"/>
      <c r="Q11" s="3274" t="str">
        <f t="shared" si="6"/>
        <v>容积率</v>
      </c>
      <c r="R11" s="4074" t="s">
        <v>13</v>
      </c>
      <c r="S11" s="4077">
        <f t="shared" si="0"/>
        <v>100</v>
      </c>
      <c r="T11" s="4074" t="s">
        <v>13</v>
      </c>
      <c r="U11" s="4077">
        <f t="shared" si="1"/>
        <v>100</v>
      </c>
      <c r="V11" s="4074" t="s">
        <v>13</v>
      </c>
      <c r="W11" s="4077">
        <f t="shared" si="2"/>
        <v>100</v>
      </c>
      <c r="X11" s="504"/>
      <c r="Y11" s="4902"/>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90"/>
      <c r="Q12" s="3274">
        <f t="shared" si="6"/>
        <v>111</v>
      </c>
      <c r="R12" s="4074" t="s">
        <v>13</v>
      </c>
      <c r="S12" s="4077">
        <f t="shared" si="0"/>
        <v>100</v>
      </c>
      <c r="T12" s="4074" t="s">
        <v>13</v>
      </c>
      <c r="U12" s="4077">
        <f t="shared" si="1"/>
        <v>100</v>
      </c>
      <c r="V12" s="4074" t="s">
        <v>13</v>
      </c>
      <c r="W12" s="4077">
        <f t="shared" si="2"/>
        <v>100</v>
      </c>
      <c r="X12" s="504"/>
      <c r="Y12" s="4902"/>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90"/>
      <c r="Q13" s="3274">
        <f t="shared" si="6"/>
        <v>111</v>
      </c>
      <c r="R13" s="4074" t="s">
        <v>13</v>
      </c>
      <c r="S13" s="4077">
        <f t="shared" si="0"/>
        <v>100</v>
      </c>
      <c r="T13" s="4074" t="s">
        <v>13</v>
      </c>
      <c r="U13" s="4077">
        <f t="shared" si="1"/>
        <v>100</v>
      </c>
      <c r="V13" s="4074" t="s">
        <v>13</v>
      </c>
      <c r="W13" s="4077">
        <f t="shared" si="2"/>
        <v>100</v>
      </c>
      <c r="X13" s="504"/>
      <c r="Y13" s="4902"/>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972" t="s">
        <v>1598</v>
      </c>
      <c r="Q15" s="3277" t="str">
        <f t="shared" si="6"/>
        <v>产业集聚程度</v>
      </c>
      <c r="R15" s="4075" t="s">
        <v>13</v>
      </c>
      <c r="S15" s="4078">
        <f t="shared" si="0"/>
        <v>100</v>
      </c>
      <c r="T15" s="4075" t="s">
        <v>13</v>
      </c>
      <c r="U15" s="4078">
        <f t="shared" si="1"/>
        <v>100</v>
      </c>
      <c r="V15" s="4075" t="s">
        <v>13</v>
      </c>
      <c r="W15" s="4078">
        <f t="shared" si="2"/>
        <v>100</v>
      </c>
      <c r="X15" s="963"/>
      <c r="Y15" s="4892"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973"/>
      <c r="Q16" s="3277"/>
      <c r="R16" s="4075"/>
      <c r="S16" s="4078"/>
      <c r="T16" s="4075"/>
      <c r="U16" s="4078"/>
      <c r="V16" s="4075"/>
      <c r="W16" s="4078"/>
      <c r="X16" s="963"/>
      <c r="Y16" s="489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973"/>
      <c r="Q17" s="3277" t="str">
        <f>B17</f>
        <v>交通便捷度</v>
      </c>
      <c r="R17" s="4075" t="s">
        <v>13</v>
      </c>
      <c r="S17" s="4078">
        <f>F17</f>
        <v>100</v>
      </c>
      <c r="T17" s="4075" t="s">
        <v>13</v>
      </c>
      <c r="U17" s="4078">
        <f>H17</f>
        <v>100</v>
      </c>
      <c r="V17" s="4075" t="s">
        <v>13</v>
      </c>
      <c r="W17" s="4078">
        <f>J17</f>
        <v>100</v>
      </c>
      <c r="X17" s="963"/>
      <c r="Y17" s="4893"/>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973"/>
      <c r="Q18" s="3277"/>
      <c r="R18" s="4075"/>
      <c r="S18" s="4078"/>
      <c r="T18" s="4075"/>
      <c r="U18" s="4078"/>
      <c r="V18" s="4075"/>
      <c r="W18" s="4078"/>
      <c r="X18" s="963"/>
      <c r="Y18" s="4893"/>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973"/>
      <c r="Q19" s="3277" t="str">
        <f>B19</f>
        <v>公共配套设施</v>
      </c>
      <c r="R19" s="4075" t="s">
        <v>13</v>
      </c>
      <c r="S19" s="4078">
        <f>F19</f>
        <v>100</v>
      </c>
      <c r="T19" s="4075" t="s">
        <v>13</v>
      </c>
      <c r="U19" s="4078">
        <f>H19</f>
        <v>100</v>
      </c>
      <c r="V19" s="4075" t="s">
        <v>13</v>
      </c>
      <c r="W19" s="4078">
        <f>J19</f>
        <v>100</v>
      </c>
      <c r="X19" s="963"/>
      <c r="Y19" s="4893"/>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973"/>
      <c r="Q20" s="3277"/>
      <c r="R20" s="4075"/>
      <c r="S20" s="4078"/>
      <c r="T20" s="4075"/>
      <c r="U20" s="4078"/>
      <c r="V20" s="4075"/>
      <c r="W20" s="4078"/>
      <c r="X20" s="963"/>
      <c r="Y20" s="4893"/>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973"/>
      <c r="Q21" s="3277" t="str">
        <f>B21</f>
        <v>基础设施水平</v>
      </c>
      <c r="R21" s="4075" t="s">
        <v>13</v>
      </c>
      <c r="S21" s="4078">
        <f>F21</f>
        <v>100</v>
      </c>
      <c r="T21" s="4075" t="s">
        <v>13</v>
      </c>
      <c r="U21" s="4078">
        <f>H21</f>
        <v>100</v>
      </c>
      <c r="V21" s="4075" t="s">
        <v>13</v>
      </c>
      <c r="W21" s="4078">
        <f>J21</f>
        <v>100</v>
      </c>
      <c r="X21" s="963"/>
      <c r="Y21" s="4893"/>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973"/>
      <c r="Q22" s="3277"/>
      <c r="R22" s="4075"/>
      <c r="S22" s="4078"/>
      <c r="T22" s="4075"/>
      <c r="U22" s="4078"/>
      <c r="V22" s="4075"/>
      <c r="W22" s="4078"/>
      <c r="X22" s="963"/>
      <c r="Y22" s="489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973"/>
      <c r="Q23" s="3277" t="str">
        <f>B23</f>
        <v>环境质量</v>
      </c>
      <c r="R23" s="4075" t="s">
        <v>13</v>
      </c>
      <c r="S23" s="4078">
        <f>F23</f>
        <v>100</v>
      </c>
      <c r="T23" s="4075" t="s">
        <v>13</v>
      </c>
      <c r="U23" s="4078">
        <f>H23</f>
        <v>100</v>
      </c>
      <c r="V23" s="4075" t="s">
        <v>13</v>
      </c>
      <c r="W23" s="4078">
        <f>J23</f>
        <v>100</v>
      </c>
      <c r="X23" s="963"/>
      <c r="Y23" s="4893"/>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973"/>
      <c r="Q24" s="3277"/>
      <c r="R24" s="4075"/>
      <c r="S24" s="4078"/>
      <c r="T24" s="4075"/>
      <c r="U24" s="4078"/>
      <c r="V24" s="4075"/>
      <c r="W24" s="4078"/>
      <c r="X24" s="963"/>
      <c r="Y24" s="4893"/>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973"/>
      <c r="Q25" s="3277">
        <f>B25</f>
        <v>111</v>
      </c>
      <c r="R25" s="4075" t="s">
        <v>13</v>
      </c>
      <c r="S25" s="4078">
        <f>F25</f>
        <v>100</v>
      </c>
      <c r="T25" s="4075" t="s">
        <v>13</v>
      </c>
      <c r="U25" s="4078">
        <f>H25</f>
        <v>100</v>
      </c>
      <c r="V25" s="4075" t="s">
        <v>13</v>
      </c>
      <c r="W25" s="4078">
        <f>J25</f>
        <v>100</v>
      </c>
      <c r="X25" s="963"/>
      <c r="Y25" s="4893"/>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973"/>
      <c r="Q26" s="3277">
        <f t="shared" ref="Q26:Q40" si="11">B26</f>
        <v>111</v>
      </c>
      <c r="R26" s="4075" t="s">
        <v>13</v>
      </c>
      <c r="S26" s="4078">
        <f>F26</f>
        <v>100</v>
      </c>
      <c r="T26" s="4075" t="s">
        <v>13</v>
      </c>
      <c r="U26" s="4078">
        <f>H26</f>
        <v>100</v>
      </c>
      <c r="V26" s="4075" t="s">
        <v>13</v>
      </c>
      <c r="W26" s="4078">
        <f>J26</f>
        <v>100</v>
      </c>
      <c r="X26" s="963"/>
      <c r="Y26" s="4893"/>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973"/>
      <c r="Q27" s="3274">
        <f t="shared" si="11"/>
        <v>111</v>
      </c>
      <c r="R27" s="4074" t="s">
        <v>13</v>
      </c>
      <c r="S27" s="4077">
        <f>F27</f>
        <v>100</v>
      </c>
      <c r="T27" s="4074" t="s">
        <v>13</v>
      </c>
      <c r="U27" s="4077">
        <f>H27</f>
        <v>100</v>
      </c>
      <c r="V27" s="4074" t="s">
        <v>13</v>
      </c>
      <c r="W27" s="4077">
        <f>J27</f>
        <v>100</v>
      </c>
      <c r="X27" s="504"/>
      <c r="Y27" s="4893"/>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973"/>
      <c r="Q28" s="3277">
        <f t="shared" si="11"/>
        <v>111</v>
      </c>
      <c r="R28" s="4075" t="s">
        <v>13</v>
      </c>
      <c r="S28" s="4078">
        <f t="shared" ref="S28:S40" si="12">F28</f>
        <v>100</v>
      </c>
      <c r="T28" s="4075" t="s">
        <v>13</v>
      </c>
      <c r="U28" s="4078">
        <f t="shared" ref="U28:U40" si="13">H28</f>
        <v>100</v>
      </c>
      <c r="V28" s="4075" t="s">
        <v>13</v>
      </c>
      <c r="W28" s="4078">
        <f t="shared" ref="W28:W40" si="14">J28</f>
        <v>100</v>
      </c>
      <c r="X28" s="963"/>
      <c r="Y28" s="4893"/>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974" t="s">
        <v>1603</v>
      </c>
      <c r="Q29" s="3277" t="str">
        <f t="shared" si="11"/>
        <v>建筑类型</v>
      </c>
      <c r="R29" s="4075" t="s">
        <v>13</v>
      </c>
      <c r="S29" s="4078">
        <f t="shared" si="12"/>
        <v>100</v>
      </c>
      <c r="T29" s="4075" t="s">
        <v>13</v>
      </c>
      <c r="U29" s="4078">
        <f t="shared" si="13"/>
        <v>100</v>
      </c>
      <c r="V29" s="4075" t="s">
        <v>13</v>
      </c>
      <c r="W29" s="4078">
        <f t="shared" si="14"/>
        <v>100</v>
      </c>
      <c r="X29" s="963"/>
      <c r="Y29" s="489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975"/>
      <c r="Q30" s="3106" t="str">
        <f t="shared" si="11"/>
        <v>项目建筑规模</v>
      </c>
      <c r="R30" s="4076" t="s">
        <v>13</v>
      </c>
      <c r="S30" s="4079" t="e">
        <f t="shared" si="12"/>
        <v>#N/A</v>
      </c>
      <c r="T30" s="4076" t="s">
        <v>13</v>
      </c>
      <c r="U30" s="4079" t="e">
        <f t="shared" si="13"/>
        <v>#N/A</v>
      </c>
      <c r="V30" s="4076" t="s">
        <v>13</v>
      </c>
      <c r="W30" s="4079" t="e">
        <f t="shared" si="14"/>
        <v>#N/A</v>
      </c>
      <c r="X30" s="507"/>
      <c r="Y30" s="489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975"/>
      <c r="Q31" s="3277" t="str">
        <f t="shared" si="11"/>
        <v>建筑结构</v>
      </c>
      <c r="R31" s="4075" t="s">
        <v>13</v>
      </c>
      <c r="S31" s="4078">
        <f t="shared" si="12"/>
        <v>100</v>
      </c>
      <c r="T31" s="4075" t="s">
        <v>13</v>
      </c>
      <c r="U31" s="4078">
        <f t="shared" si="13"/>
        <v>100</v>
      </c>
      <c r="V31" s="4075" t="s">
        <v>13</v>
      </c>
      <c r="W31" s="4078">
        <f t="shared" si="14"/>
        <v>100</v>
      </c>
      <c r="X31" s="963"/>
      <c r="Y31" s="4897"/>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975"/>
      <c r="Q32" s="3277" t="str">
        <f t="shared" si="11"/>
        <v>公共部分装修</v>
      </c>
      <c r="R32" s="4075" t="s">
        <v>13</v>
      </c>
      <c r="S32" s="4078">
        <f t="shared" si="12"/>
        <v>100</v>
      </c>
      <c r="T32" s="4075" t="s">
        <v>13</v>
      </c>
      <c r="U32" s="4078">
        <f t="shared" si="13"/>
        <v>100</v>
      </c>
      <c r="V32" s="4075" t="s">
        <v>13</v>
      </c>
      <c r="W32" s="4078">
        <f t="shared" si="14"/>
        <v>100</v>
      </c>
      <c r="X32" s="963"/>
      <c r="Y32" s="4897"/>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975"/>
      <c r="Q33" s="3277" t="str">
        <f t="shared" si="11"/>
        <v>成新度</v>
      </c>
      <c r="R33" s="4075" t="s">
        <v>13</v>
      </c>
      <c r="S33" s="4078" t="e">
        <f t="shared" si="12"/>
        <v>#N/A</v>
      </c>
      <c r="T33" s="4075" t="s">
        <v>13</v>
      </c>
      <c r="U33" s="4078" t="e">
        <f t="shared" si="13"/>
        <v>#N/A</v>
      </c>
      <c r="V33" s="4075" t="s">
        <v>13</v>
      </c>
      <c r="W33" s="4078" t="e">
        <f t="shared" si="14"/>
        <v>#N/A</v>
      </c>
      <c r="X33" s="963"/>
      <c r="Y33" s="489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975"/>
      <c r="Q34" s="3274" t="str">
        <f t="shared" si="11"/>
        <v>物业管理</v>
      </c>
      <c r="R34" s="4074" t="s">
        <v>13</v>
      </c>
      <c r="S34" s="4077">
        <f t="shared" si="12"/>
        <v>100</v>
      </c>
      <c r="T34" s="4074" t="s">
        <v>13</v>
      </c>
      <c r="U34" s="4077">
        <f t="shared" si="13"/>
        <v>100</v>
      </c>
      <c r="V34" s="4074" t="s">
        <v>13</v>
      </c>
      <c r="W34" s="4077">
        <f t="shared" si="14"/>
        <v>100</v>
      </c>
      <c r="X34" s="504"/>
      <c r="Y34" s="4897"/>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975" t="s">
        <v>1603</v>
      </c>
      <c r="Q35" s="3277" t="str">
        <f t="shared" si="11"/>
        <v>市政基础设施</v>
      </c>
      <c r="R35" s="4075" t="s">
        <v>13</v>
      </c>
      <c r="S35" s="4078">
        <f t="shared" si="12"/>
        <v>100</v>
      </c>
      <c r="T35" s="4075" t="s">
        <v>13</v>
      </c>
      <c r="U35" s="4078">
        <f t="shared" si="13"/>
        <v>100</v>
      </c>
      <c r="V35" s="4075" t="s">
        <v>13</v>
      </c>
      <c r="W35" s="4078">
        <f t="shared" si="14"/>
        <v>100</v>
      </c>
      <c r="X35" s="963"/>
      <c r="Y35" s="489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975"/>
      <c r="Q36" s="3277" t="str">
        <f t="shared" si="11"/>
        <v>内部装修</v>
      </c>
      <c r="R36" s="4075" t="s">
        <v>13</v>
      </c>
      <c r="S36" s="4078">
        <f t="shared" si="12"/>
        <v>100</v>
      </c>
      <c r="T36" s="4075" t="s">
        <v>13</v>
      </c>
      <c r="U36" s="4078">
        <f t="shared" si="13"/>
        <v>100</v>
      </c>
      <c r="V36" s="4075" t="s">
        <v>13</v>
      </c>
      <c r="W36" s="4078">
        <f t="shared" si="14"/>
        <v>100</v>
      </c>
      <c r="X36" s="963"/>
      <c r="Y36" s="4897"/>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975"/>
      <c r="Q37" s="3277" t="str">
        <f t="shared" si="11"/>
        <v>内部装修状况</v>
      </c>
      <c r="R37" s="4075" t="s">
        <v>13</v>
      </c>
      <c r="S37" s="4078">
        <f t="shared" si="12"/>
        <v>100</v>
      </c>
      <c r="T37" s="4075" t="s">
        <v>13</v>
      </c>
      <c r="U37" s="4078">
        <f t="shared" si="13"/>
        <v>100</v>
      </c>
      <c r="V37" s="4075" t="s">
        <v>13</v>
      </c>
      <c r="W37" s="4078">
        <f t="shared" si="14"/>
        <v>100</v>
      </c>
      <c r="X37" s="963"/>
      <c r="Y37" s="489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975"/>
      <c r="Q38" s="3106">
        <f t="shared" si="11"/>
        <v>111</v>
      </c>
      <c r="R38" s="4076" t="s">
        <v>13</v>
      </c>
      <c r="S38" s="4079">
        <f t="shared" si="12"/>
        <v>100</v>
      </c>
      <c r="T38" s="4076" t="s">
        <v>13</v>
      </c>
      <c r="U38" s="4079">
        <f t="shared" si="13"/>
        <v>100</v>
      </c>
      <c r="V38" s="4076" t="s">
        <v>13</v>
      </c>
      <c r="W38" s="4079">
        <f t="shared" si="14"/>
        <v>100</v>
      </c>
      <c r="X38" s="507"/>
      <c r="Y38" s="4897"/>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975"/>
      <c r="Q39" s="3277">
        <f t="shared" si="11"/>
        <v>111</v>
      </c>
      <c r="R39" s="4075" t="s">
        <v>13</v>
      </c>
      <c r="S39" s="4078">
        <f t="shared" si="12"/>
        <v>100</v>
      </c>
      <c r="T39" s="4075" t="s">
        <v>13</v>
      </c>
      <c r="U39" s="4078">
        <f t="shared" si="13"/>
        <v>100</v>
      </c>
      <c r="V39" s="4075" t="s">
        <v>13</v>
      </c>
      <c r="W39" s="4078">
        <f t="shared" si="14"/>
        <v>100</v>
      </c>
      <c r="X39" s="963"/>
      <c r="Y39" s="4897"/>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76"/>
      <c r="Q40" s="3277">
        <f t="shared" si="11"/>
        <v>111</v>
      </c>
      <c r="R40" s="4075" t="s">
        <v>13</v>
      </c>
      <c r="S40" s="4078">
        <f t="shared" si="12"/>
        <v>100</v>
      </c>
      <c r="T40" s="4075" t="s">
        <v>13</v>
      </c>
      <c r="U40" s="4078">
        <f t="shared" si="13"/>
        <v>100</v>
      </c>
      <c r="V40" s="4075" t="s">
        <v>13</v>
      </c>
      <c r="W40" s="4078">
        <f t="shared" si="14"/>
        <v>100</v>
      </c>
      <c r="X40" s="963"/>
      <c r="Y40" s="4898"/>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90" t="str">
        <f>A41</f>
        <v>成交单价（元/平方米）</v>
      </c>
      <c r="Q41" s="4890"/>
      <c r="R41" s="4891">
        <f>E41</f>
        <v>0</v>
      </c>
      <c r="S41" s="4891"/>
      <c r="T41" s="4891">
        <f>G41</f>
        <v>0</v>
      </c>
      <c r="U41" s="4891"/>
      <c r="V41" s="4891">
        <f>I41</f>
        <v>0</v>
      </c>
      <c r="W41" s="4891"/>
      <c r="X41" s="493"/>
      <c r="Y41" s="509"/>
      <c r="Z41" s="493"/>
      <c r="AA41" s="493"/>
      <c r="AB41" s="493"/>
      <c r="AC41" s="493"/>
    </row>
    <row r="42" spans="1:29" ht="15.75" thickBot="1">
      <c r="A42" s="295" t="s">
        <v>1700</v>
      </c>
      <c r="B42" s="296"/>
      <c r="C42" s="4040" t="e">
        <f>R43</f>
        <v>#DIV/0!</v>
      </c>
      <c r="D42" s="4197" t="s">
        <v>2042</v>
      </c>
      <c r="E42" s="3127" t="e">
        <f>R42</f>
        <v>#DIV/0!</v>
      </c>
      <c r="F42" s="3042"/>
      <c r="G42" s="3126" t="e">
        <f>T42</f>
        <v>#DIV/0!</v>
      </c>
      <c r="H42" s="3042"/>
      <c r="I42" s="3127" t="e">
        <f>V42</f>
        <v>#DIV/0!</v>
      </c>
      <c r="J42" s="3042"/>
      <c r="K42" s="3097">
        <f>F42+H42+J42</f>
        <v>0</v>
      </c>
      <c r="L42" s="638"/>
      <c r="M42" s="639"/>
      <c r="N42" s="626"/>
      <c r="O42" s="639"/>
      <c r="P42" s="4890" t="str">
        <f>A42</f>
        <v>比较价值（元/平方米）</v>
      </c>
      <c r="Q42" s="4890"/>
      <c r="R42" s="4891" t="e">
        <f>IF(F1="售价",ROUND(PRODUCT(R41,AA7:AA40),0),ROUND(PRODUCT(R41,AA7:AA40),1))</f>
        <v>#DIV/0!</v>
      </c>
      <c r="S42" s="4891"/>
      <c r="T42" s="4891" t="e">
        <f>IF(F1="售价",ROUND(PRODUCT(T41,AB7:AB40),0),ROUND(PRODUCT(T41,AB7:AB40),1))</f>
        <v>#DIV/0!</v>
      </c>
      <c r="U42" s="4891"/>
      <c r="V42" s="4891" t="e">
        <f>IF(F1="售价",ROUND(PRODUCT(V41,AC7:AC40),0),ROUND(PRODUCT(V41,AC7:AC40),1))</f>
        <v>#DIV/0!</v>
      </c>
      <c r="W42" s="4891"/>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887" t="str">
        <f>A43</f>
        <v>估价对象XX用房的比较价值（楼面单价，元/平方米）</v>
      </c>
      <c r="Q43" s="4888"/>
      <c r="R43" s="4889" t="e">
        <f>IF(F1="售价",ROUND(IF(D42="简单平均",AVERAGE(R42:V42),R42*F42+T42*H42+V42*J42),0),ROUND(IF(D42="简单平均",AVERAGE(R42:V42),R42*F42+T42*H42+V42*J42),1))</f>
        <v>#DIV/0!</v>
      </c>
      <c r="S43" s="4889"/>
      <c r="T43" s="4889"/>
      <c r="U43" s="4889"/>
      <c r="V43" s="4889"/>
      <c r="W43" s="488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3877</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3476</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46063</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93"/>
      <c r="Q15" s="960"/>
      <c r="R15" s="4083"/>
      <c r="S15" s="4086"/>
      <c r="T15" s="4083"/>
      <c r="U15" s="4086"/>
      <c r="V15" s="4083"/>
      <c r="W15" s="4086"/>
      <c r="X15" s="963"/>
      <c r="Y15" s="489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93"/>
      <c r="Q17" s="960"/>
      <c r="R17" s="4083"/>
      <c r="S17" s="4086"/>
      <c r="T17" s="4083"/>
      <c r="U17" s="4086"/>
      <c r="V17" s="4083"/>
      <c r="W17" s="4086"/>
      <c r="X17" s="963"/>
      <c r="Y17" s="4893"/>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93"/>
      <c r="Q19" s="960"/>
      <c r="R19" s="4083"/>
      <c r="S19" s="4086"/>
      <c r="T19" s="4083"/>
      <c r="U19" s="4086"/>
      <c r="V19" s="4083"/>
      <c r="W19" s="4086"/>
      <c r="X19" s="963"/>
      <c r="Y19" s="489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93"/>
      <c r="Q21" s="960"/>
      <c r="R21" s="4083"/>
      <c r="S21" s="4086"/>
      <c r="T21" s="4083"/>
      <c r="U21" s="4086"/>
      <c r="V21" s="4083"/>
      <c r="W21" s="4086"/>
      <c r="X21" s="963"/>
      <c r="Y21" s="4893"/>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93"/>
      <c r="Q24" s="960">
        <f t="shared" ref="Q24:Q36"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4981"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9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97"/>
      <c r="Q27" s="506" t="str">
        <f t="shared" si="11"/>
        <v>项目停车位配比</v>
      </c>
      <c r="R27" s="4084" t="s">
        <v>13</v>
      </c>
      <c r="S27" s="4087">
        <f t="shared" si="12"/>
        <v>100</v>
      </c>
      <c r="T27" s="4084" t="s">
        <v>13</v>
      </c>
      <c r="U27" s="4087">
        <f t="shared" si="13"/>
        <v>100</v>
      </c>
      <c r="V27" s="4084" t="s">
        <v>13</v>
      </c>
      <c r="W27" s="4087">
        <f t="shared" si="14"/>
        <v>100</v>
      </c>
      <c r="X27" s="507"/>
      <c r="Y27" s="4897"/>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97"/>
      <c r="Q28" s="960" t="str">
        <f t="shared" si="11"/>
        <v>公共部分装修</v>
      </c>
      <c r="R28" s="4083" t="s">
        <v>13</v>
      </c>
      <c r="S28" s="4086">
        <f t="shared" si="12"/>
        <v>100</v>
      </c>
      <c r="T28" s="4083" t="s">
        <v>13</v>
      </c>
      <c r="U28" s="4086">
        <f t="shared" si="13"/>
        <v>100</v>
      </c>
      <c r="V28" s="4083" t="s">
        <v>13</v>
      </c>
      <c r="W28" s="4086">
        <f t="shared" si="14"/>
        <v>100</v>
      </c>
      <c r="X28" s="963"/>
      <c r="Y28" s="4897"/>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97"/>
      <c r="Q29" s="960" t="str">
        <f t="shared" si="11"/>
        <v>成新率</v>
      </c>
      <c r="R29" s="4083" t="s">
        <v>13</v>
      </c>
      <c r="S29" s="4086" t="e">
        <f t="shared" si="12"/>
        <v>#N/A</v>
      </c>
      <c r="T29" s="4083" t="s">
        <v>13</v>
      </c>
      <c r="U29" s="4086" t="e">
        <f t="shared" si="13"/>
        <v>#N/A</v>
      </c>
      <c r="V29" s="4083" t="s">
        <v>13</v>
      </c>
      <c r="W29" s="4086" t="e">
        <f t="shared" si="14"/>
        <v>#N/A</v>
      </c>
      <c r="X29" s="963"/>
      <c r="Y29" s="4897"/>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97"/>
      <c r="Q30" s="960" t="str">
        <f t="shared" si="11"/>
        <v>物业等级</v>
      </c>
      <c r="R30" s="4083" t="s">
        <v>13</v>
      </c>
      <c r="S30" s="4086">
        <f t="shared" si="12"/>
        <v>100</v>
      </c>
      <c r="T30" s="4083" t="s">
        <v>13</v>
      </c>
      <c r="U30" s="4086">
        <f t="shared" si="13"/>
        <v>100</v>
      </c>
      <c r="V30" s="4083" t="s">
        <v>13</v>
      </c>
      <c r="W30" s="4086">
        <f t="shared" si="14"/>
        <v>100</v>
      </c>
      <c r="X30" s="963"/>
      <c r="Y30" s="4897"/>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97"/>
      <c r="Q31" s="952" t="str">
        <f t="shared" si="11"/>
        <v>停车位面积</v>
      </c>
      <c r="R31" s="4082" t="s">
        <v>13</v>
      </c>
      <c r="S31" s="4085" t="e">
        <f t="shared" si="12"/>
        <v>#N/A</v>
      </c>
      <c r="T31" s="4082" t="s">
        <v>13</v>
      </c>
      <c r="U31" s="4085" t="e">
        <f t="shared" si="13"/>
        <v>#N/A</v>
      </c>
      <c r="V31" s="4082" t="s">
        <v>13</v>
      </c>
      <c r="W31" s="4085" t="e">
        <f t="shared" si="14"/>
        <v>#N/A</v>
      </c>
      <c r="X31" s="504"/>
      <c r="Y31" s="4897"/>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97" t="s">
        <v>1603</v>
      </c>
      <c r="Q32" s="960" t="str">
        <f t="shared" si="11"/>
        <v>车位类型</v>
      </c>
      <c r="R32" s="4083" t="s">
        <v>13</v>
      </c>
      <c r="S32" s="4086">
        <f t="shared" si="12"/>
        <v>100</v>
      </c>
      <c r="T32" s="4083" t="s">
        <v>13</v>
      </c>
      <c r="U32" s="4086">
        <f t="shared" si="13"/>
        <v>100</v>
      </c>
      <c r="V32" s="4083" t="s">
        <v>13</v>
      </c>
      <c r="W32" s="4086">
        <f t="shared" si="14"/>
        <v>100</v>
      </c>
      <c r="X32" s="963"/>
      <c r="Y32" s="489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97"/>
      <c r="Q33" s="960" t="str">
        <f t="shared" si="11"/>
        <v>是否直接入户</v>
      </c>
      <c r="R33" s="4083" t="s">
        <v>13</v>
      </c>
      <c r="S33" s="4086">
        <f t="shared" si="12"/>
        <v>100</v>
      </c>
      <c r="T33" s="4083" t="s">
        <v>13</v>
      </c>
      <c r="U33" s="4086">
        <f t="shared" si="13"/>
        <v>100</v>
      </c>
      <c r="V33" s="4083" t="s">
        <v>13</v>
      </c>
      <c r="W33" s="4086">
        <f t="shared" si="14"/>
        <v>100</v>
      </c>
      <c r="X33" s="963"/>
      <c r="Y33" s="4897"/>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97"/>
      <c r="Q35" s="506">
        <f t="shared" si="11"/>
        <v>111</v>
      </c>
      <c r="R35" s="4084" t="s">
        <v>13</v>
      </c>
      <c r="S35" s="4087">
        <f t="shared" si="12"/>
        <v>100</v>
      </c>
      <c r="T35" s="4084" t="s">
        <v>13</v>
      </c>
      <c r="U35" s="4087">
        <f t="shared" si="13"/>
        <v>100</v>
      </c>
      <c r="V35" s="4084" t="s">
        <v>13</v>
      </c>
      <c r="W35" s="4087">
        <f t="shared" si="14"/>
        <v>100</v>
      </c>
      <c r="X35" s="507"/>
      <c r="Y35" s="4897"/>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97"/>
      <c r="Q36" s="960">
        <f t="shared" si="11"/>
        <v>111</v>
      </c>
      <c r="R36" s="4083" t="s">
        <v>13</v>
      </c>
      <c r="S36" s="4086">
        <f t="shared" si="12"/>
        <v>100</v>
      </c>
      <c r="T36" s="4083" t="s">
        <v>13</v>
      </c>
      <c r="U36" s="4086">
        <f t="shared" si="13"/>
        <v>100</v>
      </c>
      <c r="V36" s="4083" t="s">
        <v>13</v>
      </c>
      <c r="W36" s="4086">
        <f t="shared" si="14"/>
        <v>100</v>
      </c>
      <c r="X36" s="963"/>
      <c r="Y36" s="4897"/>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77" t="str">
        <f>A37</f>
        <v>成交单价</v>
      </c>
      <c r="Q37" s="4977"/>
      <c r="R37" s="4942">
        <f>E37</f>
        <v>0</v>
      </c>
      <c r="S37" s="4942"/>
      <c r="T37" s="4942">
        <f>G37</f>
        <v>0</v>
      </c>
      <c r="U37" s="4942"/>
      <c r="V37" s="4942">
        <f>I37</f>
        <v>0</v>
      </c>
      <c r="W37" s="4942"/>
      <c r="X37" s="493"/>
      <c r="Y37" s="509"/>
      <c r="Z37" s="493"/>
      <c r="AA37" s="493"/>
      <c r="AB37" s="493"/>
      <c r="AC37" s="493"/>
    </row>
    <row r="38" spans="1:29" ht="15.75" thickBot="1">
      <c r="A38" s="295" t="s">
        <v>1752</v>
      </c>
      <c r="B38" s="296" t="str">
        <f>B37</f>
        <v>元/平方米</v>
      </c>
      <c r="C38" s="4040" t="e">
        <f>R39</f>
        <v>#DIV/0!</v>
      </c>
      <c r="D38" s="4197" t="s">
        <v>2042</v>
      </c>
      <c r="E38" s="4051" t="e">
        <f>R38</f>
        <v>#DIV/0!</v>
      </c>
      <c r="F38" s="3042"/>
      <c r="G38" s="4040" t="e">
        <f>T38</f>
        <v>#DIV/0!</v>
      </c>
      <c r="H38" s="3042"/>
      <c r="I38" s="4051" t="e">
        <f>V38</f>
        <v>#DIV/0!</v>
      </c>
      <c r="J38" s="3042"/>
      <c r="K38" s="3097">
        <f>F38+H38+J38</f>
        <v>0</v>
      </c>
      <c r="L38" s="2155"/>
      <c r="M38" s="2156"/>
      <c r="N38" s="2156"/>
      <c r="O38" s="2156"/>
      <c r="P38" s="4977" t="str">
        <f>A38</f>
        <v>比较价值（元/平方米）</v>
      </c>
      <c r="Q38" s="4977"/>
      <c r="R38" s="4942" t="e">
        <f>IF(F1="售价",ROUND(PRODUCT(R37,AA7:AA36),0),ROUND(PRODUCT(R37,AA7:AA36),1))</f>
        <v>#DIV/0!</v>
      </c>
      <c r="S38" s="4942"/>
      <c r="T38" s="4942" t="e">
        <f>IF(F1="售价",ROUND(PRODUCT(T37,AB7:AB36),0),ROUND(PRODUCT(T37,AB7:AB36),1))</f>
        <v>#DIV/0!</v>
      </c>
      <c r="U38" s="4942"/>
      <c r="V38" s="4942" t="e">
        <f>IF(F1="售价",ROUND(PRODUCT(V37,AC7:AC36),0),ROUND(PRODUCT(V37,AC7:AC36),1))</f>
        <v>#DIV/0!</v>
      </c>
      <c r="W38" s="4942"/>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4978" t="str">
        <f>A39</f>
        <v>估价对象XX用房的比较价值（楼面单价，元/平方米）</v>
      </c>
      <c r="Q39" s="4979"/>
      <c r="R39" s="4980" t="e">
        <f>IF(F1="售价",ROUND(IF(D38="简单平均",AVERAGE(R38:W38),R38*F38+T38*H38+V38*J38),0),ROUND(IF(D38="简单平均",AVERAGE(R38:V38),R38*F38+T38*H38+V38*J38),1))</f>
        <v>#DIV/0!</v>
      </c>
      <c r="S39" s="4980"/>
      <c r="T39" s="4980"/>
      <c r="U39" s="4980"/>
      <c r="V39" s="4980"/>
      <c r="W39" s="498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46063</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93"/>
      <c r="Q15" s="960"/>
      <c r="R15" s="4083"/>
      <c r="S15" s="4086"/>
      <c r="T15" s="4083"/>
      <c r="U15" s="4086"/>
      <c r="V15" s="4083"/>
      <c r="W15" s="4086"/>
      <c r="X15" s="963"/>
      <c r="Y15" s="489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93"/>
      <c r="Q17" s="960"/>
      <c r="R17" s="4083"/>
      <c r="S17" s="4086"/>
      <c r="T17" s="4083"/>
      <c r="U17" s="4086"/>
      <c r="V17" s="4083"/>
      <c r="W17" s="4086"/>
      <c r="X17" s="963"/>
      <c r="Y17" s="4893"/>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93"/>
      <c r="Q19" s="960"/>
      <c r="R19" s="4083"/>
      <c r="S19" s="4086"/>
      <c r="T19" s="4083"/>
      <c r="U19" s="4086"/>
      <c r="V19" s="4083"/>
      <c r="W19" s="4086"/>
      <c r="X19" s="963"/>
      <c r="Y19" s="489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93"/>
      <c r="Q21" s="960"/>
      <c r="R21" s="4083"/>
      <c r="S21" s="4086"/>
      <c r="T21" s="4083"/>
      <c r="U21" s="4086"/>
      <c r="V21" s="4083"/>
      <c r="W21" s="4086"/>
      <c r="X21" s="963"/>
      <c r="Y21" s="4893"/>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93"/>
      <c r="Q24" s="960">
        <f t="shared" ref="Q24:Q34"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4981"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9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97"/>
      <c r="Q27" s="506" t="str">
        <f t="shared" si="11"/>
        <v>成新率</v>
      </c>
      <c r="R27" s="4084" t="s">
        <v>13</v>
      </c>
      <c r="S27" s="4087" t="e">
        <f t="shared" si="12"/>
        <v>#N/A</v>
      </c>
      <c r="T27" s="4084" t="s">
        <v>13</v>
      </c>
      <c r="U27" s="4087" t="e">
        <f t="shared" si="13"/>
        <v>#N/A</v>
      </c>
      <c r="V27" s="4084" t="s">
        <v>13</v>
      </c>
      <c r="W27" s="4087" t="e">
        <f t="shared" si="14"/>
        <v>#N/A</v>
      </c>
      <c r="X27" s="507"/>
      <c r="Y27" s="4897"/>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97"/>
      <c r="Q28" s="960" t="str">
        <f t="shared" si="11"/>
        <v>物业等级</v>
      </c>
      <c r="R28" s="4083" t="s">
        <v>13</v>
      </c>
      <c r="S28" s="4086">
        <f t="shared" si="12"/>
        <v>100</v>
      </c>
      <c r="T28" s="4083" t="s">
        <v>13</v>
      </c>
      <c r="U28" s="4086">
        <f t="shared" si="13"/>
        <v>100</v>
      </c>
      <c r="V28" s="4083" t="s">
        <v>13</v>
      </c>
      <c r="W28" s="4086">
        <f t="shared" si="14"/>
        <v>100</v>
      </c>
      <c r="X28" s="963"/>
      <c r="Y28" s="4897"/>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97"/>
      <c r="Q29" s="960" t="str">
        <f t="shared" si="11"/>
        <v>有无电梯</v>
      </c>
      <c r="R29" s="4083" t="s">
        <v>13</v>
      </c>
      <c r="S29" s="4086">
        <f t="shared" si="12"/>
        <v>100</v>
      </c>
      <c r="T29" s="4083" t="s">
        <v>13</v>
      </c>
      <c r="U29" s="4086">
        <f t="shared" si="13"/>
        <v>100</v>
      </c>
      <c r="V29" s="4083" t="s">
        <v>13</v>
      </c>
      <c r="W29" s="4086">
        <f t="shared" si="14"/>
        <v>100</v>
      </c>
      <c r="X29" s="963"/>
      <c r="Y29" s="4897"/>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97"/>
      <c r="Q30" s="960" t="str">
        <f t="shared" si="11"/>
        <v>建筑面积</v>
      </c>
      <c r="R30" s="4083" t="s">
        <v>13</v>
      </c>
      <c r="S30" s="4086" t="e">
        <f t="shared" si="12"/>
        <v>#N/A</v>
      </c>
      <c r="T30" s="4083" t="s">
        <v>13</v>
      </c>
      <c r="U30" s="4086" t="e">
        <f t="shared" si="13"/>
        <v>#N/A</v>
      </c>
      <c r="V30" s="4083" t="s">
        <v>13</v>
      </c>
      <c r="W30" s="4086" t="e">
        <f t="shared" si="14"/>
        <v>#N/A</v>
      </c>
      <c r="X30" s="963"/>
      <c r="Y30" s="489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97"/>
      <c r="Q31" s="952" t="str">
        <f t="shared" si="11"/>
        <v>是否封闭</v>
      </c>
      <c r="R31" s="4082" t="s">
        <v>13</v>
      </c>
      <c r="S31" s="4085">
        <f t="shared" si="12"/>
        <v>100</v>
      </c>
      <c r="T31" s="4082" t="s">
        <v>13</v>
      </c>
      <c r="U31" s="4085">
        <f t="shared" si="13"/>
        <v>100</v>
      </c>
      <c r="V31" s="4082" t="s">
        <v>13</v>
      </c>
      <c r="W31" s="4085">
        <f t="shared" si="14"/>
        <v>100</v>
      </c>
      <c r="X31" s="504"/>
      <c r="Y31" s="4897"/>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97" t="s">
        <v>1603</v>
      </c>
      <c r="Q32" s="960">
        <f t="shared" si="11"/>
        <v>111</v>
      </c>
      <c r="R32" s="4083" t="s">
        <v>13</v>
      </c>
      <c r="S32" s="4086">
        <f t="shared" si="12"/>
        <v>100</v>
      </c>
      <c r="T32" s="4083" t="s">
        <v>13</v>
      </c>
      <c r="U32" s="4086">
        <f t="shared" si="13"/>
        <v>100</v>
      </c>
      <c r="V32" s="4083" t="s">
        <v>13</v>
      </c>
      <c r="W32" s="4086">
        <f t="shared" si="14"/>
        <v>100</v>
      </c>
      <c r="X32" s="963"/>
      <c r="Y32" s="4897"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97"/>
      <c r="Q33" s="960">
        <f t="shared" si="11"/>
        <v>111</v>
      </c>
      <c r="R33" s="4083" t="s">
        <v>13</v>
      </c>
      <c r="S33" s="4086">
        <f t="shared" si="12"/>
        <v>100</v>
      </c>
      <c r="T33" s="4083" t="s">
        <v>13</v>
      </c>
      <c r="U33" s="4086">
        <f t="shared" si="13"/>
        <v>100</v>
      </c>
      <c r="V33" s="4083" t="s">
        <v>13</v>
      </c>
      <c r="W33" s="4086">
        <f t="shared" si="14"/>
        <v>100</v>
      </c>
      <c r="X33" s="963"/>
      <c r="Y33" s="4897"/>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77" t="str">
        <f>A35</f>
        <v>成交单价（元/平方米）</v>
      </c>
      <c r="Q35" s="4977"/>
      <c r="R35" s="4942">
        <f>E35</f>
        <v>0</v>
      </c>
      <c r="S35" s="4942"/>
      <c r="T35" s="4942">
        <f>G35</f>
        <v>0</v>
      </c>
      <c r="U35" s="4942"/>
      <c r="V35" s="4942">
        <f>I35</f>
        <v>0</v>
      </c>
      <c r="W35" s="4942"/>
      <c r="X35" s="493"/>
      <c r="Y35" s="509"/>
      <c r="Z35" s="493"/>
      <c r="AA35" s="493"/>
      <c r="AB35" s="493"/>
      <c r="AC35" s="493"/>
    </row>
    <row r="36" spans="1:30" ht="15.75" thickBot="1">
      <c r="A36" s="295" t="s">
        <v>1700</v>
      </c>
      <c r="B36" s="296"/>
      <c r="C36" s="4040" t="e">
        <f>R37</f>
        <v>#DIV/0!</v>
      </c>
      <c r="D36" s="4197" t="s">
        <v>2042</v>
      </c>
      <c r="E36" s="4051" t="e">
        <f>R36</f>
        <v>#DIV/0!</v>
      </c>
      <c r="F36" s="3042"/>
      <c r="G36" s="4040" t="e">
        <f>T36</f>
        <v>#DIV/0!</v>
      </c>
      <c r="H36" s="3042"/>
      <c r="I36" s="4051" t="e">
        <f>V36</f>
        <v>#DIV/0!</v>
      </c>
      <c r="J36" s="3042"/>
      <c r="K36" s="3097">
        <f>F36+H36+J36</f>
        <v>0</v>
      </c>
      <c r="L36" s="2155"/>
      <c r="M36" s="2156"/>
      <c r="N36" s="2147"/>
      <c r="O36" s="2156"/>
      <c r="P36" s="4977" t="str">
        <f>A36</f>
        <v>比较价值（元/平方米）</v>
      </c>
      <c r="Q36" s="4977"/>
      <c r="R36" s="4942" t="e">
        <f>IF(F1="售价",ROUND(PRODUCT(R35,AA7:AA34),0),ROUND(PRODUCT(R35,AA7:AA34),1))</f>
        <v>#DIV/0!</v>
      </c>
      <c r="S36" s="4942"/>
      <c r="T36" s="4942" t="e">
        <f>IF(F1="售价",ROUND(PRODUCT(T35,AB7:AB34),0),ROUND(PRODUCT(T35,AB7:AB34),1))</f>
        <v>#DIV/0!</v>
      </c>
      <c r="U36" s="4942"/>
      <c r="V36" s="4942" t="e">
        <f>IF(F1="售价",ROUND(PRODUCT(V35,AC7:AC34),0),ROUND(PRODUCT(V35,AC7:AC34),1))</f>
        <v>#DIV/0!</v>
      </c>
      <c r="W36" s="4942"/>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4978" t="str">
        <f>A37</f>
        <v>估价对象XX用房的比较价值（楼面单价，元/平方米）</v>
      </c>
      <c r="Q37" s="4979"/>
      <c r="R37" s="4980" t="e">
        <f>IF(F1="售价",ROUND(IF(D36="简单平均",AVERAGE(R36:W36),R36*F36+T36*H36+V36*J36),0),ROUND(IF(D36="简单平均",AVERAGE(R36:V36),R36*F36+T36*H36+V36*J36),1))</f>
        <v>#DIV/0!</v>
      </c>
      <c r="S37" s="4980"/>
      <c r="T37" s="4980"/>
      <c r="U37" s="4980"/>
      <c r="V37" s="4980"/>
      <c r="W37" s="498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06" t="s">
        <v>1677</v>
      </c>
      <c r="D6" s="4907"/>
      <c r="E6" s="4908" t="s">
        <v>1678</v>
      </c>
      <c r="F6" s="4909"/>
      <c r="G6" s="4906" t="s">
        <v>1679</v>
      </c>
      <c r="H6" s="4907"/>
      <c r="I6" s="4906" t="s">
        <v>1680</v>
      </c>
      <c r="J6" s="4907"/>
      <c r="K6" s="3105"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30" ht="15">
      <c r="A7" s="244"/>
      <c r="B7" s="245"/>
      <c r="C7" s="4925" t="s">
        <v>1580</v>
      </c>
      <c r="D7" s="4926"/>
      <c r="E7" s="4940" t="s">
        <v>1581</v>
      </c>
      <c r="F7" s="4941"/>
      <c r="G7" s="4925" t="s">
        <v>1582</v>
      </c>
      <c r="H7" s="4926"/>
      <c r="I7" s="4925" t="s">
        <v>1583</v>
      </c>
      <c r="J7" s="4926"/>
      <c r="K7" s="3105"/>
      <c r="L7" s="2146"/>
      <c r="M7" s="2147"/>
      <c r="N7" s="2147"/>
      <c r="O7" s="2147"/>
      <c r="P7" s="4912"/>
      <c r="Q7" s="4913"/>
      <c r="R7" s="4918"/>
      <c r="S7" s="4919"/>
      <c r="T7" s="4918"/>
      <c r="U7" s="4919"/>
      <c r="V7" s="4922"/>
      <c r="W7" s="4922"/>
      <c r="X7" s="963"/>
      <c r="Y7" s="4933"/>
      <c r="Z7" s="4934"/>
      <c r="AA7" s="4904"/>
      <c r="AB7" s="4904"/>
      <c r="AC7" s="4904"/>
    </row>
    <row r="8" spans="1:30" ht="15.75" thickBot="1">
      <c r="A8" s="246"/>
      <c r="B8" s="247"/>
      <c r="C8" s="4923" t="s">
        <v>1584</v>
      </c>
      <c r="D8" s="4924"/>
      <c r="E8" s="4938" t="s">
        <v>1584</v>
      </c>
      <c r="F8" s="4939"/>
      <c r="G8" s="4923" t="s">
        <v>1584</v>
      </c>
      <c r="H8" s="4924"/>
      <c r="I8" s="4923" t="s">
        <v>1584</v>
      </c>
      <c r="J8" s="4924"/>
      <c r="K8" s="3105" t="s">
        <v>1585</v>
      </c>
      <c r="L8" s="2146"/>
      <c r="M8" s="2147"/>
      <c r="N8" s="2147"/>
      <c r="O8" s="2147"/>
      <c r="P8" s="4914"/>
      <c r="Q8" s="4915"/>
      <c r="R8" s="4918"/>
      <c r="S8" s="4919"/>
      <c r="T8" s="4920"/>
      <c r="U8" s="4921"/>
      <c r="V8" s="4922"/>
      <c r="W8" s="4922"/>
      <c r="X8" s="963"/>
      <c r="Y8" s="4935"/>
      <c r="Z8" s="4936"/>
      <c r="AA8" s="4905"/>
      <c r="AB8" s="4905"/>
      <c r="AC8" s="4905"/>
    </row>
    <row r="9" spans="1:30" s="49" customFormat="1" ht="15.75" thickBot="1">
      <c r="A9" s="3338" t="s">
        <v>1586</v>
      </c>
      <c r="B9" s="3339"/>
      <c r="C9" s="3052">
        <f>'数据-取费表'!B2</f>
        <v>46063</v>
      </c>
      <c r="D9" s="3128">
        <v>100</v>
      </c>
      <c r="E9" s="3082"/>
      <c r="F9" s="4024">
        <f>SUMIF(71:71,YEAR(E9)&amp;"-"&amp;INT((MONTH(E9)+2)/3),72:72)</f>
        <v>0</v>
      </c>
      <c r="G9" s="3369"/>
      <c r="H9" s="4036">
        <f>SUMIF(71:71,YEAR(G9)&amp;"-"&amp;INT((MONTH(G9)+2)/3),72:72)</f>
        <v>0</v>
      </c>
      <c r="I9" s="3369"/>
      <c r="J9" s="4036">
        <f>SUMIF(71:71,YEAR(I9)&amp;"-"&amp;INT((MONTH(I9)+2)/3),72:72)</f>
        <v>0</v>
      </c>
      <c r="K9" s="3373"/>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927" t="s">
        <v>1590</v>
      </c>
      <c r="Q10" s="4928"/>
      <c r="R10" s="4074" t="s">
        <v>13</v>
      </c>
      <c r="S10" s="4077">
        <f t="shared" si="0"/>
        <v>100</v>
      </c>
      <c r="T10" s="4074" t="s">
        <v>13</v>
      </c>
      <c r="U10" s="4077">
        <f t="shared" si="1"/>
        <v>100</v>
      </c>
      <c r="V10" s="4074" t="s">
        <v>13</v>
      </c>
      <c r="W10" s="4077">
        <f t="shared" si="2"/>
        <v>100</v>
      </c>
      <c r="X10" s="504"/>
      <c r="Y10" s="4929" t="s">
        <v>1590</v>
      </c>
      <c r="Z10" s="4930"/>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t="e">
        <f>ROUND(100/'数据-取费表'!G16,1)</f>
        <v>#DIV/0!</v>
      </c>
      <c r="G12" s="3114"/>
      <c r="H12" s="4038" t="e">
        <f>ROUND(100/'数据-取费表'!G16,1)</f>
        <v>#DIV/0!</v>
      </c>
      <c r="I12" s="3114"/>
      <c r="J12" s="4038" t="e">
        <f>ROUND(100/'数据-取费表'!G16,1)</f>
        <v>#DIV/0!</v>
      </c>
      <c r="K12" s="3374"/>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8">
        <f>LOOKUP(E13,81:81,82:82)-LOOKUP(C13,81:81,82:82)+100</f>
        <v>100</v>
      </c>
      <c r="G13" s="3085"/>
      <c r="H13" s="4038">
        <f>LOOKUP(G13,81:81,82:82)-LOOKUP(C13,81:81,82:82)+100</f>
        <v>100</v>
      </c>
      <c r="I13" s="3056"/>
      <c r="J13" s="4038">
        <f>LOOKUP(I13,81:81,82:82)-LOOKUP(C13,81:81,82:82)+100</f>
        <v>100</v>
      </c>
      <c r="K13" s="3398"/>
      <c r="L13" s="2152"/>
      <c r="M13" s="2147"/>
      <c r="N13" s="2147"/>
      <c r="O13" s="2205"/>
      <c r="P13" s="4890"/>
      <c r="Q13" s="3274" t="str">
        <f t="shared" si="6"/>
        <v>容积率</v>
      </c>
      <c r="R13" s="4074" t="s">
        <v>13</v>
      </c>
      <c r="S13" s="4077">
        <f t="shared" si="0"/>
        <v>100</v>
      </c>
      <c r="T13" s="4074" t="s">
        <v>13</v>
      </c>
      <c r="U13" s="4077">
        <f t="shared" si="1"/>
        <v>100</v>
      </c>
      <c r="V13" s="4074" t="s">
        <v>13</v>
      </c>
      <c r="W13" s="4077">
        <f t="shared" si="2"/>
        <v>100</v>
      </c>
      <c r="X13" s="504"/>
      <c r="Y13" s="4902"/>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90"/>
      <c r="Q14" s="3274" t="str">
        <f t="shared" si="6"/>
        <v>配建</v>
      </c>
      <c r="R14" s="4074" t="s">
        <v>13</v>
      </c>
      <c r="S14" s="4077">
        <f t="shared" si="0"/>
        <v>100</v>
      </c>
      <c r="T14" s="4074" t="s">
        <v>13</v>
      </c>
      <c r="U14" s="4077">
        <f t="shared" si="1"/>
        <v>100</v>
      </c>
      <c r="V14" s="4074" t="s">
        <v>13</v>
      </c>
      <c r="W14" s="4077">
        <f t="shared" si="2"/>
        <v>100</v>
      </c>
      <c r="X14" s="504"/>
      <c r="Y14" s="4902"/>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972" t="s">
        <v>1598</v>
      </c>
      <c r="Q17" s="3277" t="str">
        <f t="shared" si="6"/>
        <v>居住社区成熟度</v>
      </c>
      <c r="R17" s="4075" t="s">
        <v>13</v>
      </c>
      <c r="S17" s="4078">
        <f t="shared" si="0"/>
        <v>100</v>
      </c>
      <c r="T17" s="4075" t="s">
        <v>13</v>
      </c>
      <c r="U17" s="4078">
        <f t="shared" si="1"/>
        <v>100</v>
      </c>
      <c r="V17" s="4075" t="s">
        <v>13</v>
      </c>
      <c r="W17" s="4078">
        <f t="shared" si="2"/>
        <v>100</v>
      </c>
      <c r="X17" s="963"/>
      <c r="Y17" s="4892"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9"/>
      <c r="G18" s="3090" t="s">
        <v>3611</v>
      </c>
      <c r="H18" s="4030"/>
      <c r="I18" s="3096" t="s">
        <v>3611</v>
      </c>
      <c r="J18" s="4029"/>
      <c r="K18" s="3399"/>
      <c r="L18" s="2153"/>
      <c r="M18" s="2147"/>
      <c r="N18" s="2147"/>
      <c r="O18" s="2205"/>
      <c r="P18" s="4973"/>
      <c r="Q18" s="3277"/>
      <c r="R18" s="4075"/>
      <c r="S18" s="4078"/>
      <c r="T18" s="4075"/>
      <c r="U18" s="4078"/>
      <c r="V18" s="4075"/>
      <c r="W18" s="4078"/>
      <c r="X18" s="963"/>
      <c r="Y18" s="4893"/>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973"/>
      <c r="Q19" s="3277" t="str">
        <f>B19</f>
        <v>商业繁华度</v>
      </c>
      <c r="R19" s="4075" t="s">
        <v>13</v>
      </c>
      <c r="S19" s="4078">
        <f>F19</f>
        <v>100</v>
      </c>
      <c r="T19" s="4075" t="s">
        <v>13</v>
      </c>
      <c r="U19" s="4078">
        <f>H19</f>
        <v>100</v>
      </c>
      <c r="V19" s="4075" t="s">
        <v>13</v>
      </c>
      <c r="W19" s="4078">
        <f>J19</f>
        <v>100</v>
      </c>
      <c r="X19" s="963"/>
      <c r="Y19" s="4893"/>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973"/>
      <c r="Q20" s="3277"/>
      <c r="R20" s="4075"/>
      <c r="S20" s="4078"/>
      <c r="T20" s="4075"/>
      <c r="U20" s="4078"/>
      <c r="V20" s="4075"/>
      <c r="W20" s="4078"/>
      <c r="X20" s="963"/>
      <c r="Y20" s="4893"/>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973"/>
      <c r="Q21" s="3277" t="str">
        <f>B21</f>
        <v>办公集聚程度</v>
      </c>
      <c r="R21" s="4075" t="s">
        <v>13</v>
      </c>
      <c r="S21" s="4078">
        <f>F21</f>
        <v>100</v>
      </c>
      <c r="T21" s="4075" t="s">
        <v>13</v>
      </c>
      <c r="U21" s="4078">
        <f>H21</f>
        <v>100</v>
      </c>
      <c r="V21" s="4075" t="s">
        <v>13</v>
      </c>
      <c r="W21" s="4078">
        <f>J21</f>
        <v>100</v>
      </c>
      <c r="X21" s="963"/>
      <c r="Y21" s="4893"/>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973"/>
      <c r="Q22" s="3277"/>
      <c r="R22" s="4075"/>
      <c r="S22" s="4078"/>
      <c r="T22" s="4075"/>
      <c r="U22" s="4078"/>
      <c r="V22" s="4075"/>
      <c r="W22" s="4078"/>
      <c r="X22" s="963"/>
      <c r="Y22" s="4893"/>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100</v>
      </c>
      <c r="I23" s="3093"/>
      <c r="J23" s="4030">
        <f>SUMIF(95:95,I24,96:96)-SUMIF(95:95,C24,96:96)+100</f>
        <v>100</v>
      </c>
      <c r="K23" s="3398"/>
      <c r="L23" s="2153"/>
      <c r="M23" s="2147"/>
      <c r="N23" s="2147"/>
      <c r="O23" s="2205"/>
      <c r="P23" s="4973"/>
      <c r="Q23" s="3277" t="str">
        <f>B23</f>
        <v>交通便捷度</v>
      </c>
      <c r="R23" s="4075" t="s">
        <v>13</v>
      </c>
      <c r="S23" s="4078">
        <f>F23</f>
        <v>100</v>
      </c>
      <c r="T23" s="4075" t="s">
        <v>13</v>
      </c>
      <c r="U23" s="4078">
        <f>H23</f>
        <v>100</v>
      </c>
      <c r="V23" s="4075" t="s">
        <v>13</v>
      </c>
      <c r="W23" s="4078">
        <f>J23</f>
        <v>100</v>
      </c>
      <c r="X23" s="963"/>
      <c r="Y23" s="4893"/>
      <c r="Z23" s="964" t="str">
        <f>Q23</f>
        <v>交通便捷度</v>
      </c>
      <c r="AA23" s="961">
        <f t="shared" si="3"/>
        <v>1</v>
      </c>
      <c r="AB23" s="961">
        <f t="shared" si="4"/>
        <v>1</v>
      </c>
      <c r="AC23" s="961">
        <f t="shared" si="5"/>
        <v>1</v>
      </c>
    </row>
    <row r="24" spans="1:29" ht="15">
      <c r="A24" s="3342"/>
      <c r="B24" s="3040"/>
      <c r="C24" s="3061" t="s">
        <v>3611</v>
      </c>
      <c r="D24" s="3136"/>
      <c r="E24" s="3090" t="s">
        <v>3612</v>
      </c>
      <c r="F24" s="4029"/>
      <c r="G24" s="3090" t="s">
        <v>3611</v>
      </c>
      <c r="H24" s="4029"/>
      <c r="I24" s="3096" t="s">
        <v>3611</v>
      </c>
      <c r="J24" s="4029"/>
      <c r="K24" s="3399"/>
      <c r="L24" s="2153"/>
      <c r="M24" s="2147"/>
      <c r="N24" s="2147"/>
      <c r="O24" s="2205"/>
      <c r="P24" s="4973"/>
      <c r="Q24" s="3277"/>
      <c r="R24" s="4075"/>
      <c r="S24" s="4078"/>
      <c r="T24" s="4075"/>
      <c r="U24" s="4078"/>
      <c r="V24" s="4075"/>
      <c r="W24" s="4078"/>
      <c r="X24" s="963"/>
      <c r="Y24" s="4893"/>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c r="L25" s="2153"/>
      <c r="M25" s="2147"/>
      <c r="N25" s="2147"/>
      <c r="O25" s="2205"/>
      <c r="P25" s="4973"/>
      <c r="Q25" s="3277" t="str">
        <f t="shared" ref="Q25:Q39" si="8">B25</f>
        <v>区域土地利用方向</v>
      </c>
      <c r="R25" s="4075" t="s">
        <v>13</v>
      </c>
      <c r="S25" s="4078">
        <f>F25</f>
        <v>100</v>
      </c>
      <c r="T25" s="4075" t="s">
        <v>13</v>
      </c>
      <c r="U25" s="4078">
        <f>H25</f>
        <v>100</v>
      </c>
      <c r="V25" s="4075" t="s">
        <v>13</v>
      </c>
      <c r="W25" s="4078">
        <f>J25</f>
        <v>100</v>
      </c>
      <c r="X25" s="963"/>
      <c r="Y25" s="4893"/>
      <c r="Z25" s="964" t="str">
        <f>Q25</f>
        <v>区域土地利用方向</v>
      </c>
      <c r="AA25" s="961">
        <f t="shared" si="3"/>
        <v>1</v>
      </c>
      <c r="AB25" s="961">
        <f t="shared" si="4"/>
        <v>1</v>
      </c>
      <c r="AC25" s="961">
        <f t="shared" si="5"/>
        <v>1</v>
      </c>
    </row>
    <row r="26" spans="1:29" ht="15">
      <c r="A26" s="3346"/>
      <c r="B26" s="3039"/>
      <c r="C26" s="3078"/>
      <c r="D26" s="3135"/>
      <c r="E26" s="3090"/>
      <c r="F26" s="4029"/>
      <c r="G26" s="3096"/>
      <c r="H26" s="4029"/>
      <c r="I26" s="3096"/>
      <c r="J26" s="4029"/>
      <c r="K26" s="3400"/>
      <c r="L26" s="2153"/>
      <c r="M26" s="2147"/>
      <c r="N26" s="2147"/>
      <c r="O26" s="2205"/>
      <c r="P26" s="4973"/>
      <c r="Q26" s="3277"/>
      <c r="R26" s="4075"/>
      <c r="S26" s="4078"/>
      <c r="T26" s="4075"/>
      <c r="U26" s="4078"/>
      <c r="V26" s="4075"/>
      <c r="W26" s="4078"/>
      <c r="X26" s="963"/>
      <c r="Y26" s="4893"/>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c r="L27" s="2153"/>
      <c r="M27" s="2147"/>
      <c r="N27" s="2147"/>
      <c r="O27" s="2205"/>
      <c r="P27" s="4973"/>
      <c r="Q27" s="3277" t="str">
        <f t="shared" si="8"/>
        <v>自然及人文环境状况</v>
      </c>
      <c r="R27" s="4075" t="s">
        <v>13</v>
      </c>
      <c r="S27" s="4078">
        <f>F27</f>
        <v>100</v>
      </c>
      <c r="T27" s="4075" t="s">
        <v>13</v>
      </c>
      <c r="U27" s="4078">
        <f>H27</f>
        <v>100</v>
      </c>
      <c r="V27" s="4075" t="s">
        <v>13</v>
      </c>
      <c r="W27" s="4078">
        <f>J27</f>
        <v>100</v>
      </c>
      <c r="X27" s="963"/>
      <c r="Y27" s="4893"/>
      <c r="Z27" s="964" t="str">
        <f>Q27</f>
        <v>自然及人文环境状况</v>
      </c>
      <c r="AA27" s="961">
        <f t="shared" si="3"/>
        <v>1</v>
      </c>
      <c r="AB27" s="961">
        <f t="shared" si="4"/>
        <v>1</v>
      </c>
      <c r="AC27" s="961">
        <f t="shared" si="5"/>
        <v>1</v>
      </c>
    </row>
    <row r="28" spans="1:29" ht="15">
      <c r="A28" s="3346"/>
      <c r="B28" s="3039"/>
      <c r="C28" s="3061"/>
      <c r="D28" s="3135"/>
      <c r="E28" s="3113"/>
      <c r="F28" s="4029"/>
      <c r="G28" s="3113"/>
      <c r="H28" s="4029"/>
      <c r="I28" s="3061"/>
      <c r="J28" s="4029"/>
      <c r="K28" s="3399"/>
      <c r="L28" s="2153"/>
      <c r="M28" s="2147"/>
      <c r="N28" s="2147"/>
      <c r="O28" s="2205"/>
      <c r="P28" s="4973"/>
      <c r="Q28" s="3277"/>
      <c r="R28" s="4075"/>
      <c r="S28" s="4078"/>
      <c r="T28" s="4075"/>
      <c r="U28" s="4078"/>
      <c r="V28" s="4075"/>
      <c r="W28" s="4078"/>
      <c r="X28" s="963"/>
      <c r="Y28" s="4893"/>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100</v>
      </c>
      <c r="G29" s="3087"/>
      <c r="H29" s="4030">
        <f>SUMIF(101:101,G30,102:102)-SUMIF(101:101,C30,102:102)+100</f>
        <v>100</v>
      </c>
      <c r="I29" s="3093"/>
      <c r="J29" s="4030">
        <f>SUMIF(101:101,I30,102:102)-SUMIF(101:101,C30,102:102)+100</f>
        <v>100</v>
      </c>
      <c r="K29" s="3398"/>
      <c r="L29" s="2148"/>
      <c r="M29" s="2149"/>
      <c r="N29" s="2149"/>
      <c r="O29" s="2203"/>
      <c r="P29" s="4973"/>
      <c r="Q29" s="3274" t="str">
        <f t="shared" si="8"/>
        <v>公共配套设施</v>
      </c>
      <c r="R29" s="4074" t="s">
        <v>13</v>
      </c>
      <c r="S29" s="4077">
        <f>F29</f>
        <v>100</v>
      </c>
      <c r="T29" s="4074" t="s">
        <v>13</v>
      </c>
      <c r="U29" s="4077">
        <f>H29</f>
        <v>100</v>
      </c>
      <c r="V29" s="4074" t="s">
        <v>13</v>
      </c>
      <c r="W29" s="4077">
        <f>J29</f>
        <v>100</v>
      </c>
      <c r="X29" s="504"/>
      <c r="Y29" s="4893"/>
      <c r="Z29" s="28" t="str">
        <f>Q29</f>
        <v>公共配套设施</v>
      </c>
      <c r="AA29" s="961">
        <f>D29/F29</f>
        <v>1</v>
      </c>
      <c r="AB29" s="961">
        <f>D29/H29</f>
        <v>1</v>
      </c>
      <c r="AC29" s="961">
        <f>D29/J29</f>
        <v>1</v>
      </c>
    </row>
    <row r="30" spans="1:29" s="49" customFormat="1" ht="15">
      <c r="A30" s="3348"/>
      <c r="B30" s="3039"/>
      <c r="C30" s="3349" t="s">
        <v>3611</v>
      </c>
      <c r="D30" s="3135"/>
      <c r="E30" s="3113" t="s">
        <v>3612</v>
      </c>
      <c r="F30" s="4029"/>
      <c r="G30" s="3113" t="s">
        <v>3611</v>
      </c>
      <c r="H30" s="4029"/>
      <c r="I30" s="3061" t="s">
        <v>3611</v>
      </c>
      <c r="J30" s="4029"/>
      <c r="K30" s="3399"/>
      <c r="L30" s="2148"/>
      <c r="M30" s="2149"/>
      <c r="N30" s="2149"/>
      <c r="O30" s="2203"/>
      <c r="P30" s="4973"/>
      <c r="Q30" s="3274"/>
      <c r="R30" s="4074"/>
      <c r="S30" s="4077"/>
      <c r="T30" s="4074"/>
      <c r="U30" s="4077"/>
      <c r="V30" s="4074"/>
      <c r="W30" s="4077"/>
      <c r="X30" s="504"/>
      <c r="Y30" s="4893"/>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c r="L31" s="2148"/>
      <c r="M31" s="2149"/>
      <c r="N31" s="2149"/>
      <c r="O31" s="2203"/>
      <c r="P31" s="4973"/>
      <c r="Q31" s="3274" t="str">
        <f t="shared" ref="Q31" si="9">B31</f>
        <v>基础设施水平</v>
      </c>
      <c r="R31" s="4074" t="s">
        <v>13</v>
      </c>
      <c r="S31" s="4077">
        <f>F31</f>
        <v>100</v>
      </c>
      <c r="T31" s="4074" t="s">
        <v>13</v>
      </c>
      <c r="U31" s="4077">
        <f>H31</f>
        <v>100</v>
      </c>
      <c r="V31" s="4074" t="s">
        <v>13</v>
      </c>
      <c r="W31" s="4077">
        <f>J31</f>
        <v>100</v>
      </c>
      <c r="X31" s="504"/>
      <c r="Y31" s="4893"/>
      <c r="Z31" s="28" t="str">
        <f>Q31</f>
        <v>基础设施水平</v>
      </c>
      <c r="AA31" s="961">
        <f>D31/F31</f>
        <v>1</v>
      </c>
      <c r="AB31" s="961">
        <f>D31/H31</f>
        <v>1</v>
      </c>
      <c r="AC31" s="961">
        <f>D31/J31</f>
        <v>1</v>
      </c>
    </row>
    <row r="32" spans="1:29" s="49" customFormat="1" ht="15">
      <c r="A32" s="3348"/>
      <c r="B32" s="3039"/>
      <c r="C32" s="3349"/>
      <c r="D32" s="3135"/>
      <c r="E32" s="3365"/>
      <c r="F32" s="4029"/>
      <c r="G32" s="3365"/>
      <c r="H32" s="4029"/>
      <c r="I32" s="3365"/>
      <c r="J32" s="4029"/>
      <c r="K32" s="3399"/>
      <c r="L32" s="2148"/>
      <c r="M32" s="2149"/>
      <c r="N32" s="2149"/>
      <c r="O32" s="2203"/>
      <c r="P32" s="4973"/>
      <c r="Q32" s="3274"/>
      <c r="R32" s="4074"/>
      <c r="S32" s="4077"/>
      <c r="T32" s="4074"/>
      <c r="U32" s="4077"/>
      <c r="V32" s="4074"/>
      <c r="W32" s="4077"/>
      <c r="X32" s="504"/>
      <c r="Y32" s="4893"/>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97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93"/>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973"/>
      <c r="Q34" s="3277" t="str">
        <f t="shared" si="8"/>
        <v>毗邻道路的类型与等级</v>
      </c>
      <c r="R34" s="4075" t="s">
        <v>13</v>
      </c>
      <c r="S34" s="4078">
        <f t="shared" si="10"/>
        <v>100</v>
      </c>
      <c r="T34" s="4075" t="s">
        <v>13</v>
      </c>
      <c r="U34" s="4078">
        <f t="shared" si="11"/>
        <v>100</v>
      </c>
      <c r="V34" s="4075" t="s">
        <v>13</v>
      </c>
      <c r="W34" s="4078">
        <f t="shared" si="12"/>
        <v>100</v>
      </c>
      <c r="X34" s="963"/>
      <c r="Y34" s="4893"/>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973"/>
      <c r="Q35" s="3277"/>
      <c r="R35" s="4075"/>
      <c r="S35" s="4078"/>
      <c r="T35" s="4075"/>
      <c r="U35" s="4078"/>
      <c r="V35" s="4075"/>
      <c r="W35" s="4078"/>
      <c r="X35" s="963"/>
      <c r="Y35" s="4893"/>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973"/>
      <c r="Q36" s="3277" t="str">
        <f t="shared" si="8"/>
        <v>土地级别</v>
      </c>
      <c r="R36" s="4075" t="s">
        <v>13</v>
      </c>
      <c r="S36" s="4078">
        <f t="shared" si="10"/>
        <v>100</v>
      </c>
      <c r="T36" s="4075" t="s">
        <v>13</v>
      </c>
      <c r="U36" s="4078">
        <f t="shared" si="11"/>
        <v>100</v>
      </c>
      <c r="V36" s="4075" t="s">
        <v>13</v>
      </c>
      <c r="W36" s="4078">
        <f t="shared" si="12"/>
        <v>100</v>
      </c>
      <c r="X36" s="963"/>
      <c r="Y36" s="4893"/>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973"/>
      <c r="Q37" s="3277">
        <f t="shared" si="8"/>
        <v>111</v>
      </c>
      <c r="R37" s="4075" t="s">
        <v>13</v>
      </c>
      <c r="S37" s="4078">
        <f t="shared" si="10"/>
        <v>100</v>
      </c>
      <c r="T37" s="4075" t="s">
        <v>13</v>
      </c>
      <c r="U37" s="4078">
        <f t="shared" si="11"/>
        <v>100</v>
      </c>
      <c r="V37" s="4075" t="s">
        <v>13</v>
      </c>
      <c r="W37" s="4078">
        <f t="shared" si="12"/>
        <v>100</v>
      </c>
      <c r="X37" s="963"/>
      <c r="Y37" s="4893"/>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974" t="s">
        <v>1603</v>
      </c>
      <c r="Q38" s="3277">
        <f t="shared" si="8"/>
        <v>111</v>
      </c>
      <c r="R38" s="4075" t="s">
        <v>13</v>
      </c>
      <c r="S38" s="4078">
        <f t="shared" si="10"/>
        <v>100</v>
      </c>
      <c r="T38" s="4075" t="s">
        <v>13</v>
      </c>
      <c r="U38" s="4078">
        <f t="shared" si="11"/>
        <v>100</v>
      </c>
      <c r="V38" s="4075" t="s">
        <v>13</v>
      </c>
      <c r="W38" s="4078">
        <f t="shared" si="12"/>
        <v>100</v>
      </c>
      <c r="X38" s="963"/>
      <c r="Y38" s="4897"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975"/>
      <c r="Q39" s="3277">
        <f t="shared" si="8"/>
        <v>111</v>
      </c>
      <c r="R39" s="4076" t="s">
        <v>13</v>
      </c>
      <c r="S39" s="4079">
        <f t="shared" si="10"/>
        <v>100</v>
      </c>
      <c r="T39" s="4076" t="s">
        <v>13</v>
      </c>
      <c r="U39" s="4079">
        <f t="shared" si="11"/>
        <v>100</v>
      </c>
      <c r="V39" s="4076" t="s">
        <v>13</v>
      </c>
      <c r="W39" s="4079">
        <f t="shared" si="12"/>
        <v>100</v>
      </c>
      <c r="X39" s="507"/>
      <c r="Y39" s="4897"/>
      <c r="Z39" s="508">
        <f t="shared" si="13"/>
        <v>111</v>
      </c>
      <c r="AA39" s="961">
        <f t="shared" si="3"/>
        <v>1</v>
      </c>
      <c r="AB39" s="961">
        <f t="shared" si="4"/>
        <v>1</v>
      </c>
      <c r="AC39" s="961">
        <f t="shared" si="5"/>
        <v>1</v>
      </c>
    </row>
    <row r="40" spans="1:29" ht="15">
      <c r="A40" s="3356" t="s">
        <v>1601</v>
      </c>
      <c r="B40" s="3039" t="s">
        <v>1781</v>
      </c>
      <c r="C40" s="3357"/>
      <c r="D40" s="3139">
        <v>100</v>
      </c>
      <c r="E40" s="3357"/>
      <c r="F40" s="4039" t="e">
        <f>LOOKUP(E40,118:118,119:119)-LOOKUP(C40,118:118,119:119)+100</f>
        <v>#N/A</v>
      </c>
      <c r="G40" s="3357"/>
      <c r="H40" s="4039" t="e">
        <f>LOOKUP(G40,118:118,119:119)-LOOKUP(C40,118:118,119:119)+100</f>
        <v>#N/A</v>
      </c>
      <c r="I40" s="3370"/>
      <c r="J40" s="4039" t="e">
        <f>LOOKUP(I40,118:118,119:119)-LOOKUP(C40,118:118,119:119)+100</f>
        <v>#N/A</v>
      </c>
      <c r="K40" s="3100"/>
      <c r="L40" s="2153"/>
      <c r="M40" s="2147"/>
      <c r="N40" s="2147"/>
      <c r="O40" s="2205"/>
      <c r="P40" s="4975"/>
      <c r="Q40" s="3277" t="str">
        <f>B40</f>
        <v>宗地面积</v>
      </c>
      <c r="R40" s="4075" t="s">
        <v>13</v>
      </c>
      <c r="S40" s="4078" t="e">
        <f t="shared" si="10"/>
        <v>#N/A</v>
      </c>
      <c r="T40" s="4075" t="s">
        <v>13</v>
      </c>
      <c r="U40" s="4078" t="e">
        <f t="shared" si="11"/>
        <v>#N/A</v>
      </c>
      <c r="V40" s="4075" t="s">
        <v>13</v>
      </c>
      <c r="W40" s="4078" t="e">
        <f t="shared" si="12"/>
        <v>#N/A</v>
      </c>
      <c r="X40" s="963"/>
      <c r="Y40" s="4897"/>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975"/>
      <c r="Q41" s="3277" t="str">
        <f t="shared" ref="Q41:Q47" si="14">B41</f>
        <v>宗地形状</v>
      </c>
      <c r="R41" s="4075" t="s">
        <v>13</v>
      </c>
      <c r="S41" s="4078">
        <f t="shared" si="10"/>
        <v>100</v>
      </c>
      <c r="T41" s="4075" t="s">
        <v>13</v>
      </c>
      <c r="U41" s="4078">
        <f t="shared" si="11"/>
        <v>100</v>
      </c>
      <c r="V41" s="4075" t="s">
        <v>13</v>
      </c>
      <c r="W41" s="4078">
        <f t="shared" si="12"/>
        <v>100</v>
      </c>
      <c r="X41" s="963"/>
      <c r="Y41" s="4897"/>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975"/>
      <c r="Q42" s="3277" t="str">
        <f t="shared" si="14"/>
        <v>临街宽度及深度</v>
      </c>
      <c r="R42" s="4075" t="s">
        <v>13</v>
      </c>
      <c r="S42" s="4078">
        <f t="shared" si="10"/>
        <v>100</v>
      </c>
      <c r="T42" s="4075" t="s">
        <v>13</v>
      </c>
      <c r="U42" s="4078">
        <f t="shared" si="11"/>
        <v>100</v>
      </c>
      <c r="V42" s="4075" t="s">
        <v>13</v>
      </c>
      <c r="W42" s="4078">
        <f t="shared" si="12"/>
        <v>100</v>
      </c>
      <c r="X42" s="963"/>
      <c r="Y42" s="4897"/>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975"/>
      <c r="Q43" s="3277" t="str">
        <f t="shared" si="14"/>
        <v>宗地开发程度</v>
      </c>
      <c r="R43" s="4074" t="s">
        <v>13</v>
      </c>
      <c r="S43" s="4077">
        <f t="shared" si="10"/>
        <v>100</v>
      </c>
      <c r="T43" s="4074" t="s">
        <v>13</v>
      </c>
      <c r="U43" s="4077">
        <f t="shared" si="11"/>
        <v>100</v>
      </c>
      <c r="V43" s="4074" t="s">
        <v>13</v>
      </c>
      <c r="W43" s="4077">
        <f t="shared" si="12"/>
        <v>100</v>
      </c>
      <c r="X43" s="504"/>
      <c r="Y43" s="4897"/>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975" t="s">
        <v>1603</v>
      </c>
      <c r="Q44" s="3277" t="str">
        <f t="shared" si="14"/>
        <v>工程地质条件</v>
      </c>
      <c r="R44" s="4075" t="s">
        <v>13</v>
      </c>
      <c r="S44" s="4078">
        <f t="shared" si="10"/>
        <v>100</v>
      </c>
      <c r="T44" s="4075" t="s">
        <v>13</v>
      </c>
      <c r="U44" s="4078">
        <f t="shared" si="11"/>
        <v>100</v>
      </c>
      <c r="V44" s="4075" t="s">
        <v>13</v>
      </c>
      <c r="W44" s="4078">
        <f t="shared" si="12"/>
        <v>100</v>
      </c>
      <c r="X44" s="963"/>
      <c r="Y44" s="4897"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975"/>
      <c r="Q45" s="3277">
        <f t="shared" si="14"/>
        <v>111</v>
      </c>
      <c r="R45" s="4075" t="s">
        <v>13</v>
      </c>
      <c r="S45" s="4078">
        <f t="shared" si="10"/>
        <v>100</v>
      </c>
      <c r="T45" s="4075" t="s">
        <v>13</v>
      </c>
      <c r="U45" s="4078">
        <f t="shared" si="11"/>
        <v>100</v>
      </c>
      <c r="V45" s="4075" t="s">
        <v>13</v>
      </c>
      <c r="W45" s="4078">
        <f t="shared" si="12"/>
        <v>100</v>
      </c>
      <c r="X45" s="963"/>
      <c r="Y45" s="4897"/>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975"/>
      <c r="Q46" s="3277">
        <f t="shared" si="14"/>
        <v>111</v>
      </c>
      <c r="R46" s="4075" t="s">
        <v>13</v>
      </c>
      <c r="S46" s="4078">
        <f t="shared" si="10"/>
        <v>100</v>
      </c>
      <c r="T46" s="4075" t="s">
        <v>13</v>
      </c>
      <c r="U46" s="4078">
        <f t="shared" si="11"/>
        <v>100</v>
      </c>
      <c r="V46" s="4075" t="s">
        <v>13</v>
      </c>
      <c r="W46" s="4078">
        <f t="shared" si="12"/>
        <v>100</v>
      </c>
      <c r="X46" s="963"/>
      <c r="Y46" s="4897"/>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975"/>
      <c r="Q47" s="3277">
        <f t="shared" si="14"/>
        <v>111</v>
      </c>
      <c r="R47" s="4076" t="s">
        <v>13</v>
      </c>
      <c r="S47" s="4079">
        <f t="shared" si="10"/>
        <v>100</v>
      </c>
      <c r="T47" s="4076" t="s">
        <v>13</v>
      </c>
      <c r="U47" s="4079">
        <f t="shared" si="11"/>
        <v>100</v>
      </c>
      <c r="V47" s="4076" t="s">
        <v>13</v>
      </c>
      <c r="W47" s="4079">
        <f t="shared" si="12"/>
        <v>100</v>
      </c>
      <c r="X47" s="507"/>
      <c r="Y47" s="4897"/>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890" t="str">
        <f>A48</f>
        <v>成交单价</v>
      </c>
      <c r="Q48" s="4890"/>
      <c r="R48" s="4891">
        <f>E48</f>
        <v>0</v>
      </c>
      <c r="S48" s="4891"/>
      <c r="T48" s="4891">
        <f>G48</f>
        <v>0</v>
      </c>
      <c r="U48" s="4891"/>
      <c r="V48" s="4891">
        <f>I48</f>
        <v>0</v>
      </c>
      <c r="W48" s="4891"/>
      <c r="X48" s="493"/>
      <c r="Y48" s="509"/>
      <c r="Z48" s="493"/>
      <c r="AA48" s="493"/>
      <c r="AB48" s="493"/>
      <c r="AC48" s="493"/>
    </row>
    <row r="49" spans="1:29" ht="15.75" thickBot="1">
      <c r="A49" s="295" t="s">
        <v>1700</v>
      </c>
      <c r="B49" s="456"/>
      <c r="C49" s="4051" t="e">
        <f>R50</f>
        <v>#DIV/0!</v>
      </c>
      <c r="D49" s="4197" t="s">
        <v>2042</v>
      </c>
      <c r="E49" s="4051" t="e">
        <f>R49</f>
        <v>#DIV/0!</v>
      </c>
      <c r="F49" s="3042"/>
      <c r="G49" s="4040" t="e">
        <f>T49</f>
        <v>#DIV/0!</v>
      </c>
      <c r="H49" s="3042"/>
      <c r="I49" s="4051" t="e">
        <f>V49</f>
        <v>#DIV/0!</v>
      </c>
      <c r="J49" s="3042"/>
      <c r="K49" s="3097">
        <f>F49+H49+J49</f>
        <v>0</v>
      </c>
      <c r="L49" s="2155"/>
      <c r="M49" s="2156"/>
      <c r="N49" s="2156"/>
      <c r="O49" s="2156"/>
      <c r="P49" s="4890" t="str">
        <f>A49</f>
        <v>比较价值（元/平方米）</v>
      </c>
      <c r="Q49" s="4890"/>
      <c r="R49" s="4891" t="e">
        <f>ROUND(PRODUCT(R48,AA9:AA47),0)</f>
        <v>#DIV/0!</v>
      </c>
      <c r="S49" s="4891"/>
      <c r="T49" s="4891" t="e">
        <f>ROUND(PRODUCT(T48,AB9:AB47),0)</f>
        <v>#DIV/0!</v>
      </c>
      <c r="U49" s="4891"/>
      <c r="V49" s="4891" t="e">
        <f>ROUND(PRODUCT(V48,AC9:AC47),0)</f>
        <v>#DIV/0!</v>
      </c>
      <c r="W49" s="4891"/>
      <c r="X49" s="493"/>
      <c r="Y49" s="493"/>
      <c r="Z49" s="493"/>
      <c r="AA49" s="493"/>
      <c r="AB49" s="493"/>
      <c r="AC49" s="493"/>
    </row>
    <row r="50" spans="1:29" ht="15.75" thickBot="1">
      <c r="A50" s="297" t="s">
        <v>1787</v>
      </c>
      <c r="B50" s="298"/>
      <c r="C50" s="4052" t="e">
        <f>R50</f>
        <v>#DIV/0!</v>
      </c>
      <c r="D50" s="299"/>
      <c r="E50" s="299"/>
      <c r="F50" s="299"/>
      <c r="G50" s="299"/>
      <c r="H50" s="299"/>
      <c r="I50" s="299"/>
      <c r="J50" s="299"/>
      <c r="K50" s="3375"/>
      <c r="L50" s="2155"/>
      <c r="M50" s="2156"/>
      <c r="N50" s="2156"/>
      <c r="O50" s="2156"/>
      <c r="P50" s="4887" t="str">
        <f>A50</f>
        <v>估价对象XX用房的比较价值（楼面单价，元/平方米）</v>
      </c>
      <c r="Q50" s="4888"/>
      <c r="R50" s="4889" t="e">
        <f>ROUND(IF(D49="简单平均",AVERAGE(R49:W49),R49*F49+T49*H49+V49*J49),0)</f>
        <v>#DIV/0!</v>
      </c>
      <c r="S50" s="4889"/>
      <c r="T50" s="4889"/>
      <c r="U50" s="4889"/>
      <c r="V50" s="4889"/>
      <c r="W50" s="4889"/>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49" t="s">
        <v>1794</v>
      </c>
      <c r="H57" s="4989"/>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2" t="e">
        <f>C50</f>
        <v>#DIV/0!</v>
      </c>
      <c r="C58" s="3073">
        <v>1</v>
      </c>
      <c r="D58" s="3314">
        <v>1</v>
      </c>
      <c r="E58" s="3313">
        <f>'数据-汇总表'!E8+'数据-汇总表'!E9</f>
        <v>0</v>
      </c>
      <c r="F58" s="3335" t="e">
        <f t="shared" ref="F58:F66" si="15">ROUND(B58*E58/10000,0)</f>
        <v>#DIV/0!</v>
      </c>
      <c r="G58" s="4990"/>
      <c r="H58" s="4977"/>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2"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2"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2"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2"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2"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2"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2"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2"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2">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3"/>
      <c r="L72" s="394"/>
      <c r="M72" s="823"/>
      <c r="N72" s="394"/>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06" t="s">
        <v>1677</v>
      </c>
      <c r="D6" s="4907"/>
      <c r="E6" s="4908" t="s">
        <v>1678</v>
      </c>
      <c r="F6" s="4909"/>
      <c r="G6" s="4906" t="s">
        <v>1679</v>
      </c>
      <c r="H6" s="4907"/>
      <c r="I6" s="4906" t="s">
        <v>1680</v>
      </c>
      <c r="J6" s="4907"/>
      <c r="K6" s="406"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29" ht="15">
      <c r="A7" s="3346"/>
      <c r="B7" s="3411"/>
      <c r="C7" s="4925" t="s">
        <v>1580</v>
      </c>
      <c r="D7" s="4926"/>
      <c r="E7" s="4940" t="s">
        <v>1581</v>
      </c>
      <c r="F7" s="4941"/>
      <c r="G7" s="4925" t="s">
        <v>1582</v>
      </c>
      <c r="H7" s="4926"/>
      <c r="I7" s="4925" t="s">
        <v>1583</v>
      </c>
      <c r="J7" s="4926"/>
      <c r="K7" s="406"/>
      <c r="L7" s="2146"/>
      <c r="M7" s="2147"/>
      <c r="N7" s="2147"/>
      <c r="O7" s="2147"/>
      <c r="P7" s="4912"/>
      <c r="Q7" s="4913"/>
      <c r="R7" s="4918"/>
      <c r="S7" s="4919"/>
      <c r="T7" s="4918"/>
      <c r="U7" s="4919"/>
      <c r="V7" s="4922"/>
      <c r="W7" s="4922"/>
      <c r="X7" s="963"/>
      <c r="Y7" s="4933"/>
      <c r="Z7" s="4934"/>
      <c r="AA7" s="4904"/>
      <c r="AB7" s="4904"/>
      <c r="AC7" s="4904"/>
    </row>
    <row r="8" spans="1:29" ht="15.75" thickBot="1">
      <c r="A8" s="3412"/>
      <c r="B8" s="3413"/>
      <c r="C8" s="4991" t="s">
        <v>1826</v>
      </c>
      <c r="D8" s="4992"/>
      <c r="E8" s="4993" t="s">
        <v>1826</v>
      </c>
      <c r="F8" s="4994"/>
      <c r="G8" s="4991" t="s">
        <v>1826</v>
      </c>
      <c r="H8" s="4992"/>
      <c r="I8" s="4991" t="s">
        <v>1826</v>
      </c>
      <c r="J8" s="4992"/>
      <c r="K8" s="406" t="s">
        <v>1585</v>
      </c>
      <c r="L8" s="2146"/>
      <c r="M8" s="2147"/>
      <c r="N8" s="2147"/>
      <c r="O8" s="2147"/>
      <c r="P8" s="4914"/>
      <c r="Q8" s="4915"/>
      <c r="R8" s="4918"/>
      <c r="S8" s="4919"/>
      <c r="T8" s="4920"/>
      <c r="U8" s="4921"/>
      <c r="V8" s="4922"/>
      <c r="W8" s="4922"/>
      <c r="X8" s="963"/>
      <c r="Y8" s="4935"/>
      <c r="Z8" s="4936"/>
      <c r="AA8" s="4905"/>
      <c r="AB8" s="4905"/>
      <c r="AC8" s="4905"/>
    </row>
    <row r="9" spans="1:29" s="49" customFormat="1" ht="15.75" thickBot="1">
      <c r="A9" s="3338" t="s">
        <v>1586</v>
      </c>
      <c r="B9" s="3339"/>
      <c r="C9" s="3052">
        <f>'数据-取费表'!B2</f>
        <v>46063</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927" t="s">
        <v>1590</v>
      </c>
      <c r="Q10" s="4928"/>
      <c r="R10" s="4074" t="s">
        <v>13</v>
      </c>
      <c r="S10" s="4077">
        <f t="shared" si="0"/>
        <v>0</v>
      </c>
      <c r="T10" s="4074" t="s">
        <v>13</v>
      </c>
      <c r="U10" s="4077">
        <f t="shared" si="1"/>
        <v>0</v>
      </c>
      <c r="V10" s="4074" t="s">
        <v>13</v>
      </c>
      <c r="W10" s="4077">
        <f t="shared" si="2"/>
        <v>0</v>
      </c>
      <c r="X10" s="504"/>
      <c r="Y10" s="4929" t="s">
        <v>1590</v>
      </c>
      <c r="Z10" s="4930"/>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t="e">
        <f>ROUND(100/'数据-取费表'!G16,1)</f>
        <v>#DIV/0!</v>
      </c>
      <c r="G12" s="3057"/>
      <c r="H12" s="4038" t="e">
        <f>ROUND(100/'数据-取费表'!G16,1)</f>
        <v>#DIV/0!</v>
      </c>
      <c r="I12" s="3057"/>
      <c r="J12" s="4038" t="e">
        <f>ROUND(100/'数据-取费表'!G16,1)</f>
        <v>#DIV/0!</v>
      </c>
      <c r="K12" s="450"/>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90"/>
      <c r="Q13" s="3274" t="str">
        <f t="shared" si="6"/>
        <v>容积率</v>
      </c>
      <c r="R13" s="4074" t="s">
        <v>13</v>
      </c>
      <c r="S13" s="4077" t="e">
        <f t="shared" si="0"/>
        <v>#N/A</v>
      </c>
      <c r="T13" s="4074" t="s">
        <v>13</v>
      </c>
      <c r="U13" s="4077" t="e">
        <f t="shared" si="1"/>
        <v>#N/A</v>
      </c>
      <c r="V13" s="4074" t="s">
        <v>13</v>
      </c>
      <c r="W13" s="4077" t="e">
        <f t="shared" si="2"/>
        <v>#N/A</v>
      </c>
      <c r="X13" s="504"/>
      <c r="Y13" s="4902"/>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972" t="s">
        <v>1598</v>
      </c>
      <c r="Q17" s="3277" t="str">
        <f t="shared" si="6"/>
        <v>产业集聚程度</v>
      </c>
      <c r="R17" s="4075" t="s">
        <v>13</v>
      </c>
      <c r="S17" s="4078">
        <f t="shared" si="0"/>
        <v>100</v>
      </c>
      <c r="T17" s="4075" t="s">
        <v>13</v>
      </c>
      <c r="U17" s="4078">
        <f t="shared" si="1"/>
        <v>100</v>
      </c>
      <c r="V17" s="4075" t="s">
        <v>13</v>
      </c>
      <c r="W17" s="4078">
        <f t="shared" si="2"/>
        <v>100</v>
      </c>
      <c r="X17" s="963"/>
      <c r="Y17" s="4892"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973"/>
      <c r="Q18" s="3277"/>
      <c r="R18" s="4075"/>
      <c r="S18" s="4078"/>
      <c r="T18" s="4075"/>
      <c r="U18" s="4078"/>
      <c r="V18" s="4075"/>
      <c r="W18" s="4078"/>
      <c r="X18" s="963"/>
      <c r="Y18" s="4893"/>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973"/>
      <c r="Q19" s="3277" t="str">
        <f>B19</f>
        <v>交通便捷度</v>
      </c>
      <c r="R19" s="4075" t="s">
        <v>13</v>
      </c>
      <c r="S19" s="4078">
        <f>F19</f>
        <v>100</v>
      </c>
      <c r="T19" s="4075" t="s">
        <v>13</v>
      </c>
      <c r="U19" s="4078">
        <f>H19</f>
        <v>100</v>
      </c>
      <c r="V19" s="4075" t="s">
        <v>13</v>
      </c>
      <c r="W19" s="4078">
        <f>J19</f>
        <v>100</v>
      </c>
      <c r="X19" s="963"/>
      <c r="Y19" s="4893"/>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973"/>
      <c r="Q20" s="3277"/>
      <c r="R20" s="4075"/>
      <c r="S20" s="4078"/>
      <c r="T20" s="4075"/>
      <c r="U20" s="4078"/>
      <c r="V20" s="4075"/>
      <c r="W20" s="4078"/>
      <c r="X20" s="963"/>
      <c r="Y20" s="4893"/>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973"/>
      <c r="Q21" s="3277" t="str">
        <f t="shared" ref="Q21:Q35" si="8">B21</f>
        <v>区域土地利用方向</v>
      </c>
      <c r="R21" s="4075" t="s">
        <v>13</v>
      </c>
      <c r="S21" s="4078">
        <f>F21</f>
        <v>100</v>
      </c>
      <c r="T21" s="4075" t="s">
        <v>13</v>
      </c>
      <c r="U21" s="4078">
        <f>H21</f>
        <v>100</v>
      </c>
      <c r="V21" s="4075" t="s">
        <v>13</v>
      </c>
      <c r="W21" s="4078">
        <f>J21</f>
        <v>100</v>
      </c>
      <c r="X21" s="963"/>
      <c r="Y21" s="4893"/>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973"/>
      <c r="Q22" s="3277"/>
      <c r="R22" s="4075"/>
      <c r="S22" s="4078"/>
      <c r="T22" s="4075"/>
      <c r="U22" s="4078"/>
      <c r="V22" s="4075"/>
      <c r="W22" s="4078"/>
      <c r="X22" s="963"/>
      <c r="Y22" s="4893"/>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973"/>
      <c r="Q23" s="3277" t="str">
        <f t="shared" si="8"/>
        <v>环境状况</v>
      </c>
      <c r="R23" s="4075" t="s">
        <v>13</v>
      </c>
      <c r="S23" s="4078">
        <f>F23</f>
        <v>100</v>
      </c>
      <c r="T23" s="4075" t="s">
        <v>13</v>
      </c>
      <c r="U23" s="4078">
        <f>H23</f>
        <v>100</v>
      </c>
      <c r="V23" s="4075" t="s">
        <v>13</v>
      </c>
      <c r="W23" s="4078">
        <f>J23</f>
        <v>100</v>
      </c>
      <c r="X23" s="963"/>
      <c r="Y23" s="4893"/>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973"/>
      <c r="Q24" s="3277"/>
      <c r="R24" s="4075"/>
      <c r="S24" s="4078"/>
      <c r="T24" s="4075"/>
      <c r="U24" s="4078"/>
      <c r="V24" s="4075"/>
      <c r="W24" s="4078"/>
      <c r="X24" s="963"/>
      <c r="Y24" s="4893"/>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973"/>
      <c r="Q25" s="3274" t="str">
        <f t="shared" si="8"/>
        <v>公共配套设施</v>
      </c>
      <c r="R25" s="4074" t="s">
        <v>13</v>
      </c>
      <c r="S25" s="4077">
        <f>F25</f>
        <v>100</v>
      </c>
      <c r="T25" s="4074" t="s">
        <v>13</v>
      </c>
      <c r="U25" s="4077">
        <f>H25</f>
        <v>100</v>
      </c>
      <c r="V25" s="4074" t="s">
        <v>13</v>
      </c>
      <c r="W25" s="4077">
        <f>J25</f>
        <v>100</v>
      </c>
      <c r="X25" s="504"/>
      <c r="Y25" s="4893"/>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973"/>
      <c r="Q26" s="3274"/>
      <c r="R26" s="4074"/>
      <c r="S26" s="4077"/>
      <c r="T26" s="4074"/>
      <c r="U26" s="4077"/>
      <c r="V26" s="4074"/>
      <c r="W26" s="4077"/>
      <c r="X26" s="504"/>
      <c r="Y26" s="4893"/>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973"/>
      <c r="Q27" s="3274" t="str">
        <f t="shared" ref="Q27" si="9">B27</f>
        <v>基础设施水平</v>
      </c>
      <c r="R27" s="4074" t="s">
        <v>13</v>
      </c>
      <c r="S27" s="4077">
        <f>F27</f>
        <v>100</v>
      </c>
      <c r="T27" s="4074" t="s">
        <v>13</v>
      </c>
      <c r="U27" s="4077">
        <f>H27</f>
        <v>100</v>
      </c>
      <c r="V27" s="4074" t="s">
        <v>13</v>
      </c>
      <c r="W27" s="4077">
        <f>J27</f>
        <v>100</v>
      </c>
      <c r="X27" s="504"/>
      <c r="Y27" s="4893"/>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973"/>
      <c r="Q28" s="3274"/>
      <c r="R28" s="4074"/>
      <c r="S28" s="4077"/>
      <c r="T28" s="4074"/>
      <c r="U28" s="4077"/>
      <c r="V28" s="4074"/>
      <c r="W28" s="4077"/>
      <c r="X28" s="504"/>
      <c r="Y28" s="4893"/>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97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93"/>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973"/>
      <c r="Q30" s="3277" t="str">
        <f t="shared" si="8"/>
        <v>毗邻道路的类型与等级</v>
      </c>
      <c r="R30" s="4075" t="s">
        <v>13</v>
      </c>
      <c r="S30" s="4078">
        <f t="shared" si="10"/>
        <v>100</v>
      </c>
      <c r="T30" s="4075" t="s">
        <v>13</v>
      </c>
      <c r="U30" s="4078">
        <f t="shared" si="11"/>
        <v>100</v>
      </c>
      <c r="V30" s="4075" t="s">
        <v>13</v>
      </c>
      <c r="W30" s="4078">
        <f t="shared" si="12"/>
        <v>100</v>
      </c>
      <c r="X30" s="963"/>
      <c r="Y30" s="4893"/>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973"/>
      <c r="Q31" s="3277"/>
      <c r="R31" s="4075"/>
      <c r="S31" s="4078"/>
      <c r="T31" s="4075"/>
      <c r="U31" s="4078"/>
      <c r="V31" s="4075"/>
      <c r="W31" s="4078"/>
      <c r="X31" s="963"/>
      <c r="Y31" s="4893"/>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973"/>
      <c r="Q32" s="3277" t="str">
        <f t="shared" si="8"/>
        <v>土地级别</v>
      </c>
      <c r="R32" s="4075" t="s">
        <v>13</v>
      </c>
      <c r="S32" s="4078">
        <f t="shared" si="10"/>
        <v>100</v>
      </c>
      <c r="T32" s="4075" t="s">
        <v>13</v>
      </c>
      <c r="U32" s="4078">
        <f t="shared" si="11"/>
        <v>100</v>
      </c>
      <c r="V32" s="4075" t="s">
        <v>13</v>
      </c>
      <c r="W32" s="4078">
        <f t="shared" si="12"/>
        <v>100</v>
      </c>
      <c r="X32" s="963"/>
      <c r="Y32" s="4893"/>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973"/>
      <c r="Q33" s="3277">
        <f t="shared" si="8"/>
        <v>111</v>
      </c>
      <c r="R33" s="4075" t="s">
        <v>13</v>
      </c>
      <c r="S33" s="4078">
        <f t="shared" si="10"/>
        <v>100</v>
      </c>
      <c r="T33" s="4075" t="s">
        <v>13</v>
      </c>
      <c r="U33" s="4078">
        <f t="shared" si="11"/>
        <v>100</v>
      </c>
      <c r="V33" s="4075" t="s">
        <v>13</v>
      </c>
      <c r="W33" s="4078">
        <f t="shared" si="12"/>
        <v>100</v>
      </c>
      <c r="X33" s="963"/>
      <c r="Y33" s="4893"/>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974" t="s">
        <v>1603</v>
      </c>
      <c r="Q34" s="3277">
        <f t="shared" si="8"/>
        <v>111</v>
      </c>
      <c r="R34" s="4075" t="s">
        <v>13</v>
      </c>
      <c r="S34" s="4078">
        <f t="shared" si="10"/>
        <v>100</v>
      </c>
      <c r="T34" s="4075" t="s">
        <v>13</v>
      </c>
      <c r="U34" s="4078">
        <f t="shared" si="11"/>
        <v>100</v>
      </c>
      <c r="V34" s="4075" t="s">
        <v>13</v>
      </c>
      <c r="W34" s="4078">
        <f t="shared" si="12"/>
        <v>100</v>
      </c>
      <c r="X34" s="963"/>
      <c r="Y34" s="4897"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975"/>
      <c r="Q35" s="3277">
        <f t="shared" si="8"/>
        <v>111</v>
      </c>
      <c r="R35" s="4076" t="s">
        <v>13</v>
      </c>
      <c r="S35" s="4079">
        <f t="shared" si="10"/>
        <v>100</v>
      </c>
      <c r="T35" s="4076" t="s">
        <v>13</v>
      </c>
      <c r="U35" s="4079">
        <f t="shared" si="11"/>
        <v>100</v>
      </c>
      <c r="V35" s="4076" t="s">
        <v>13</v>
      </c>
      <c r="W35" s="4079">
        <f t="shared" si="12"/>
        <v>100</v>
      </c>
      <c r="X35" s="507"/>
      <c r="Y35" s="4897"/>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975"/>
      <c r="Q36" s="3277" t="str">
        <f>B36</f>
        <v>宗地面积</v>
      </c>
      <c r="R36" s="4075" t="s">
        <v>13</v>
      </c>
      <c r="S36" s="4078" t="e">
        <f t="shared" si="10"/>
        <v>#N/A</v>
      </c>
      <c r="T36" s="4075" t="s">
        <v>13</v>
      </c>
      <c r="U36" s="4078" t="e">
        <f t="shared" si="11"/>
        <v>#N/A</v>
      </c>
      <c r="V36" s="4075" t="s">
        <v>13</v>
      </c>
      <c r="W36" s="4078" t="e">
        <f t="shared" si="12"/>
        <v>#N/A</v>
      </c>
      <c r="X36" s="963"/>
      <c r="Y36" s="4897"/>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975"/>
      <c r="Q37" s="3277" t="str">
        <f t="shared" ref="Q37:Q42" si="14">B37</f>
        <v>宗地形状</v>
      </c>
      <c r="R37" s="4075" t="s">
        <v>13</v>
      </c>
      <c r="S37" s="4078">
        <f t="shared" si="10"/>
        <v>100</v>
      </c>
      <c r="T37" s="4075" t="s">
        <v>13</v>
      </c>
      <c r="U37" s="4078">
        <f t="shared" si="11"/>
        <v>100</v>
      </c>
      <c r="V37" s="4075" t="s">
        <v>13</v>
      </c>
      <c r="W37" s="4078">
        <f t="shared" si="12"/>
        <v>100</v>
      </c>
      <c r="X37" s="963"/>
      <c r="Y37" s="4897"/>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975"/>
      <c r="Q38" s="3277" t="str">
        <f t="shared" si="14"/>
        <v>宗地开发程度</v>
      </c>
      <c r="R38" s="4074" t="s">
        <v>13</v>
      </c>
      <c r="S38" s="4077">
        <f t="shared" si="10"/>
        <v>100</v>
      </c>
      <c r="T38" s="4074" t="s">
        <v>13</v>
      </c>
      <c r="U38" s="4077">
        <f t="shared" si="11"/>
        <v>100</v>
      </c>
      <c r="V38" s="4074" t="s">
        <v>13</v>
      </c>
      <c r="W38" s="4077">
        <f t="shared" si="12"/>
        <v>100</v>
      </c>
      <c r="X38" s="504"/>
      <c r="Y38" s="4897"/>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975" t="s">
        <v>1603</v>
      </c>
      <c r="Q39" s="3277" t="str">
        <f t="shared" si="14"/>
        <v>工程地质条件</v>
      </c>
      <c r="R39" s="4075" t="s">
        <v>13</v>
      </c>
      <c r="S39" s="4078">
        <f t="shared" si="10"/>
        <v>100</v>
      </c>
      <c r="T39" s="4075" t="s">
        <v>13</v>
      </c>
      <c r="U39" s="4078">
        <f t="shared" si="11"/>
        <v>100</v>
      </c>
      <c r="V39" s="4075" t="s">
        <v>13</v>
      </c>
      <c r="W39" s="4078">
        <f t="shared" si="12"/>
        <v>100</v>
      </c>
      <c r="X39" s="963"/>
      <c r="Y39" s="4897"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975"/>
      <c r="Q40" s="3277">
        <f t="shared" si="14"/>
        <v>111</v>
      </c>
      <c r="R40" s="4075" t="s">
        <v>13</v>
      </c>
      <c r="S40" s="4078">
        <f t="shared" si="10"/>
        <v>100</v>
      </c>
      <c r="T40" s="4075" t="s">
        <v>13</v>
      </c>
      <c r="U40" s="4078">
        <f t="shared" si="11"/>
        <v>100</v>
      </c>
      <c r="V40" s="4075" t="s">
        <v>13</v>
      </c>
      <c r="W40" s="4078">
        <f t="shared" si="12"/>
        <v>100</v>
      </c>
      <c r="X40" s="963"/>
      <c r="Y40" s="4897"/>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975"/>
      <c r="Q41" s="3277">
        <f t="shared" si="14"/>
        <v>111</v>
      </c>
      <c r="R41" s="4075" t="s">
        <v>13</v>
      </c>
      <c r="S41" s="4078">
        <f t="shared" si="10"/>
        <v>100</v>
      </c>
      <c r="T41" s="4075" t="s">
        <v>13</v>
      </c>
      <c r="U41" s="4078">
        <f t="shared" si="11"/>
        <v>100</v>
      </c>
      <c r="V41" s="4075" t="s">
        <v>13</v>
      </c>
      <c r="W41" s="4078">
        <f t="shared" si="12"/>
        <v>100</v>
      </c>
      <c r="X41" s="963"/>
      <c r="Y41" s="4897"/>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975"/>
      <c r="Q42" s="3277">
        <f t="shared" si="14"/>
        <v>111</v>
      </c>
      <c r="R42" s="4076" t="s">
        <v>13</v>
      </c>
      <c r="S42" s="4079">
        <f t="shared" si="10"/>
        <v>100</v>
      </c>
      <c r="T42" s="4076" t="s">
        <v>13</v>
      </c>
      <c r="U42" s="4079">
        <f t="shared" si="11"/>
        <v>100</v>
      </c>
      <c r="V42" s="4076" t="s">
        <v>13</v>
      </c>
      <c r="W42" s="4079">
        <f t="shared" si="12"/>
        <v>100</v>
      </c>
      <c r="X42" s="507"/>
      <c r="Y42" s="4897"/>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890" t="str">
        <f>A43</f>
        <v>成交单价</v>
      </c>
      <c r="Q43" s="4890"/>
      <c r="R43" s="4891">
        <f>E43</f>
        <v>0</v>
      </c>
      <c r="S43" s="4891"/>
      <c r="T43" s="4891">
        <f>G43</f>
        <v>0</v>
      </c>
      <c r="U43" s="4891"/>
      <c r="V43" s="4891">
        <f>I43</f>
        <v>0</v>
      </c>
      <c r="W43" s="4891"/>
      <c r="X43" s="493"/>
      <c r="Y43" s="509"/>
      <c r="Z43" s="493"/>
      <c r="AA43" s="493"/>
      <c r="AB43" s="493"/>
      <c r="AC43" s="493"/>
    </row>
    <row r="44" spans="1:31" ht="15.75" thickBot="1">
      <c r="A44" s="295" t="s">
        <v>1700</v>
      </c>
      <c r="B44" s="456"/>
      <c r="C44" s="4051" t="e">
        <f>R45</f>
        <v>#DIV/0!</v>
      </c>
      <c r="D44" s="4200" t="s">
        <v>2042</v>
      </c>
      <c r="E44" s="4051" t="e">
        <f>R44</f>
        <v>#DIV/0!</v>
      </c>
      <c r="F44" s="3042"/>
      <c r="G44" s="4040" t="e">
        <f>T44</f>
        <v>#DIV/0!</v>
      </c>
      <c r="H44" s="3042"/>
      <c r="I44" s="4051" t="e">
        <f>V44</f>
        <v>#DIV/0!</v>
      </c>
      <c r="J44" s="3042"/>
      <c r="K44" s="3097">
        <f>F44+H44+J44</f>
        <v>0</v>
      </c>
      <c r="L44" s="2155"/>
      <c r="M44" s="2147"/>
      <c r="N44" s="2147"/>
      <c r="O44" s="2156"/>
      <c r="P44" s="4890" t="str">
        <f>A44</f>
        <v>比较价值（元/平方米）</v>
      </c>
      <c r="Q44" s="4890"/>
      <c r="R44" s="4891" t="e">
        <f>ROUND(PRODUCT(R43,AA9:AA42),0)</f>
        <v>#DIV/0!</v>
      </c>
      <c r="S44" s="4891"/>
      <c r="T44" s="4891" t="e">
        <f>ROUND(PRODUCT(T43,AB9:AB42),0)</f>
        <v>#DIV/0!</v>
      </c>
      <c r="U44" s="4891"/>
      <c r="V44" s="4891" t="e">
        <f>ROUND(PRODUCT(V43,AC9:AC42),0)</f>
        <v>#DIV/0!</v>
      </c>
      <c r="W44" s="4891"/>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887" t="str">
        <f>A45</f>
        <v>估价对象XX用房的比较价值（楼面单价，元/平方米）</v>
      </c>
      <c r="Q45" s="4888"/>
      <c r="R45" s="4889" t="e">
        <f>ROUND(IF(D44="简单平均",AVERAGE(R44:W44),R44*F44+T44*H44+V44*J44),0)</f>
        <v>#DIV/0!</v>
      </c>
      <c r="S45" s="4889"/>
      <c r="T45" s="4889"/>
      <c r="U45" s="4889"/>
      <c r="V45" s="4889"/>
      <c r="W45" s="488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49" t="s">
        <v>1794</v>
      </c>
      <c r="H52" s="4989"/>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2" t="e">
        <f>C45</f>
        <v>#DIV/0!</v>
      </c>
      <c r="C53" s="3337">
        <v>1</v>
      </c>
      <c r="D53" s="3314">
        <v>1</v>
      </c>
      <c r="E53" s="3313">
        <f>'数据-汇总表'!E8+'数据-汇总表'!E9</f>
        <v>0</v>
      </c>
      <c r="F53" s="3316" t="e">
        <f t="shared" ref="F53:F62" si="15">ROUND(B53*E53/10000,0)</f>
        <v>#DIV/0!</v>
      </c>
      <c r="G53" s="4990"/>
      <c r="H53" s="4977"/>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2"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2"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2"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2"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2"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2"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2"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2"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5"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4995" t="s">
        <v>3376</v>
      </c>
      <c r="D6" s="4995"/>
      <c r="E6" s="4995"/>
      <c r="F6" s="4995"/>
      <c r="G6" s="4995"/>
      <c r="H6" s="4995"/>
      <c r="I6" s="4995"/>
      <c r="J6" s="4995"/>
      <c r="K6" s="4996"/>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3960</v>
      </c>
      <c r="B10" s="4440" t="s">
        <v>3959</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99" t="s">
        <v>3389</v>
      </c>
      <c r="B11" s="5000"/>
      <c r="C11" s="5000"/>
      <c r="D11" s="5000"/>
      <c r="E11" s="5000"/>
      <c r="F11" s="5000"/>
      <c r="G11" s="5000"/>
      <c r="H11" s="5000"/>
      <c r="I11" s="5000"/>
      <c r="J11" s="5000"/>
      <c r="K11" s="5001"/>
    </row>
    <row r="12" spans="1:33" s="4437" customFormat="1" ht="13.5" customHeight="1">
      <c r="A12" s="3470" t="s">
        <v>3509</v>
      </c>
      <c r="B12" s="4434" t="s">
        <v>1537</v>
      </c>
      <c r="C12" s="4438" t="s">
        <v>3956</v>
      </c>
      <c r="D12" s="4434" t="s">
        <v>1539</v>
      </c>
      <c r="E12" s="4434" t="s">
        <v>1540</v>
      </c>
      <c r="F12" s="4434" t="s">
        <v>1541</v>
      </c>
      <c r="G12" s="4435" t="s">
        <v>3400</v>
      </c>
      <c r="H12" s="4434"/>
      <c r="I12" s="4434"/>
      <c r="J12" s="4434"/>
      <c r="K12" s="4436"/>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4997" t="s">
        <v>3388</v>
      </c>
      <c r="H32" s="4997"/>
      <c r="I32" s="4997"/>
      <c r="J32" s="4997"/>
      <c r="K32" s="4998"/>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 sqref="G2:G5"/>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 sqref="G2:G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4">
        <f>IF(E2="商业",项目基本情况!B37,IF(E2="办公",项目基本情况!C37,IF(E2="住宅",项目基本情况!D37,IF(E2="工业",项目基本情况!E37,项目基本情况!F37))))</f>
        <v>0</v>
      </c>
      <c r="H2" s="1549" t="s">
        <v>1845</v>
      </c>
      <c r="I2" s="3954">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12">
        <f>IF(F3="宗地容积率",'数据-汇总表'!I4,IF(F3="估价对象容积率",'数据-汇总表'!I6,'数据-汇总表'!I7))</f>
        <v>0</v>
      </c>
      <c r="H3" s="72" t="s">
        <v>1850</v>
      </c>
      <c r="I3" s="4513"/>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3"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4">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5" t="e">
        <f>IF(C8="不临65条商业街",1,ROUND(1+(1.6*E8+1.2*E9+0.8*E10+0.4*E11)*C9,4))</f>
        <v>#DIV/0!</v>
      </c>
      <c r="D7" s="1570" t="s">
        <v>1860</v>
      </c>
      <c r="E7" s="4511"/>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1862</v>
      </c>
      <c r="X7" s="4556">
        <f>G2</f>
        <v>0</v>
      </c>
      <c r="Y7" s="853" t="s">
        <v>1863</v>
      </c>
      <c r="Z7" s="4558">
        <f>G3</f>
        <v>0</v>
      </c>
      <c r="AA7" s="854"/>
      <c r="AB7" s="854"/>
      <c r="AC7" s="855"/>
      <c r="AD7" s="856"/>
      <c r="AE7" s="856"/>
      <c r="AF7" s="856"/>
      <c r="AG7" s="856"/>
      <c r="AH7" s="856"/>
      <c r="AI7" s="856"/>
      <c r="AJ7" s="857"/>
    </row>
    <row r="8" spans="1:36" ht="15">
      <c r="A8" s="2613"/>
      <c r="B8" s="72" t="s">
        <v>1864</v>
      </c>
      <c r="C8" s="4506"/>
      <c r="D8" s="4507" t="s">
        <v>110</v>
      </c>
      <c r="E8" s="4508"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06" t="s">
        <v>1867</v>
      </c>
      <c r="X8" s="500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08"/>
      <c r="X9" s="2667" t="s">
        <v>3155</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08"/>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1886</v>
      </c>
      <c r="C11" s="4509">
        <f>C10/4</f>
        <v>0</v>
      </c>
      <c r="D11" s="4510" t="s">
        <v>113</v>
      </c>
      <c r="E11" s="4510"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4"/>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5">
        <f>ROUND(C16*D16*E16*F16*G16*H16*I16*J16,4)</f>
        <v>0</v>
      </c>
      <c r="D13" s="1583" t="s">
        <v>1890</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8">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9" t="s">
        <v>3143</v>
      </c>
      <c r="B20" s="70" t="s">
        <v>1901</v>
      </c>
      <c r="C20" s="4521" t="e">
        <f>ROUND(IF(F21="与级别开发程度一致",0,(G21-E21)/C21),0)</f>
        <v>#DIV/0!</v>
      </c>
      <c r="D20" s="2649" t="s">
        <v>1905</v>
      </c>
      <c r="E20" s="2650"/>
      <c r="F20" s="5015" t="s">
        <v>1902</v>
      </c>
      <c r="G20" s="5016"/>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0"/>
      <c r="B21" s="1704" t="s">
        <v>1904</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4">
        <v>44197</v>
      </c>
      <c r="F23" s="1602" t="s">
        <v>1910</v>
      </c>
      <c r="G23" s="4545">
        <f>'数据-取费表'!B2</f>
        <v>46063</v>
      </c>
      <c r="H23" s="2651"/>
      <c r="I23" s="2652" t="str">
        <f>IF(H23="季度增幅（自定义）",SUMIF(N25:N28,E2,O25:O28),"")</f>
        <v/>
      </c>
      <c r="J23" s="2713"/>
      <c r="K23" s="794"/>
      <c r="L23" s="1603" t="s">
        <v>1911</v>
      </c>
      <c r="M23" s="940">
        <f>ROUND(SUMIF(地价!B2:G2,E2,地价!B16:G16),0)</f>
        <v>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5" t="e">
        <f>ROUND(POWER(1+G24,J24-I24)*(POWER(1+G24,I24)-1)/(POWER(1+G24,J24)-1),4)</f>
        <v>#DIV/0!</v>
      </c>
      <c r="D24" s="1608" t="s">
        <v>1914</v>
      </c>
      <c r="E24" s="4543">
        <f>存贷款利率!E28/100</f>
        <v>4.3499999999999997E-2</v>
      </c>
      <c r="F24" s="1608" t="s">
        <v>1906</v>
      </c>
      <c r="G24" s="4546">
        <f>SUMIF(M30:Q30,E2,M33:Q33)</f>
        <v>0</v>
      </c>
      <c r="H24" s="1608" t="s">
        <v>1915</v>
      </c>
      <c r="I24" s="4547" t="e">
        <f>SUMIF('数据-取费表'!C6:C15,E2,'数据-取费表'!F6:F15)/COUNTIF('数据-取费表'!C6:C15,E2)</f>
        <v>#DIV/0!</v>
      </c>
      <c r="J24" s="4548">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8"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7">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8">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9" t="e">
        <f>IF(B25="容积率修正",E33+SUM(I37:I42),SUM(V2:V16)+SUM(I37:I42))</f>
        <v>#DIV/0!</v>
      </c>
      <c r="D30" s="4201"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30"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9" t="e">
        <f>ROUND(C5*C22*C23*C24*C25*C28,0)</f>
        <v>#DIV/0!</v>
      </c>
      <c r="D33" s="4531"/>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2" t="e">
        <f>ROUND(IF(E2="工业",C33*M42,IF(B25="楼层修正",SUM(V2:V16)*M41*10000/D34,C33*M41)),0)</f>
        <v>#DIV/0!</v>
      </c>
      <c r="D34" s="4533"/>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13"/>
      <c r="B37" s="4559" t="s">
        <v>1943</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14"/>
      <c r="B38" s="3812" t="s">
        <v>1944</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14"/>
      <c r="B39" s="3812" t="s">
        <v>3146</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60" t="s">
        <v>1948</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1967</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1964</v>
      </c>
      <c r="B78" s="1679" t="s">
        <v>1965</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1975</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3157</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1974</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1966</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1967</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1964</v>
      </c>
      <c r="B89" s="1679" t="s">
        <v>1978</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1979</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3160</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3156</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3161</v>
      </c>
      <c r="B96" s="2682" t="s">
        <v>3172</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3162</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3163</v>
      </c>
      <c r="B98" s="2683" t="s">
        <v>3173</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3164</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3165</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3166</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11" t="s">
        <v>3181</v>
      </c>
      <c r="B103" s="5011"/>
      <c r="C103" s="5011"/>
      <c r="D103" s="5011"/>
      <c r="E103" s="5011"/>
      <c r="F103" s="5011"/>
      <c r="G103" s="5011"/>
      <c r="H103" s="5011"/>
      <c r="I103" s="5011"/>
      <c r="J103" s="5011"/>
      <c r="K103" s="2687"/>
      <c r="L103" s="2687"/>
      <c r="M103" s="2687"/>
      <c r="N103" s="2687"/>
    </row>
    <row r="104" spans="1:14">
      <c r="A104" s="5012" t="s">
        <v>3182</v>
      </c>
      <c r="B104" s="5012" t="s">
        <v>3183</v>
      </c>
      <c r="C104" s="4595" t="s">
        <v>3184</v>
      </c>
      <c r="D104" s="4596"/>
      <c r="E104" s="4596"/>
      <c r="F104" s="4596"/>
      <c r="G104" s="4596"/>
      <c r="H104" s="4596"/>
      <c r="I104" s="4596"/>
      <c r="J104" s="4596"/>
      <c r="K104" s="4596"/>
      <c r="L104" s="4596"/>
      <c r="M104" s="4596"/>
      <c r="N104" s="4597"/>
    </row>
    <row r="105" spans="1:14">
      <c r="A105" s="5012"/>
      <c r="B105" s="501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02" t="s">
        <v>3197</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03"/>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03"/>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03"/>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03"/>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03"/>
      <c r="B111" s="2688" t="s">
        <v>3155</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04"/>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05" t="s">
        <v>3198</v>
      </c>
      <c r="B113" s="5005"/>
      <c r="C113" s="5005"/>
      <c r="D113" s="5005"/>
      <c r="E113" s="5005"/>
      <c r="F113" s="5005"/>
      <c r="G113" s="5005"/>
      <c r="H113" s="5005"/>
      <c r="I113" s="5005"/>
      <c r="J113" s="500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3199</v>
      </c>
      <c r="B116" s="4593">
        <f>G3</f>
        <v>0</v>
      </c>
      <c r="C116" s="4590" t="s">
        <v>3200</v>
      </c>
      <c r="D116" s="4594">
        <f>SUMPRODUCT((A118:A122=F116)*(B117:M117=H116)*B118:M122)</f>
        <v>0</v>
      </c>
      <c r="E116" s="4590" t="s">
        <v>3201</v>
      </c>
      <c r="F116" s="4591">
        <f>E2</f>
        <v>0</v>
      </c>
      <c r="G116" s="4590" t="s">
        <v>3202</v>
      </c>
      <c r="H116" s="4591">
        <f>G2</f>
        <v>0</v>
      </c>
      <c r="I116" s="4592"/>
      <c r="J116" s="2691"/>
      <c r="K116" s="2691"/>
      <c r="L116" s="2691"/>
      <c r="M116" s="2691"/>
      <c r="N116" s="2690"/>
    </row>
    <row r="117" spans="1:14">
      <c r="A117" s="4585"/>
      <c r="B117" s="2692" t="s">
        <v>3203</v>
      </c>
      <c r="C117" s="2692" t="s">
        <v>3204</v>
      </c>
      <c r="D117" s="2692" t="s">
        <v>3205</v>
      </c>
      <c r="E117" s="2692" t="s">
        <v>3206</v>
      </c>
      <c r="F117" s="2692" t="s">
        <v>3207</v>
      </c>
      <c r="G117" s="2692" t="s">
        <v>3208</v>
      </c>
      <c r="H117" s="4586" t="s">
        <v>3209</v>
      </c>
      <c r="I117" s="4586" t="s">
        <v>3210</v>
      </c>
      <c r="J117" s="2692" t="s">
        <v>3211</v>
      </c>
      <c r="K117" s="2692" t="s">
        <v>3212</v>
      </c>
      <c r="L117" s="2692" t="s">
        <v>3213</v>
      </c>
      <c r="M117" s="4587" t="s">
        <v>3214</v>
      </c>
      <c r="N117" s="2690"/>
    </row>
    <row r="118" spans="1:14">
      <c r="A118" s="2693" t="s">
        <v>3215</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0"/>
    </row>
    <row r="119" spans="1:14">
      <c r="A119" s="2693" t="s">
        <v>3216</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0"/>
    </row>
    <row r="120" spans="1:14">
      <c r="A120" s="2693" t="s">
        <v>3217</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0"/>
    </row>
    <row r="121" spans="1:14">
      <c r="A121" s="2693" t="s">
        <v>3218</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0"/>
    </row>
    <row r="122" spans="1:14" ht="13.5" thickBot="1">
      <c r="A122" s="4588" t="s">
        <v>2501</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4995" t="s">
        <v>3376</v>
      </c>
      <c r="D6" s="4995"/>
      <c r="E6" s="4995"/>
      <c r="F6" s="4995"/>
      <c r="G6" s="4995"/>
      <c r="H6" s="4995"/>
      <c r="I6" s="4995"/>
      <c r="J6" s="4995"/>
      <c r="K6" s="4996"/>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3961</v>
      </c>
      <c r="B10" s="4440" t="s">
        <v>3956</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17" t="s">
        <v>3520</v>
      </c>
      <c r="B11" s="5018"/>
      <c r="C11" s="5018"/>
      <c r="D11" s="5018"/>
      <c r="E11" s="5018"/>
      <c r="F11" s="5018"/>
      <c r="G11" s="5018"/>
      <c r="H11" s="5018"/>
      <c r="I11" s="5018"/>
      <c r="J11" s="5018"/>
      <c r="K11" s="5019"/>
    </row>
    <row r="12" spans="1:33" s="4437" customFormat="1" ht="13.5" customHeight="1">
      <c r="A12" s="3470" t="s">
        <v>3509</v>
      </c>
      <c r="B12" s="4434" t="s">
        <v>1537</v>
      </c>
      <c r="C12" s="4438" t="s">
        <v>3956</v>
      </c>
      <c r="D12" s="4434" t="s">
        <v>1539</v>
      </c>
      <c r="E12" s="4434" t="s">
        <v>1540</v>
      </c>
      <c r="F12" s="4434" t="s">
        <v>1541</v>
      </c>
      <c r="G12" s="4446" t="s">
        <v>3400</v>
      </c>
      <c r="H12" s="4447"/>
      <c r="I12" s="4447"/>
      <c r="J12" s="4447"/>
      <c r="K12" s="4448"/>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20" t="s">
        <v>3536</v>
      </c>
      <c r="H28" s="3611"/>
      <c r="I28" s="3611"/>
      <c r="J28" s="3611"/>
      <c r="K28" s="3623"/>
    </row>
    <row r="29" spans="1:33" s="552" customFormat="1" ht="13.5" customHeight="1">
      <c r="A29" s="3625" t="s">
        <v>3548</v>
      </c>
      <c r="B29" s="3479" t="s">
        <v>3553</v>
      </c>
      <c r="C29" s="2888" t="e">
        <f ca="1">ROUND((C16+C23)*F28,0)</f>
        <v>#DIV/0!</v>
      </c>
      <c r="D29" s="1070"/>
      <c r="E29" s="1070"/>
      <c r="F29" s="2957"/>
      <c r="G29" s="5020"/>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2"/>
      <c r="C2" s="4632"/>
      <c r="D2" s="4632"/>
      <c r="E2" s="4632"/>
    </row>
    <row r="3" spans="1:5" ht="18">
      <c r="A3" s="4633" t="str">
        <f>IF(项目基本情况!B9="房地产市场价值","估价结果一览表（市场价值不需“结果表-1”）","估价结果一览表")</f>
        <v>估价结果一览表</v>
      </c>
      <c r="B3" s="4633"/>
      <c r="C3" s="4633"/>
      <c r="D3" s="4633"/>
      <c r="E3" s="4633"/>
    </row>
    <row r="4" spans="1:5" ht="19.5" thickBot="1">
      <c r="A4" s="1099"/>
      <c r="B4" s="4631" t="s">
        <v>901</v>
      </c>
      <c r="C4" s="4631"/>
      <c r="D4" s="4631"/>
      <c r="E4" s="1099"/>
    </row>
    <row r="5" spans="1:5" ht="16.5" thickTop="1">
      <c r="A5" s="1097"/>
      <c r="B5" s="4629" t="s">
        <v>893</v>
      </c>
      <c r="C5" s="1100" t="s">
        <v>894</v>
      </c>
      <c r="D5" s="573" t="e">
        <f ca="1">结果表!H101</f>
        <v>#REF!</v>
      </c>
      <c r="E5" s="1097"/>
    </row>
    <row r="6" spans="1:5" ht="15.75">
      <c r="A6" s="1097"/>
      <c r="B6" s="4629"/>
      <c r="C6" s="1100" t="s">
        <v>895</v>
      </c>
      <c r="D6" s="573" t="e">
        <f ca="1">NUMBERSTRING(INT(D5*10000),2)&amp;"元整"</f>
        <v>#REF!</v>
      </c>
      <c r="E6" s="1097"/>
    </row>
    <row r="7" spans="1:5" ht="15.75">
      <c r="A7" s="1097"/>
      <c r="B7" s="4634"/>
      <c r="C7" s="1101" t="s">
        <v>896</v>
      </c>
      <c r="D7" s="574" t="e">
        <f ca="1">结果表!H102</f>
        <v>#REF!</v>
      </c>
      <c r="E7" s="1097"/>
    </row>
    <row r="8" spans="1:5" ht="15.75">
      <c r="A8" s="1097"/>
      <c r="B8" s="4635" t="str">
        <f>结果表!E103</f>
        <v>2.估价师知悉的法定优先受偿款</v>
      </c>
      <c r="C8" s="1102" t="s">
        <v>897</v>
      </c>
      <c r="D8" s="574">
        <f>结果表!H103</f>
        <v>0</v>
      </c>
      <c r="E8" s="1097"/>
    </row>
    <row r="9" spans="1:5" ht="15.75">
      <c r="A9" s="1097"/>
      <c r="B9" s="4637"/>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8" t="str">
        <f>结果表!E107</f>
        <v>3.房地产抵押价值</v>
      </c>
      <c r="C13" s="1105" t="s">
        <v>894</v>
      </c>
      <c r="D13" s="576" t="e">
        <f ca="1">结果表!H107</f>
        <v>#REF!</v>
      </c>
      <c r="E13" s="1097"/>
    </row>
    <row r="14" spans="1:5" ht="15.75">
      <c r="A14" s="1097"/>
      <c r="B14" s="4629"/>
      <c r="C14" s="1100" t="s">
        <v>895</v>
      </c>
      <c r="D14" s="573" t="e">
        <f ca="1">NUMBERSTRING(INT(D13*10000),2)&amp;"元整"</f>
        <v>#REF!</v>
      </c>
      <c r="E14" s="1097"/>
    </row>
    <row r="15" spans="1:5" ht="15">
      <c r="A15" s="1097"/>
      <c r="B15" s="4634"/>
      <c r="C15" s="1101" t="s">
        <v>905</v>
      </c>
      <c r="D15" s="581" t="e">
        <f ca="1">结果表!H108</f>
        <v>#REF!</v>
      </c>
      <c r="E15" s="1097"/>
    </row>
    <row r="16" spans="1:5" ht="15">
      <c r="A16" s="1097"/>
      <c r="B16" s="4635" t="str">
        <f>结果表!E109</f>
        <v>——</v>
      </c>
      <c r="C16" s="1105" t="s">
        <v>906</v>
      </c>
      <c r="D16" s="1106" t="str">
        <f>结果表!H109</f>
        <v>——</v>
      </c>
      <c r="E16" s="1097"/>
    </row>
    <row r="17" spans="1:5" ht="15.75">
      <c r="A17" s="1097"/>
      <c r="B17" s="4636"/>
      <c r="C17" s="1100" t="s">
        <v>907</v>
      </c>
      <c r="D17" s="573" t="e">
        <f>NUMBERSTRING(INT(D16*10000),2)&amp;"元整"</f>
        <v>#VALUE!</v>
      </c>
      <c r="E17" s="1097"/>
    </row>
    <row r="18" spans="1:5" ht="15">
      <c r="A18" s="1097"/>
      <c r="B18" s="4637"/>
      <c r="C18" s="1101" t="s">
        <v>896</v>
      </c>
      <c r="D18" s="581" t="str">
        <f>结果表!H110</f>
        <v>——</v>
      </c>
      <c r="E18" s="1097"/>
    </row>
    <row r="19" spans="1:5" ht="15.75">
      <c r="A19" s="1097"/>
      <c r="B19" s="4628" t="str">
        <f>结果表!E111</f>
        <v>——</v>
      </c>
      <c r="C19" s="1105" t="s">
        <v>894</v>
      </c>
      <c r="D19" s="574" t="str">
        <f>结果表!H111</f>
        <v>——</v>
      </c>
      <c r="E19" s="1097"/>
    </row>
    <row r="20" spans="1:5" ht="15.75">
      <c r="A20" s="1097"/>
      <c r="B20" s="4629"/>
      <c r="C20" s="1100" t="s">
        <v>907</v>
      </c>
      <c r="D20" s="573" t="e">
        <f>NUMBERSTRING(INT(D19*10000),2)&amp;"元整"</f>
        <v>#VALUE!</v>
      </c>
      <c r="E20" s="1097"/>
    </row>
    <row r="21" spans="1:5" ht="15.75" thickBot="1">
      <c r="A21" s="1097"/>
      <c r="B21" s="4630"/>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G2" sqref="G2:G5"/>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3953</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7" t="s">
        <v>4063</v>
      </c>
    </row>
    <row r="42" spans="1:14">
      <c r="J42" s="4617" t="s">
        <v>4060</v>
      </c>
    </row>
    <row r="43" spans="1:14">
      <c r="J43" s="4618" t="s">
        <v>3999</v>
      </c>
      <c r="K43" s="4618"/>
      <c r="L43" s="4619"/>
      <c r="M43" s="4619"/>
      <c r="N43" s="4619"/>
    </row>
    <row r="44" spans="1:14" ht="25.5">
      <c r="J44" s="5024" t="s">
        <v>4000</v>
      </c>
      <c r="K44" s="5025"/>
      <c r="L44" s="5026"/>
      <c r="M44" s="4620" t="s">
        <v>4001</v>
      </c>
      <c r="N44" s="4620" t="s">
        <v>4002</v>
      </c>
    </row>
    <row r="45" spans="1:14">
      <c r="J45" s="5024" t="s">
        <v>4003</v>
      </c>
      <c r="K45" s="5025"/>
      <c r="L45" s="5026"/>
      <c r="M45" s="4620"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20" t="s">
        <v>4009</v>
      </c>
      <c r="M48" s="5027" t="s">
        <v>4010</v>
      </c>
      <c r="N48" s="5022"/>
    </row>
    <row r="49" spans="10:15">
      <c r="J49" s="5022"/>
      <c r="K49" s="5029"/>
      <c r="L49" s="4620" t="s">
        <v>4011</v>
      </c>
      <c r="M49" s="5029"/>
      <c r="N49" s="5022"/>
    </row>
    <row r="50" spans="10:15">
      <c r="J50" s="5022"/>
      <c r="K50" s="5028"/>
      <c r="L50" s="4620" t="s">
        <v>4012</v>
      </c>
      <c r="M50" s="5029"/>
      <c r="N50" s="5022"/>
    </row>
    <row r="51" spans="10:15">
      <c r="J51" s="5022"/>
      <c r="K51" s="5021" t="s">
        <v>4020</v>
      </c>
      <c r="L51" s="4620" t="s">
        <v>4013</v>
      </c>
      <c r="M51" s="5029"/>
      <c r="N51" s="5022"/>
    </row>
    <row r="52" spans="10:15">
      <c r="J52" s="5023"/>
      <c r="K52" s="5022"/>
      <c r="L52" s="4620" t="s">
        <v>4021</v>
      </c>
      <c r="M52" s="5029"/>
      <c r="N52" s="5022"/>
    </row>
    <row r="53" spans="10:15">
      <c r="J53" s="5027"/>
      <c r="K53" s="5022"/>
      <c r="L53" s="4620" t="s">
        <v>4022</v>
      </c>
      <c r="M53" s="5029"/>
      <c r="N53" s="5022"/>
    </row>
    <row r="54" spans="10:15">
      <c r="J54" s="5029"/>
      <c r="K54" s="5022"/>
      <c r="L54" s="4620" t="s">
        <v>4014</v>
      </c>
      <c r="M54" s="5029"/>
      <c r="N54" s="5022"/>
    </row>
    <row r="55" spans="10:15">
      <c r="J55" s="5029"/>
      <c r="K55" s="5022"/>
      <c r="L55" s="4620" t="s">
        <v>4015</v>
      </c>
      <c r="M55" s="5029"/>
      <c r="N55" s="5022"/>
    </row>
    <row r="56" spans="10:15">
      <c r="J56" s="5029"/>
      <c r="K56" s="5022"/>
      <c r="L56" s="4620" t="s">
        <v>4016</v>
      </c>
      <c r="M56" s="5028"/>
      <c r="N56" s="5022"/>
    </row>
    <row r="57" spans="10:15">
      <c r="J57" s="5028"/>
      <c r="K57" s="5023"/>
      <c r="L57" s="4620" t="s">
        <v>4017</v>
      </c>
      <c r="M57" s="4621" t="s">
        <v>4018</v>
      </c>
      <c r="N57" s="5023"/>
    </row>
    <row r="60" spans="10:15">
      <c r="J60" s="4619" t="s">
        <v>4023</v>
      </c>
      <c r="K60" s="4619"/>
      <c r="L60" s="4619"/>
      <c r="M60" s="4619"/>
      <c r="N60" s="4619"/>
      <c r="O60" s="4619"/>
    </row>
    <row r="61" spans="10:15">
      <c r="J61" s="4618" t="s">
        <v>4024</v>
      </c>
      <c r="K61" s="4618" t="s">
        <v>4025</v>
      </c>
      <c r="L61" s="4618" t="s">
        <v>4026</v>
      </c>
      <c r="M61" s="4618" t="s">
        <v>4027</v>
      </c>
      <c r="N61" s="4618" t="s">
        <v>4028</v>
      </c>
      <c r="O61" s="4618" t="s">
        <v>4020</v>
      </c>
    </row>
    <row r="62" spans="10:15">
      <c r="J62" s="4618" t="s">
        <v>4029</v>
      </c>
      <c r="K62" s="4622" t="s">
        <v>4062</v>
      </c>
      <c r="L62" s="4618" t="s">
        <v>4030</v>
      </c>
      <c r="M62" s="4618" t="s">
        <v>4030</v>
      </c>
      <c r="N62" s="4618" t="s">
        <v>4031</v>
      </c>
      <c r="O62" s="4618" t="s">
        <v>4031</v>
      </c>
    </row>
    <row r="63" spans="10:15">
      <c r="J63" s="4618" t="s">
        <v>4032</v>
      </c>
      <c r="K63" s="4618" t="s">
        <v>4033</v>
      </c>
      <c r="L63" s="4618" t="s">
        <v>4034</v>
      </c>
      <c r="M63" s="4618" t="s">
        <v>4034</v>
      </c>
      <c r="N63" s="4618" t="s">
        <v>4035</v>
      </c>
      <c r="O63" s="4618" t="s">
        <v>4035</v>
      </c>
    </row>
    <row r="67" spans="10:15">
      <c r="J67" s="4619" t="s">
        <v>4036</v>
      </c>
      <c r="K67" s="4619"/>
      <c r="L67" s="4619"/>
      <c r="M67" s="4619"/>
      <c r="N67" s="4619"/>
      <c r="O67" s="4619"/>
    </row>
    <row r="68" spans="10:15">
      <c r="J68" s="4618" t="s">
        <v>4024</v>
      </c>
      <c r="K68" s="4618" t="s">
        <v>4037</v>
      </c>
      <c r="L68" s="5031" t="s">
        <v>4038</v>
      </c>
      <c r="M68" s="5031"/>
      <c r="N68" s="5031"/>
      <c r="O68" s="4618" t="s">
        <v>4002</v>
      </c>
    </row>
    <row r="69" spans="10:15" ht="25.5">
      <c r="J69" s="4618" t="s">
        <v>4039</v>
      </c>
      <c r="K69" s="4623" t="s">
        <v>4040</v>
      </c>
      <c r="L69" s="5030" t="s">
        <v>4041</v>
      </c>
      <c r="M69" s="5030"/>
      <c r="N69" s="5030"/>
      <c r="O69" s="4618"/>
    </row>
    <row r="70" spans="10:15" ht="25.5">
      <c r="J70" s="4618" t="s">
        <v>4042</v>
      </c>
      <c r="K70" s="4623" t="s">
        <v>4043</v>
      </c>
      <c r="L70" s="5030" t="s">
        <v>4044</v>
      </c>
      <c r="M70" s="5030"/>
      <c r="N70" s="5030"/>
      <c r="O70" s="4618"/>
    </row>
    <row r="71" spans="10:15" ht="25.5">
      <c r="J71" s="4618" t="s">
        <v>4045</v>
      </c>
      <c r="K71" s="4623" t="s">
        <v>4046</v>
      </c>
      <c r="L71" s="5030" t="s">
        <v>4047</v>
      </c>
      <c r="M71" s="5030"/>
      <c r="N71" s="5030"/>
      <c r="O71" s="4618"/>
    </row>
    <row r="72" spans="10:15" ht="27" customHeight="1">
      <c r="J72" s="4618" t="s">
        <v>4048</v>
      </c>
      <c r="K72" s="4623" t="s">
        <v>4049</v>
      </c>
      <c r="L72" s="5030" t="s">
        <v>4061</v>
      </c>
      <c r="M72" s="5030"/>
      <c r="N72" s="5030"/>
      <c r="O72" s="4618"/>
    </row>
    <row r="73" spans="10:15" ht="30" customHeight="1">
      <c r="J73" s="4618" t="s">
        <v>4050</v>
      </c>
      <c r="K73" s="4623" t="s">
        <v>4051</v>
      </c>
      <c r="L73" s="5030" t="s">
        <v>4052</v>
      </c>
      <c r="M73" s="5030"/>
      <c r="N73" s="5030"/>
      <c r="O73" s="4618" t="s">
        <v>2204</v>
      </c>
    </row>
    <row r="74" spans="10:15" ht="57.75" customHeight="1">
      <c r="J74" s="4618" t="s">
        <v>4053</v>
      </c>
      <c r="K74" s="4623" t="s">
        <v>4054</v>
      </c>
      <c r="L74" s="5030" t="s">
        <v>4055</v>
      </c>
      <c r="M74" s="5030"/>
      <c r="N74" s="5030"/>
      <c r="O74" s="4618" t="s">
        <v>4056</v>
      </c>
    </row>
    <row r="75" spans="10:15" ht="32.25" customHeight="1">
      <c r="J75" s="4618" t="s">
        <v>4057</v>
      </c>
      <c r="K75" s="4623" t="s">
        <v>4058</v>
      </c>
      <c r="L75" s="5030" t="s">
        <v>4059</v>
      </c>
      <c r="M75" s="5030"/>
      <c r="N75" s="5030"/>
      <c r="O75" s="461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43" t="s">
        <v>2496</v>
      </c>
      <c r="B20" s="5036" t="s">
        <v>2517</v>
      </c>
      <c r="C20" s="2724" t="s">
        <v>2328</v>
      </c>
      <c r="D20" s="2724"/>
      <c r="E20" s="3304">
        <v>1</v>
      </c>
      <c r="F20" s="2440" t="s">
        <v>2329</v>
      </c>
      <c r="G20" s="2440"/>
    </row>
    <row r="21" spans="1:13" ht="19.5" customHeight="1">
      <c r="A21" s="5044"/>
      <c r="B21" s="5032"/>
      <c r="C21" s="2717" t="s">
        <v>2330</v>
      </c>
      <c r="D21" s="2717"/>
      <c r="E21" s="3305">
        <v>1</v>
      </c>
      <c r="F21" s="2440" t="s">
        <v>2331</v>
      </c>
      <c r="G21" s="2440"/>
    </row>
    <row r="22" spans="1:13" ht="19.5" customHeight="1">
      <c r="A22" s="5044"/>
      <c r="B22" s="5032"/>
      <c r="C22" s="2717" t="s">
        <v>2332</v>
      </c>
      <c r="D22" s="2717"/>
      <c r="E22" s="3305">
        <v>0.9</v>
      </c>
      <c r="F22" s="2440" t="s">
        <v>2333</v>
      </c>
      <c r="G22" s="2440"/>
    </row>
    <row r="23" spans="1:13" ht="19.5" customHeight="1">
      <c r="A23" s="5044"/>
      <c r="B23" s="5032"/>
      <c r="C23" s="2717" t="s">
        <v>2334</v>
      </c>
      <c r="D23" s="2717"/>
      <c r="E23" s="3305">
        <v>0.9</v>
      </c>
      <c r="F23" s="2440" t="s">
        <v>2335</v>
      </c>
      <c r="G23" s="2440"/>
    </row>
    <row r="24" spans="1:13" ht="19.5" customHeight="1">
      <c r="A24" s="5044"/>
      <c r="B24" s="5032"/>
      <c r="C24" s="2717" t="s">
        <v>2336</v>
      </c>
      <c r="D24" s="2717"/>
      <c r="E24" s="3305">
        <v>0.8</v>
      </c>
      <c r="F24" s="2440" t="s">
        <v>2337</v>
      </c>
      <c r="G24" s="2440"/>
    </row>
    <row r="25" spans="1:13" ht="19.5" customHeight="1">
      <c r="A25" s="5044"/>
      <c r="B25" s="5032"/>
      <c r="C25" s="2717" t="s">
        <v>2338</v>
      </c>
      <c r="D25" s="2717"/>
      <c r="E25" s="3305">
        <v>0.8</v>
      </c>
      <c r="F25" s="2440"/>
      <c r="G25" s="2440"/>
    </row>
    <row r="26" spans="1:13" ht="19.5" customHeight="1">
      <c r="A26" s="5044"/>
      <c r="B26" s="5032"/>
      <c r="C26" s="2720" t="s">
        <v>3277</v>
      </c>
      <c r="D26" s="2720"/>
      <c r="E26" s="3305">
        <v>0.43</v>
      </c>
      <c r="F26" s="2440"/>
      <c r="G26" s="2440"/>
    </row>
    <row r="27" spans="1:13" ht="19.5" customHeight="1" thickBot="1">
      <c r="A27" s="5045"/>
      <c r="B27" s="5037"/>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38" t="s">
        <v>2520</v>
      </c>
      <c r="B29" s="5041" t="s">
        <v>2501</v>
      </c>
      <c r="C29" s="2438" t="s">
        <v>2341</v>
      </c>
      <c r="D29" s="2439"/>
      <c r="E29" s="3304">
        <v>1</v>
      </c>
      <c r="F29" s="2440" t="s">
        <v>2342</v>
      </c>
      <c r="G29" s="2440"/>
    </row>
    <row r="30" spans="1:13" ht="19.5" customHeight="1">
      <c r="A30" s="5039"/>
      <c r="B30" s="5035"/>
      <c r="C30" s="2441" t="s">
        <v>2343</v>
      </c>
      <c r="D30" s="2442"/>
      <c r="E30" s="3305">
        <v>1</v>
      </c>
      <c r="F30" s="2440" t="s">
        <v>2344</v>
      </c>
      <c r="G30" s="2440"/>
    </row>
    <row r="31" spans="1:13" ht="19.5" customHeight="1">
      <c r="A31" s="5039"/>
      <c r="B31" s="5035"/>
      <c r="C31" s="2441" t="s">
        <v>2345</v>
      </c>
      <c r="D31" s="2442"/>
      <c r="E31" s="3305">
        <v>0.8</v>
      </c>
      <c r="F31" s="2440" t="s">
        <v>2346</v>
      </c>
      <c r="G31" s="2440"/>
    </row>
    <row r="32" spans="1:13" ht="19.5" customHeight="1">
      <c r="A32" s="5039"/>
      <c r="B32" s="5035"/>
      <c r="C32" s="2441" t="s">
        <v>2347</v>
      </c>
      <c r="D32" s="2442"/>
      <c r="E32" s="3305">
        <v>0.8</v>
      </c>
      <c r="F32" s="2440" t="s">
        <v>2348</v>
      </c>
      <c r="G32" s="2440"/>
    </row>
    <row r="33" spans="1:7" ht="19.5" customHeight="1">
      <c r="A33" s="5039"/>
      <c r="B33" s="5035"/>
      <c r="C33" s="2441" t="s">
        <v>2349</v>
      </c>
      <c r="D33" s="2442"/>
      <c r="E33" s="3305">
        <v>0.8</v>
      </c>
      <c r="F33" s="2440" t="s">
        <v>2350</v>
      </c>
      <c r="G33" s="2440"/>
    </row>
    <row r="34" spans="1:7" ht="19.5" customHeight="1">
      <c r="A34" s="5039"/>
      <c r="B34" s="5035"/>
      <c r="C34" s="2441" t="s">
        <v>2351</v>
      </c>
      <c r="D34" s="2442"/>
      <c r="E34" s="3305">
        <v>0.7</v>
      </c>
      <c r="F34" s="2440" t="s">
        <v>2352</v>
      </c>
      <c r="G34" s="2440"/>
    </row>
    <row r="35" spans="1:7" ht="19.5" customHeight="1">
      <c r="A35" s="5039"/>
      <c r="B35" s="5035"/>
      <c r="C35" s="2441" t="s">
        <v>2353</v>
      </c>
      <c r="D35" s="2442"/>
      <c r="E35" s="3305">
        <v>0.8</v>
      </c>
      <c r="F35" s="2440" t="s">
        <v>2354</v>
      </c>
      <c r="G35" s="2440"/>
    </row>
    <row r="36" spans="1:7" ht="19.5" customHeight="1">
      <c r="A36" s="5039"/>
      <c r="B36" s="5035"/>
      <c r="C36" s="2441" t="s">
        <v>2355</v>
      </c>
      <c r="D36" s="2442"/>
      <c r="E36" s="3305">
        <v>0.6</v>
      </c>
      <c r="F36" s="2440" t="s">
        <v>2356</v>
      </c>
      <c r="G36" s="2440"/>
    </row>
    <row r="37" spans="1:7" ht="19.5" customHeight="1">
      <c r="A37" s="5039"/>
      <c r="B37" s="5035"/>
      <c r="C37" s="2441" t="s">
        <v>2357</v>
      </c>
      <c r="D37" s="2442"/>
      <c r="E37" s="3305">
        <v>0.2</v>
      </c>
      <c r="F37" s="2440" t="s">
        <v>2358</v>
      </c>
      <c r="G37" s="2440"/>
    </row>
    <row r="38" spans="1:7" ht="19.5" customHeight="1">
      <c r="A38" s="5039"/>
      <c r="B38" s="5035"/>
      <c r="C38" s="2441" t="s">
        <v>2359</v>
      </c>
      <c r="D38" s="2442"/>
      <c r="E38" s="3305">
        <v>0.2</v>
      </c>
      <c r="F38" s="2440" t="s">
        <v>2360</v>
      </c>
      <c r="G38" s="2440"/>
    </row>
    <row r="39" spans="1:7" ht="19.5" customHeight="1">
      <c r="A39" s="5039"/>
      <c r="B39" s="5033" t="s">
        <v>2521</v>
      </c>
      <c r="C39" s="2441" t="s">
        <v>2361</v>
      </c>
      <c r="D39" s="2442"/>
      <c r="E39" s="3305">
        <v>0.6</v>
      </c>
      <c r="F39" s="2440" t="s">
        <v>2362</v>
      </c>
      <c r="G39" s="2440"/>
    </row>
    <row r="40" spans="1:7" ht="19.5" customHeight="1">
      <c r="A40" s="5039"/>
      <c r="B40" s="5035"/>
      <c r="C40" s="2441" t="s">
        <v>2363</v>
      </c>
      <c r="D40" s="2442"/>
      <c r="E40" s="3305">
        <v>0.6</v>
      </c>
      <c r="F40" s="2440" t="s">
        <v>2364</v>
      </c>
      <c r="G40" s="2440"/>
    </row>
    <row r="41" spans="1:7" ht="19.5" customHeight="1" thickBot="1">
      <c r="A41" s="5040"/>
      <c r="B41" s="5042"/>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43" t="s">
        <v>2499</v>
      </c>
      <c r="B43" s="5041" t="s">
        <v>2523</v>
      </c>
      <c r="C43" s="2438" t="s">
        <v>2368</v>
      </c>
      <c r="D43" s="2439"/>
      <c r="E43" s="3304">
        <v>1</v>
      </c>
      <c r="F43" s="2440" t="s">
        <v>2369</v>
      </c>
      <c r="G43" s="2440"/>
    </row>
    <row r="44" spans="1:7" ht="19.5" customHeight="1">
      <c r="A44" s="5044"/>
      <c r="B44" s="5035"/>
      <c r="C44" s="2441" t="s">
        <v>2370</v>
      </c>
      <c r="D44" s="2442"/>
      <c r="E44" s="3305">
        <v>1</v>
      </c>
      <c r="F44" s="2440" t="s">
        <v>2371</v>
      </c>
      <c r="G44" s="2440"/>
    </row>
    <row r="45" spans="1:7" ht="19.5" customHeight="1">
      <c r="A45" s="5044"/>
      <c r="B45" s="5034"/>
      <c r="C45" s="2441" t="s">
        <v>2372</v>
      </c>
      <c r="D45" s="2442"/>
      <c r="E45" s="3305">
        <v>1.5</v>
      </c>
      <c r="F45" s="2440" t="s">
        <v>2373</v>
      </c>
      <c r="G45" s="2440"/>
    </row>
    <row r="46" spans="1:7" ht="19.5" customHeight="1">
      <c r="A46" s="5044"/>
      <c r="B46" s="2449" t="s">
        <v>2524</v>
      </c>
      <c r="C46" s="2441" t="s">
        <v>2525</v>
      </c>
      <c r="D46" s="2442"/>
      <c r="E46" s="3305">
        <v>2</v>
      </c>
      <c r="F46" s="2440" t="s">
        <v>2374</v>
      </c>
      <c r="G46" s="2440"/>
    </row>
    <row r="47" spans="1:7" ht="19.5" customHeight="1">
      <c r="A47" s="5044"/>
      <c r="B47" s="5033" t="s">
        <v>2526</v>
      </c>
      <c r="C47" s="2441" t="s">
        <v>2375</v>
      </c>
      <c r="D47" s="2442"/>
      <c r="E47" s="3305">
        <v>1</v>
      </c>
      <c r="F47" s="2440" t="s">
        <v>2376</v>
      </c>
      <c r="G47" s="2440"/>
    </row>
    <row r="48" spans="1:7" ht="19.5" customHeight="1">
      <c r="A48" s="5044"/>
      <c r="B48" s="5035"/>
      <c r="C48" s="2441" t="s">
        <v>2377</v>
      </c>
      <c r="D48" s="2442"/>
      <c r="E48" s="3305">
        <v>1</v>
      </c>
      <c r="F48" s="2440" t="s">
        <v>2378</v>
      </c>
      <c r="G48" s="2440"/>
    </row>
    <row r="49" spans="1:7" ht="19.5" customHeight="1">
      <c r="A49" s="5044"/>
      <c r="B49" s="5035"/>
      <c r="C49" s="2441" t="s">
        <v>2379</v>
      </c>
      <c r="D49" s="2442"/>
      <c r="E49" s="3305">
        <v>1</v>
      </c>
      <c r="F49" s="2440" t="s">
        <v>2380</v>
      </c>
      <c r="G49" s="2440"/>
    </row>
    <row r="50" spans="1:7" ht="19.5" customHeight="1">
      <c r="A50" s="5044"/>
      <c r="B50" s="5035"/>
      <c r="C50" s="2441" t="s">
        <v>2381</v>
      </c>
      <c r="D50" s="2442"/>
      <c r="E50" s="3305">
        <v>1</v>
      </c>
      <c r="F50" s="2440" t="s">
        <v>2382</v>
      </c>
      <c r="G50" s="2440"/>
    </row>
    <row r="51" spans="1:7" ht="19.5" customHeight="1">
      <c r="A51" s="5044"/>
      <c r="B51" s="5035"/>
      <c r="C51" s="2441" t="s">
        <v>2383</v>
      </c>
      <c r="D51" s="2442"/>
      <c r="E51" s="3305">
        <v>1</v>
      </c>
      <c r="F51" s="2440" t="s">
        <v>2384</v>
      </c>
      <c r="G51" s="2440"/>
    </row>
    <row r="52" spans="1:7" ht="19.5" customHeight="1">
      <c r="A52" s="5044"/>
      <c r="B52" s="5035"/>
      <c r="C52" s="2441" t="s">
        <v>2385</v>
      </c>
      <c r="D52" s="2442"/>
      <c r="E52" s="3305">
        <v>1</v>
      </c>
      <c r="F52" s="2440" t="s">
        <v>2386</v>
      </c>
      <c r="G52" s="2440"/>
    </row>
    <row r="53" spans="1:7" ht="19.5" customHeight="1" thickBot="1">
      <c r="A53" s="5045"/>
      <c r="B53" s="5042"/>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33" t="s">
        <v>2540</v>
      </c>
      <c r="C75" s="2429" t="s">
        <v>2541</v>
      </c>
      <c r="D75" s="2429" t="s">
        <v>2542</v>
      </c>
      <c r="E75" s="3310">
        <v>0.2</v>
      </c>
      <c r="F75" s="3311">
        <v>25</v>
      </c>
    </row>
    <row r="76" spans="1:7" ht="24">
      <c r="A76" s="2449">
        <v>2</v>
      </c>
      <c r="B76" s="5035"/>
      <c r="C76" s="2429" t="s">
        <v>2543</v>
      </c>
      <c r="D76" s="2429" t="s">
        <v>2544</v>
      </c>
      <c r="E76" s="3310">
        <v>0.2</v>
      </c>
      <c r="F76" s="3311">
        <v>25</v>
      </c>
    </row>
    <row r="77" spans="1:7" ht="24">
      <c r="A77" s="2449">
        <v>3</v>
      </c>
      <c r="B77" s="5035"/>
      <c r="C77" s="2429" t="s">
        <v>2545</v>
      </c>
      <c r="D77" s="2429" t="s">
        <v>2546</v>
      </c>
      <c r="E77" s="3310">
        <v>0.2</v>
      </c>
      <c r="F77" s="3311">
        <v>25</v>
      </c>
    </row>
    <row r="78" spans="1:7" ht="13.5">
      <c r="A78" s="2449">
        <v>4</v>
      </c>
      <c r="B78" s="5035"/>
      <c r="C78" s="2429" t="s">
        <v>2547</v>
      </c>
      <c r="D78" s="2429" t="s">
        <v>2548</v>
      </c>
      <c r="E78" s="3310">
        <v>0.15</v>
      </c>
      <c r="F78" s="3311">
        <v>20</v>
      </c>
    </row>
    <row r="79" spans="1:7" ht="24">
      <c r="A79" s="2449">
        <v>5</v>
      </c>
      <c r="B79" s="5035"/>
      <c r="C79" s="2429" t="s">
        <v>2549</v>
      </c>
      <c r="D79" s="2429" t="s">
        <v>2550</v>
      </c>
      <c r="E79" s="3310">
        <v>0.15</v>
      </c>
      <c r="F79" s="3311">
        <v>20</v>
      </c>
    </row>
    <row r="80" spans="1:7" ht="24">
      <c r="A80" s="2449">
        <v>6</v>
      </c>
      <c r="B80" s="5035"/>
      <c r="C80" s="2429" t="s">
        <v>2551</v>
      </c>
      <c r="D80" s="2429" t="s">
        <v>2552</v>
      </c>
      <c r="E80" s="3310">
        <v>0.15</v>
      </c>
      <c r="F80" s="3311">
        <v>20</v>
      </c>
    </row>
    <row r="81" spans="1:6" ht="24">
      <c r="A81" s="2449">
        <v>7</v>
      </c>
      <c r="B81" s="5035"/>
      <c r="C81" s="2429" t="s">
        <v>2553</v>
      </c>
      <c r="D81" s="2429" t="s">
        <v>2554</v>
      </c>
      <c r="E81" s="3310">
        <v>0.15</v>
      </c>
      <c r="F81" s="3311">
        <v>20</v>
      </c>
    </row>
    <row r="82" spans="1:6" ht="24">
      <c r="A82" s="2449">
        <v>8</v>
      </c>
      <c r="B82" s="5035"/>
      <c r="C82" s="2429" t="s">
        <v>2555</v>
      </c>
      <c r="D82" s="2429" t="s">
        <v>2556</v>
      </c>
      <c r="E82" s="3310">
        <v>0.1</v>
      </c>
      <c r="F82" s="3311">
        <v>15</v>
      </c>
    </row>
    <row r="83" spans="1:6" ht="24">
      <c r="A83" s="2449">
        <v>9</v>
      </c>
      <c r="B83" s="5035"/>
      <c r="C83" s="2429" t="s">
        <v>2557</v>
      </c>
      <c r="D83" s="2429" t="s">
        <v>2558</v>
      </c>
      <c r="E83" s="3310">
        <v>0.1</v>
      </c>
      <c r="F83" s="3311">
        <v>15</v>
      </c>
    </row>
    <row r="84" spans="1:6" ht="24">
      <c r="A84" s="2449">
        <v>10</v>
      </c>
      <c r="B84" s="5035"/>
      <c r="C84" s="2429" t="s">
        <v>2559</v>
      </c>
      <c r="D84" s="2429" t="s">
        <v>2560</v>
      </c>
      <c r="E84" s="3310">
        <v>0.1</v>
      </c>
      <c r="F84" s="3311">
        <v>15</v>
      </c>
    </row>
    <row r="85" spans="1:6" ht="24">
      <c r="A85" s="2449">
        <v>11</v>
      </c>
      <c r="B85" s="5035"/>
      <c r="C85" s="2429" t="s">
        <v>2561</v>
      </c>
      <c r="D85" s="2429" t="s">
        <v>2562</v>
      </c>
      <c r="E85" s="3310">
        <v>0.1</v>
      </c>
      <c r="F85" s="3311">
        <v>15</v>
      </c>
    </row>
    <row r="86" spans="1:6" ht="24">
      <c r="A86" s="2449">
        <v>12</v>
      </c>
      <c r="B86" s="5035"/>
      <c r="C86" s="2429" t="s">
        <v>2563</v>
      </c>
      <c r="D86" s="2429" t="s">
        <v>2564</v>
      </c>
      <c r="E86" s="3310">
        <v>0.1</v>
      </c>
      <c r="F86" s="3311">
        <v>15</v>
      </c>
    </row>
    <row r="87" spans="1:6" ht="13.5">
      <c r="A87" s="2449">
        <v>13</v>
      </c>
      <c r="B87" s="5035"/>
      <c r="C87" s="2429" t="s">
        <v>2565</v>
      </c>
      <c r="D87" s="2429" t="s">
        <v>2566</v>
      </c>
      <c r="E87" s="3310">
        <v>0.1</v>
      </c>
      <c r="F87" s="3311">
        <v>15</v>
      </c>
    </row>
    <row r="88" spans="1:6" ht="13.5">
      <c r="A88" s="2449">
        <v>14</v>
      </c>
      <c r="B88" s="5035"/>
      <c r="C88" s="2429" t="s">
        <v>2567</v>
      </c>
      <c r="D88" s="2429" t="s">
        <v>2568</v>
      </c>
      <c r="E88" s="3310">
        <v>0.1</v>
      </c>
      <c r="F88" s="3311">
        <v>15</v>
      </c>
    </row>
    <row r="89" spans="1:6" ht="13.5">
      <c r="A89" s="2449">
        <v>15</v>
      </c>
      <c r="B89" s="5035"/>
      <c r="C89" s="2429" t="s">
        <v>2569</v>
      </c>
      <c r="D89" s="2429" t="s">
        <v>2570</v>
      </c>
      <c r="E89" s="3310">
        <v>0.1</v>
      </c>
      <c r="F89" s="3311">
        <v>15</v>
      </c>
    </row>
    <row r="90" spans="1:6" ht="24">
      <c r="A90" s="2449">
        <v>16</v>
      </c>
      <c r="B90" s="5035"/>
      <c r="C90" s="2429" t="s">
        <v>2571</v>
      </c>
      <c r="D90" s="2429" t="s">
        <v>2572</v>
      </c>
      <c r="E90" s="3310">
        <v>0.1</v>
      </c>
      <c r="F90" s="3311">
        <v>15</v>
      </c>
    </row>
    <row r="91" spans="1:6" ht="24">
      <c r="A91" s="2449">
        <v>17</v>
      </c>
      <c r="B91" s="5034"/>
      <c r="C91" s="2429" t="s">
        <v>2573</v>
      </c>
      <c r="D91" s="2429" t="s">
        <v>2574</v>
      </c>
      <c r="E91" s="3310">
        <v>0.1</v>
      </c>
      <c r="F91" s="3311">
        <v>15</v>
      </c>
    </row>
    <row r="92" spans="1:6" ht="13.5">
      <c r="A92" s="2449">
        <v>18</v>
      </c>
      <c r="B92" s="5033" t="s">
        <v>2575</v>
      </c>
      <c r="C92" s="2429" t="s">
        <v>2576</v>
      </c>
      <c r="D92" s="2429" t="s">
        <v>2577</v>
      </c>
      <c r="E92" s="3310">
        <v>0.2</v>
      </c>
      <c r="F92" s="3311">
        <v>25</v>
      </c>
    </row>
    <row r="93" spans="1:6" ht="24">
      <c r="A93" s="2449">
        <v>19</v>
      </c>
      <c r="B93" s="5035"/>
      <c r="C93" s="2429" t="s">
        <v>2578</v>
      </c>
      <c r="D93" s="2429" t="s">
        <v>2579</v>
      </c>
      <c r="E93" s="3310">
        <v>0.2</v>
      </c>
      <c r="F93" s="3311">
        <v>25</v>
      </c>
    </row>
    <row r="94" spans="1:6" ht="13.5">
      <c r="A94" s="2449">
        <v>20</v>
      </c>
      <c r="B94" s="5035"/>
      <c r="C94" s="2429" t="s">
        <v>2580</v>
      </c>
      <c r="D94" s="2429" t="s">
        <v>2581</v>
      </c>
      <c r="E94" s="3310">
        <v>0.15</v>
      </c>
      <c r="F94" s="3311">
        <v>20</v>
      </c>
    </row>
    <row r="95" spans="1:6" ht="13.5">
      <c r="A95" s="2449">
        <v>21</v>
      </c>
      <c r="B95" s="5035"/>
      <c r="C95" s="2429" t="s">
        <v>2582</v>
      </c>
      <c r="D95" s="2429" t="s">
        <v>2583</v>
      </c>
      <c r="E95" s="3310">
        <v>0.15</v>
      </c>
      <c r="F95" s="3311">
        <v>20</v>
      </c>
    </row>
    <row r="96" spans="1:6" ht="13.5">
      <c r="A96" s="2449">
        <v>22</v>
      </c>
      <c r="B96" s="5035"/>
      <c r="C96" s="2429" t="s">
        <v>2584</v>
      </c>
      <c r="D96" s="2429" t="s">
        <v>2585</v>
      </c>
      <c r="E96" s="3310">
        <v>0.15</v>
      </c>
      <c r="F96" s="3311">
        <v>20</v>
      </c>
    </row>
    <row r="97" spans="1:6" ht="36">
      <c r="A97" s="2449">
        <v>23</v>
      </c>
      <c r="B97" s="5035"/>
      <c r="C97" s="2429" t="s">
        <v>2586</v>
      </c>
      <c r="D97" s="2429" t="s">
        <v>2587</v>
      </c>
      <c r="E97" s="3310">
        <v>0.15</v>
      </c>
      <c r="F97" s="3311">
        <v>20</v>
      </c>
    </row>
    <row r="98" spans="1:6" ht="13.5">
      <c r="A98" s="2449">
        <v>24</v>
      </c>
      <c r="B98" s="5035"/>
      <c r="C98" s="2429" t="s">
        <v>2588</v>
      </c>
      <c r="D98" s="2429" t="s">
        <v>2589</v>
      </c>
      <c r="E98" s="3310">
        <v>0.1</v>
      </c>
      <c r="F98" s="3311">
        <v>15</v>
      </c>
    </row>
    <row r="99" spans="1:6" ht="13.5">
      <c r="A99" s="2449">
        <v>25</v>
      </c>
      <c r="B99" s="5035"/>
      <c r="C99" s="2429" t="s">
        <v>2590</v>
      </c>
      <c r="D99" s="2429" t="s">
        <v>2591</v>
      </c>
      <c r="E99" s="3310">
        <v>0.1</v>
      </c>
      <c r="F99" s="3311">
        <v>15</v>
      </c>
    </row>
    <row r="100" spans="1:6" ht="24">
      <c r="A100" s="2449">
        <v>26</v>
      </c>
      <c r="B100" s="5035"/>
      <c r="C100" s="2429" t="s">
        <v>2592</v>
      </c>
      <c r="D100" s="2429" t="s">
        <v>2593</v>
      </c>
      <c r="E100" s="3310">
        <v>0.1</v>
      </c>
      <c r="F100" s="3311">
        <v>15</v>
      </c>
    </row>
    <row r="101" spans="1:6" ht="24">
      <c r="A101" s="2449">
        <v>27</v>
      </c>
      <c r="B101" s="5035"/>
      <c r="C101" s="2429" t="s">
        <v>2594</v>
      </c>
      <c r="D101" s="2429" t="s">
        <v>2595</v>
      </c>
      <c r="E101" s="3310">
        <v>0.1</v>
      </c>
      <c r="F101" s="3311">
        <v>15</v>
      </c>
    </row>
    <row r="102" spans="1:6" ht="13.5">
      <c r="A102" s="2449">
        <v>28</v>
      </c>
      <c r="B102" s="5035"/>
      <c r="C102" s="2429" t="s">
        <v>2596</v>
      </c>
      <c r="D102" s="2429" t="s">
        <v>2597</v>
      </c>
      <c r="E102" s="3310">
        <v>0.1</v>
      </c>
      <c r="F102" s="3311">
        <v>15</v>
      </c>
    </row>
    <row r="103" spans="1:6" ht="13.5">
      <c r="A103" s="2449">
        <v>29</v>
      </c>
      <c r="B103" s="5035"/>
      <c r="C103" s="2429" t="s">
        <v>2598</v>
      </c>
      <c r="D103" s="2429" t="s">
        <v>2599</v>
      </c>
      <c r="E103" s="3310">
        <v>0.1</v>
      </c>
      <c r="F103" s="3311">
        <v>15</v>
      </c>
    </row>
    <row r="104" spans="1:6" ht="13.5">
      <c r="A104" s="2449">
        <v>30</v>
      </c>
      <c r="B104" s="5035"/>
      <c r="C104" s="2429" t="s">
        <v>2600</v>
      </c>
      <c r="D104" s="2429" t="s">
        <v>2601</v>
      </c>
      <c r="E104" s="3310">
        <v>0.1</v>
      </c>
      <c r="F104" s="3311">
        <v>15</v>
      </c>
    </row>
    <row r="105" spans="1:6" ht="24">
      <c r="A105" s="2449">
        <v>31</v>
      </c>
      <c r="B105" s="5035"/>
      <c r="C105" s="2429" t="s">
        <v>2602</v>
      </c>
      <c r="D105" s="2429" t="s">
        <v>2603</v>
      </c>
      <c r="E105" s="3310">
        <v>0.1</v>
      </c>
      <c r="F105" s="3311">
        <v>15</v>
      </c>
    </row>
    <row r="106" spans="1:6" ht="24">
      <c r="A106" s="2449">
        <v>32</v>
      </c>
      <c r="B106" s="5035"/>
      <c r="C106" s="2429" t="s">
        <v>2604</v>
      </c>
      <c r="D106" s="2429" t="s">
        <v>2605</v>
      </c>
      <c r="E106" s="3310">
        <v>0.1</v>
      </c>
      <c r="F106" s="3311">
        <v>15</v>
      </c>
    </row>
    <row r="107" spans="1:6" ht="24">
      <c r="A107" s="2449">
        <v>33</v>
      </c>
      <c r="B107" s="5035"/>
      <c r="C107" s="2429" t="s">
        <v>2606</v>
      </c>
      <c r="D107" s="2429" t="s">
        <v>2607</v>
      </c>
      <c r="E107" s="3310">
        <v>0.1</v>
      </c>
      <c r="F107" s="3311">
        <v>15</v>
      </c>
    </row>
    <row r="108" spans="1:6" ht="24">
      <c r="A108" s="2449">
        <v>34</v>
      </c>
      <c r="B108" s="5034"/>
      <c r="C108" s="2429" t="s">
        <v>2608</v>
      </c>
      <c r="D108" s="2429" t="s">
        <v>2609</v>
      </c>
      <c r="E108" s="3310">
        <v>0.1</v>
      </c>
      <c r="F108" s="3311">
        <v>15</v>
      </c>
    </row>
    <row r="109" spans="1:6" ht="24">
      <c r="A109" s="2449">
        <v>35</v>
      </c>
      <c r="B109" s="5033" t="s">
        <v>2610</v>
      </c>
      <c r="C109" s="2449" t="s">
        <v>2611</v>
      </c>
      <c r="D109" s="2429" t="s">
        <v>2612</v>
      </c>
      <c r="E109" s="3310">
        <v>0.15</v>
      </c>
      <c r="F109" s="3311">
        <v>20</v>
      </c>
    </row>
    <row r="110" spans="1:6" ht="13.5">
      <c r="A110" s="2449">
        <v>36</v>
      </c>
      <c r="B110" s="5035"/>
      <c r="C110" s="2449" t="s">
        <v>2613</v>
      </c>
      <c r="D110" s="2429" t="s">
        <v>2614</v>
      </c>
      <c r="E110" s="3310">
        <v>0.15</v>
      </c>
      <c r="F110" s="3311">
        <v>20</v>
      </c>
    </row>
    <row r="111" spans="1:6" ht="13.5">
      <c r="A111" s="2449">
        <v>37</v>
      </c>
      <c r="B111" s="5035"/>
      <c r="C111" s="2449" t="s">
        <v>2615</v>
      </c>
      <c r="D111" s="2429" t="s">
        <v>2616</v>
      </c>
      <c r="E111" s="3310">
        <v>0.15</v>
      </c>
      <c r="F111" s="3311">
        <v>20</v>
      </c>
    </row>
    <row r="112" spans="1:6" ht="13.5">
      <c r="A112" s="2449">
        <v>38</v>
      </c>
      <c r="B112" s="5035"/>
      <c r="C112" s="2449" t="s">
        <v>2617</v>
      </c>
      <c r="D112" s="2429" t="s">
        <v>2618</v>
      </c>
      <c r="E112" s="3310">
        <v>0.1</v>
      </c>
      <c r="F112" s="3311">
        <v>15</v>
      </c>
    </row>
    <row r="113" spans="1:6" ht="24">
      <c r="A113" s="2449">
        <v>39</v>
      </c>
      <c r="B113" s="5035"/>
      <c r="C113" s="2449" t="s">
        <v>2619</v>
      </c>
      <c r="D113" s="2429" t="s">
        <v>2620</v>
      </c>
      <c r="E113" s="3310">
        <v>0.1</v>
      </c>
      <c r="F113" s="3311">
        <v>15</v>
      </c>
    </row>
    <row r="114" spans="1:6" ht="24">
      <c r="A114" s="2449">
        <v>40</v>
      </c>
      <c r="B114" s="5034"/>
      <c r="C114" s="2449" t="s">
        <v>2621</v>
      </c>
      <c r="D114" s="2429" t="s">
        <v>2622</v>
      </c>
      <c r="E114" s="3310">
        <v>0.1</v>
      </c>
      <c r="F114" s="3311">
        <v>15</v>
      </c>
    </row>
    <row r="115" spans="1:6" ht="13.5">
      <c r="A115" s="2449">
        <v>41</v>
      </c>
      <c r="B115" s="5032" t="s">
        <v>2623</v>
      </c>
      <c r="C115" s="2449" t="s">
        <v>2624</v>
      </c>
      <c r="D115" s="2429" t="s">
        <v>2625</v>
      </c>
      <c r="E115" s="3310">
        <v>0.1</v>
      </c>
      <c r="F115" s="3311">
        <v>15</v>
      </c>
    </row>
    <row r="116" spans="1:6" ht="13.5">
      <c r="A116" s="2449">
        <v>42</v>
      </c>
      <c r="B116" s="5032"/>
      <c r="C116" s="2449" t="s">
        <v>2626</v>
      </c>
      <c r="D116" s="2429" t="s">
        <v>2627</v>
      </c>
      <c r="E116" s="3310">
        <v>0.1</v>
      </c>
      <c r="F116" s="3311">
        <v>15</v>
      </c>
    </row>
    <row r="117" spans="1:6" ht="24">
      <c r="A117" s="2449">
        <v>43</v>
      </c>
      <c r="B117" s="5032"/>
      <c r="C117" s="2449" t="s">
        <v>2628</v>
      </c>
      <c r="D117" s="2429" t="s">
        <v>2629</v>
      </c>
      <c r="E117" s="3310">
        <v>0.1</v>
      </c>
      <c r="F117" s="3311">
        <v>15</v>
      </c>
    </row>
    <row r="118" spans="1:6" ht="13.5">
      <c r="A118" s="2449">
        <v>44</v>
      </c>
      <c r="B118" s="5033" t="s">
        <v>2630</v>
      </c>
      <c r="C118" s="2449" t="s">
        <v>2631</v>
      </c>
      <c r="D118" s="2429" t="s">
        <v>2632</v>
      </c>
      <c r="E118" s="3310">
        <v>0.1</v>
      </c>
      <c r="F118" s="3311">
        <v>15</v>
      </c>
    </row>
    <row r="119" spans="1:6" ht="24">
      <c r="A119" s="2449">
        <v>45</v>
      </c>
      <c r="B119" s="5034"/>
      <c r="C119" s="2429" t="s">
        <v>2633</v>
      </c>
      <c r="D119" s="2429" t="s">
        <v>2634</v>
      </c>
      <c r="E119" s="3310">
        <v>0.1</v>
      </c>
      <c r="F119" s="3311">
        <v>15</v>
      </c>
    </row>
    <row r="120" spans="1:6" ht="24">
      <c r="A120" s="2449">
        <v>46</v>
      </c>
      <c r="B120" s="5033" t="s">
        <v>2635</v>
      </c>
      <c r="C120" s="2449" t="s">
        <v>2636</v>
      </c>
      <c r="D120" s="2429" t="s">
        <v>2637</v>
      </c>
      <c r="E120" s="3310">
        <v>0.1</v>
      </c>
      <c r="F120" s="3311">
        <v>15</v>
      </c>
    </row>
    <row r="121" spans="1:6" ht="24">
      <c r="A121" s="2449">
        <v>47</v>
      </c>
      <c r="B121" s="5034"/>
      <c r="C121" s="2449" t="s">
        <v>2638</v>
      </c>
      <c r="D121" s="2429" t="s">
        <v>2639</v>
      </c>
      <c r="E121" s="3310">
        <v>0.1</v>
      </c>
      <c r="F121" s="3311">
        <v>15</v>
      </c>
    </row>
    <row r="122" spans="1:6" ht="13.5">
      <c r="A122" s="2449">
        <v>48</v>
      </c>
      <c r="B122" s="5033" t="s">
        <v>2640</v>
      </c>
      <c r="C122" s="2449" t="s">
        <v>2641</v>
      </c>
      <c r="D122" s="2429" t="s">
        <v>2642</v>
      </c>
      <c r="E122" s="3310">
        <v>0.1</v>
      </c>
      <c r="F122" s="3311">
        <v>15</v>
      </c>
    </row>
    <row r="123" spans="1:6" ht="13.5">
      <c r="A123" s="2449">
        <v>49</v>
      </c>
      <c r="B123" s="5034"/>
      <c r="C123" s="2449" t="s">
        <v>2643</v>
      </c>
      <c r="D123" s="2429" t="s">
        <v>2644</v>
      </c>
      <c r="E123" s="3310">
        <v>0.1</v>
      </c>
      <c r="F123" s="3311">
        <v>15</v>
      </c>
    </row>
    <row r="124" spans="1:6" ht="24">
      <c r="A124" s="2449">
        <v>50</v>
      </c>
      <c r="B124" s="5032" t="s">
        <v>2645</v>
      </c>
      <c r="C124" s="2449" t="s">
        <v>2646</v>
      </c>
      <c r="D124" s="2429" t="s">
        <v>2647</v>
      </c>
      <c r="E124" s="3310">
        <v>0.1</v>
      </c>
      <c r="F124" s="3311">
        <v>15</v>
      </c>
    </row>
    <row r="125" spans="1:6" ht="24">
      <c r="A125" s="2449">
        <v>51</v>
      </c>
      <c r="B125" s="5032"/>
      <c r="C125" s="2449" t="s">
        <v>2648</v>
      </c>
      <c r="D125" s="2429" t="s">
        <v>2649</v>
      </c>
      <c r="E125" s="3310">
        <v>0.1</v>
      </c>
      <c r="F125" s="3311">
        <v>15</v>
      </c>
    </row>
    <row r="126" spans="1:6" ht="24">
      <c r="A126" s="2449">
        <v>52</v>
      </c>
      <c r="B126" s="5032" t="s">
        <v>2650</v>
      </c>
      <c r="C126" s="2449" t="s">
        <v>2651</v>
      </c>
      <c r="D126" s="2429" t="s">
        <v>2652</v>
      </c>
      <c r="E126" s="3310">
        <v>0.1</v>
      </c>
      <c r="F126" s="3311">
        <v>15</v>
      </c>
    </row>
    <row r="127" spans="1:6" ht="24">
      <c r="A127" s="2449">
        <v>53</v>
      </c>
      <c r="B127" s="5032"/>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32" t="s">
        <v>2658</v>
      </c>
      <c r="C129" s="2449" t="s">
        <v>2659</v>
      </c>
      <c r="D129" s="2429" t="s">
        <v>2660</v>
      </c>
      <c r="E129" s="3310">
        <v>0.1</v>
      </c>
      <c r="F129" s="3311">
        <v>15</v>
      </c>
    </row>
    <row r="130" spans="1:6" ht="13.5">
      <c r="A130" s="2449">
        <v>56</v>
      </c>
      <c r="B130" s="5032"/>
      <c r="C130" s="2449" t="s">
        <v>2661</v>
      </c>
      <c r="D130" s="2429" t="s">
        <v>2662</v>
      </c>
      <c r="E130" s="3310">
        <v>0.1</v>
      </c>
      <c r="F130" s="3311">
        <v>15</v>
      </c>
    </row>
    <row r="131" spans="1:6" ht="24">
      <c r="A131" s="2449">
        <v>57</v>
      </c>
      <c r="B131" s="5032"/>
      <c r="C131" s="2449" t="s">
        <v>2663</v>
      </c>
      <c r="D131" s="2429" t="s">
        <v>2664</v>
      </c>
      <c r="E131" s="3310">
        <v>0.1</v>
      </c>
      <c r="F131" s="3311">
        <v>15</v>
      </c>
    </row>
    <row r="132" spans="1:6" ht="24">
      <c r="A132" s="2449">
        <v>58</v>
      </c>
      <c r="B132" s="5032" t="s">
        <v>2665</v>
      </c>
      <c r="C132" s="2449" t="s">
        <v>2666</v>
      </c>
      <c r="D132" s="2429" t="s">
        <v>2667</v>
      </c>
      <c r="E132" s="3310">
        <v>0.1</v>
      </c>
      <c r="F132" s="3311">
        <v>15</v>
      </c>
    </row>
    <row r="133" spans="1:6" ht="13.5">
      <c r="A133" s="2449">
        <v>59</v>
      </c>
      <c r="B133" s="5032"/>
      <c r="C133" s="2449" t="s">
        <v>2668</v>
      </c>
      <c r="D133" s="2429" t="s">
        <v>2669</v>
      </c>
      <c r="E133" s="3310">
        <v>0.1</v>
      </c>
      <c r="F133" s="3311">
        <v>15</v>
      </c>
    </row>
    <row r="134" spans="1:6" ht="13.5">
      <c r="A134" s="2449">
        <v>60</v>
      </c>
      <c r="B134" s="5033" t="s">
        <v>2670</v>
      </c>
      <c r="C134" s="2449" t="s">
        <v>2671</v>
      </c>
      <c r="D134" s="2429" t="s">
        <v>2672</v>
      </c>
      <c r="E134" s="3310">
        <v>0.1</v>
      </c>
      <c r="F134" s="3311">
        <v>15</v>
      </c>
    </row>
    <row r="135" spans="1:6" ht="13.5">
      <c r="A135" s="2449">
        <v>61</v>
      </c>
      <c r="B135" s="5034"/>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32" t="s">
        <v>2678</v>
      </c>
      <c r="C137" s="2449" t="s">
        <v>2679</v>
      </c>
      <c r="D137" s="2429" t="s">
        <v>2680</v>
      </c>
      <c r="E137" s="3310">
        <v>0.1</v>
      </c>
      <c r="F137" s="3311">
        <v>15</v>
      </c>
    </row>
    <row r="138" spans="1:6" ht="13.5">
      <c r="A138" s="2449">
        <v>64</v>
      </c>
      <c r="B138" s="5032"/>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39" t="s">
        <v>92</v>
      </c>
    </row>
    <row r="43" spans="1:7" ht="13.5" customHeight="1">
      <c r="A43" s="540" t="s">
        <v>345</v>
      </c>
      <c r="B43" s="114" t="s">
        <v>420</v>
      </c>
      <c r="C43" s="137" t="e">
        <f ca="1">ROUND(IF('数据-取费表'!B22&lt;=1,C39*F22*'数据-取费表'!B21/2,C39*(POWER((1+F22),'数据-取费表'!B21/2)-1)),0)</f>
        <v>#VALUE!</v>
      </c>
      <c r="D43" s="137"/>
      <c r="E43" s="137"/>
      <c r="F43" s="138"/>
      <c r="G43" s="4841"/>
    </row>
    <row r="44" spans="1:7" ht="13.5" customHeight="1">
      <c r="A44" s="540" t="s">
        <v>346</v>
      </c>
      <c r="B44" s="114" t="s">
        <v>422</v>
      </c>
      <c r="C44" s="137" t="e">
        <f ca="1">ROUND(IF('数据-取费表'!B22&lt;=1,C40*F22*'数据-取费表'!B21/2,C40*(POWER((1+F22),'数据-取费表'!B21/2)-1)),4)</f>
        <v>#VALUE!</v>
      </c>
      <c r="D44" s="137"/>
      <c r="E44" s="137"/>
      <c r="F44" s="138"/>
      <c r="G44" s="484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46" t="s">
        <v>3070</v>
      </c>
      <c r="B1" s="5046"/>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47" t="s">
        <v>3121</v>
      </c>
      <c r="B1" s="5047"/>
      <c r="C1" s="5047"/>
      <c r="D1" s="5047"/>
      <c r="E1" s="5047"/>
      <c r="F1" s="5048"/>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2" sqref="G2:G5"/>
    </sheetView>
  </sheetViews>
  <sheetFormatPr defaultRowHeight="13.5"/>
  <cols>
    <col min="1" max="1" width="13.875" customWidth="1"/>
    <col min="11" max="17" width="9" customWidth="1"/>
    <col min="25" max="30" width="0" hidden="1" customWidth="1"/>
  </cols>
  <sheetData>
    <row r="1" spans="1:44">
      <c r="A1" s="2539">
        <f>基准地价修正!G23</f>
        <v>46063</v>
      </c>
      <c r="B1" s="2528" t="s">
        <v>3264</v>
      </c>
      <c r="C1" s="2529"/>
      <c r="D1" s="2529"/>
      <c r="E1" s="2529"/>
      <c r="F1" s="2529"/>
      <c r="G1" s="2529"/>
      <c r="H1" s="2529"/>
      <c r="I1" s="2529"/>
      <c r="J1" s="2495"/>
      <c r="K1" s="2529" t="s">
        <v>448</v>
      </c>
      <c r="L1" s="2529"/>
      <c r="M1" s="2529"/>
      <c r="N1" s="2529"/>
      <c r="O1" s="2529"/>
      <c r="P1" s="2529"/>
      <c r="Q1" s="2495"/>
      <c r="R1" s="5049" t="s">
        <v>450</v>
      </c>
      <c r="S1" s="5050"/>
      <c r="T1" s="5050"/>
      <c r="U1" s="5050"/>
      <c r="V1" s="5050"/>
      <c r="W1" s="5050"/>
      <c r="X1" s="2495"/>
      <c r="Y1" s="5049" t="s">
        <v>451</v>
      </c>
      <c r="Z1" s="5050"/>
      <c r="AA1" s="5050"/>
      <c r="AB1" s="5050"/>
      <c r="AC1" s="5050"/>
      <c r="AD1" s="5050"/>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49" t="s">
        <v>2716</v>
      </c>
      <c r="S33" s="5050"/>
      <c r="T33" s="5050"/>
      <c r="U33" s="5050"/>
      <c r="V33" s="5050"/>
      <c r="W33" s="5050"/>
      <c r="X33" s="2495"/>
      <c r="Y33" s="5049" t="s">
        <v>2717</v>
      </c>
      <c r="Z33" s="5050"/>
      <c r="AA33" s="5050"/>
      <c r="AB33" s="5050"/>
      <c r="AC33" s="5050"/>
      <c r="AD33" s="5050"/>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56" t="s">
        <v>446</v>
      </c>
      <c r="C1" s="5056"/>
      <c r="D1" s="5056"/>
      <c r="E1" s="5056"/>
      <c r="F1" s="5056"/>
      <c r="G1" s="5055" t="s">
        <v>447</v>
      </c>
      <c r="H1" s="5055"/>
      <c r="I1" s="5055"/>
      <c r="J1" s="5055"/>
      <c r="K1" s="5055"/>
      <c r="L1" s="5055"/>
      <c r="N1" s="5055" t="s">
        <v>448</v>
      </c>
      <c r="O1" s="5055"/>
      <c r="P1" s="5055"/>
      <c r="Q1" s="5055"/>
      <c r="S1" s="5055" t="s">
        <v>449</v>
      </c>
      <c r="T1" s="5055"/>
      <c r="U1" s="5055"/>
      <c r="V1" s="5055"/>
      <c r="X1" s="5054" t="s">
        <v>450</v>
      </c>
      <c r="Y1" s="5055"/>
      <c r="Z1" s="5055"/>
      <c r="AA1" s="5055"/>
      <c r="AB1" s="5055"/>
      <c r="AD1" s="5054" t="s">
        <v>451</v>
      </c>
      <c r="AE1" s="5055"/>
      <c r="AF1" s="5055"/>
      <c r="AG1" s="5055"/>
      <c r="AH1" s="5055"/>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52">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52"/>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52"/>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61"/>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57">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52"/>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52"/>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61"/>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57">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52"/>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52"/>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53"/>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51">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52"/>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52"/>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53"/>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51">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52"/>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52"/>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53"/>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58">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59"/>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59"/>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0"/>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51">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52"/>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52"/>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53"/>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51">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52">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52">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53">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51">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52">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52">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53">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51">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52">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52">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53">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51">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52">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52">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53">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51">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52">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52">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53">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51">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52">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52">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53">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51">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52">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52">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53">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51">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52">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52">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53">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51">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52">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52">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53">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51">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52">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52">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53">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64" t="s">
        <v>2728</v>
      </c>
      <c r="B1" s="5064"/>
      <c r="C1" s="5064"/>
      <c r="D1" s="5064"/>
      <c r="E1" s="5064"/>
      <c r="F1" s="5064"/>
      <c r="G1" s="5065"/>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62"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63"/>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 sqref="G2:G5"/>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46063</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13</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5" t="str">
        <f>IF(项目基本情况!B9="房地产市场价值","估价结果一览表","结果表-2")</f>
        <v>结果表-2</v>
      </c>
      <c r="B1" s="4645"/>
      <c r="C1" s="4645"/>
      <c r="D1" s="4645"/>
      <c r="E1" s="4645"/>
      <c r="F1" s="4645"/>
      <c r="G1" s="4645"/>
      <c r="H1" s="4645"/>
      <c r="I1" s="4645"/>
    </row>
    <row r="2" spans="1:9" ht="30" customHeight="1" thickTop="1">
      <c r="A2" s="4646" t="s">
        <v>912</v>
      </c>
      <c r="B2" s="4646" t="s">
        <v>913</v>
      </c>
      <c r="C2" s="4646" t="s">
        <v>914</v>
      </c>
      <c r="D2" s="4646" t="str">
        <f>结果表!D116</f>
        <v>出让国有建设用地使用权价值</v>
      </c>
      <c r="E2" s="4646"/>
      <c r="F2" s="4646">
        <f>结果表!F116</f>
        <v>0</v>
      </c>
      <c r="G2" s="4646"/>
      <c r="H2" s="4646" t="str">
        <f>IF(项目基本情况!B9="房地产市场价值","房地产市场价值","房地产价值")</f>
        <v>房地产价值</v>
      </c>
      <c r="I2" s="4646"/>
    </row>
    <row r="3" spans="1:9" ht="15">
      <c r="A3" s="4641"/>
      <c r="B3" s="4641"/>
      <c r="C3" s="4641"/>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41" t="s">
        <v>911</v>
      </c>
      <c r="B5" s="4641"/>
      <c r="C5" s="4641"/>
      <c r="D5" s="4641" t="e">
        <f ca="1">结果表!D119</f>
        <v>#REF!</v>
      </c>
      <c r="E5" s="4641"/>
      <c r="F5" s="4641" t="e">
        <f ca="1">结果表!F119</f>
        <v>#REF!</v>
      </c>
      <c r="G5" s="4641"/>
      <c r="H5" s="4641" t="e">
        <f ca="1">结果表!H119</f>
        <v>#REF!</v>
      </c>
      <c r="I5" s="4641"/>
    </row>
    <row r="6" spans="1:9" ht="15.75">
      <c r="A6" s="4640" t="str">
        <f>结果表!A120</f>
        <v>估价师知悉的法定优先受偿款</v>
      </c>
      <c r="B6" s="4640"/>
      <c r="C6" s="4640"/>
      <c r="D6" s="4640">
        <f>结果表!H120</f>
        <v>0</v>
      </c>
      <c r="E6" s="4640"/>
      <c r="F6" s="4640"/>
      <c r="G6" s="4640"/>
      <c r="H6" s="4640"/>
      <c r="I6" s="4640"/>
    </row>
    <row r="7" spans="1:9" ht="15">
      <c r="A7" s="4641" t="s">
        <v>911</v>
      </c>
      <c r="B7" s="4641"/>
      <c r="C7" s="4641"/>
      <c r="D7" s="4642" t="str">
        <f>结果表!H121</f>
        <v>零元整</v>
      </c>
      <c r="E7" s="4643"/>
      <c r="F7" s="4643"/>
      <c r="G7" s="4643"/>
      <c r="H7" s="4643"/>
      <c r="I7" s="4644"/>
    </row>
    <row r="8" spans="1:9" ht="15.75">
      <c r="A8" s="4640" t="str">
        <f>结果表!A122</f>
        <v>房地产抵押价值</v>
      </c>
      <c r="B8" s="4640"/>
      <c r="C8" s="4640"/>
      <c r="D8" s="4640" t="e">
        <f ca="1">结果表!H122</f>
        <v>#REF!</v>
      </c>
      <c r="E8" s="4640"/>
      <c r="F8" s="4640"/>
      <c r="G8" s="4640"/>
      <c r="H8" s="4640"/>
      <c r="I8" s="4640"/>
    </row>
    <row r="9" spans="1:9" ht="15">
      <c r="A9" s="4641" t="s">
        <v>911</v>
      </c>
      <c r="B9" s="4641"/>
      <c r="C9" s="4641"/>
      <c r="D9" s="4641" t="e">
        <f ca="1">结果表!H123</f>
        <v>#REF!</v>
      </c>
      <c r="E9" s="4641"/>
      <c r="F9" s="4641"/>
      <c r="G9" s="4641"/>
      <c r="H9" s="4641"/>
      <c r="I9" s="4641"/>
    </row>
    <row r="10" spans="1:9" ht="15.75">
      <c r="A10" s="4640" t="str">
        <f>结果表!A124</f>
        <v/>
      </c>
      <c r="B10" s="4640"/>
      <c r="C10" s="4640"/>
      <c r="D10" s="4640" t="str">
        <f>结果表!H124</f>
        <v>——</v>
      </c>
      <c r="E10" s="4640"/>
      <c r="F10" s="4640"/>
      <c r="G10" s="4640"/>
      <c r="H10" s="4640"/>
      <c r="I10" s="4640"/>
    </row>
    <row r="11" spans="1:9" ht="15">
      <c r="A11" s="4641" t="s">
        <v>911</v>
      </c>
      <c r="B11" s="4641"/>
      <c r="C11" s="4641"/>
      <c r="D11" s="4641" t="e">
        <f>结果表!H125</f>
        <v>#VALUE!</v>
      </c>
      <c r="E11" s="4641"/>
      <c r="F11" s="4641"/>
      <c r="G11" s="4641"/>
      <c r="H11" s="4641"/>
      <c r="I11" s="4641"/>
    </row>
    <row r="12" spans="1:9" ht="15.75">
      <c r="A12" s="4640" t="str">
        <f>结果表!A126</f>
        <v/>
      </c>
      <c r="B12" s="4640"/>
      <c r="C12" s="4640"/>
      <c r="D12" s="4640" t="str">
        <f>结果表!H126</f>
        <v>——</v>
      </c>
      <c r="E12" s="4640"/>
      <c r="F12" s="4640"/>
      <c r="G12" s="4640"/>
      <c r="H12" s="4640"/>
      <c r="I12" s="4640"/>
    </row>
    <row r="13" spans="1:9" ht="15.75" thickBot="1">
      <c r="A13" s="4638" t="s">
        <v>911</v>
      </c>
      <c r="B13" s="4638"/>
      <c r="C13" s="4638"/>
      <c r="D13" s="4638" t="e">
        <f>结果表!H127</f>
        <v>#VALUE!</v>
      </c>
      <c r="E13" s="4638"/>
      <c r="F13" s="4638"/>
      <c r="G13" s="4638"/>
      <c r="H13" s="4638"/>
      <c r="I13" s="4638"/>
    </row>
    <row r="14" spans="1:9" ht="15" thickTop="1">
      <c r="A14" s="4639" t="s">
        <v>916</v>
      </c>
      <c r="B14" s="4639"/>
      <c r="C14" s="4639"/>
      <c r="D14" s="4639"/>
      <c r="E14" s="4639"/>
      <c r="F14" s="4639"/>
      <c r="G14" s="4639"/>
      <c r="H14" s="4639"/>
      <c r="I14" s="4639"/>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3" t="s">
        <v>933</v>
      </c>
      <c r="B1" s="4653"/>
      <c r="C1" s="4653"/>
      <c r="D1" s="4653"/>
    </row>
    <row r="2" spans="1:4" ht="18">
      <c r="A2" s="4654" t="s">
        <v>917</v>
      </c>
      <c r="B2" s="4654"/>
      <c r="C2" s="4654"/>
      <c r="D2" s="4654"/>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4" t="s">
        <v>923</v>
      </c>
      <c r="B6" s="4654"/>
      <c r="C6" s="4654"/>
      <c r="D6" s="4654"/>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5" t="s">
        <v>926</v>
      </c>
      <c r="B11" s="4647"/>
      <c r="C11" s="4647"/>
      <c r="D11" s="4647"/>
    </row>
    <row r="12" spans="1:4" ht="15.75">
      <c r="A12" s="4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2"/>
      <c r="C12" s="4652"/>
      <c r="D12" s="4652"/>
    </row>
    <row r="13" spans="1:4" ht="30" customHeight="1">
      <c r="A13" s="4647" t="str">
        <f>IF(项目基本情况!B8="抵押","3.抵押双方在办理抵押登记手续时，应使用本公司出具的正式《房地产评估报告》，特提醒报告使用者注意。","——")</f>
        <v>——</v>
      </c>
      <c r="B13" s="4652"/>
      <c r="C13" s="4652"/>
      <c r="D13" s="4652"/>
    </row>
    <row r="14" spans="1:4" ht="15.75" customHeight="1">
      <c r="A14" s="4647" t="str">
        <f>IF(项目基本情况!B8="抵押","4.本次评估估价师所知悉的法定优先受偿款情况说明如下：","——")</f>
        <v>——</v>
      </c>
      <c r="B14" s="4652"/>
      <c r="C14" s="4652"/>
      <c r="D14" s="4652"/>
    </row>
    <row r="15" spans="1:4" ht="42" customHeight="1">
      <c r="A15" s="4647" t="str">
        <f>IF(项目基本情况!B8="抵押","（1）"&amp;CONCATENATE(项目基本情况!L20,项目基本情况!L21,项目基本情况!L22),"——")</f>
        <v>——</v>
      </c>
      <c r="B15" s="4647"/>
      <c r="C15" s="4647"/>
      <c r="D15" s="4647"/>
    </row>
    <row r="16" spans="1:4" ht="30" customHeight="1">
      <c r="A16" s="4649" t="s">
        <v>927</v>
      </c>
      <c r="B16" s="4649"/>
      <c r="C16" s="4649"/>
      <c r="D16" s="4649"/>
    </row>
    <row r="17" spans="1:4" ht="144" customHeight="1">
      <c r="A17" s="4649" t="s">
        <v>928</v>
      </c>
      <c r="B17" s="4649"/>
      <c r="C17" s="4649"/>
      <c r="D17" s="4649"/>
    </row>
    <row r="18" spans="1:4" ht="15.75" customHeight="1">
      <c r="A18" s="4647" t="str">
        <f>IF(项目基本情况!B8="抵押",结果表!K120,"——")</f>
        <v>——</v>
      </c>
      <c r="B18" s="4647"/>
      <c r="C18" s="4647"/>
      <c r="D18" s="4647"/>
    </row>
    <row r="19" spans="1:4" ht="46.5" customHeight="1">
      <c r="A19" s="4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47"/>
      <c r="C19" s="4647"/>
      <c r="D19" s="4647"/>
    </row>
    <row r="20" spans="1:4" ht="57.75" customHeight="1">
      <c r="A20" s="4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7"/>
      <c r="C20" s="4647"/>
      <c r="D20" s="4647"/>
    </row>
    <row r="21" spans="1:4" ht="57.75" customHeight="1">
      <c r="A21" s="4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0"/>
      <c r="C21" s="4650"/>
      <c r="D21" s="4650"/>
    </row>
    <row r="22" spans="1:4" ht="18.75" customHeight="1">
      <c r="A22" s="4651" t="s">
        <v>929</v>
      </c>
      <c r="B22" s="4651"/>
      <c r="C22" s="4651"/>
      <c r="D22" s="4651"/>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8">
        <v>42551</v>
      </c>
      <c r="D31" s="464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activeCellId="1" sqref="E13 B40"/>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1" t="s">
        <v>940</v>
      </c>
      <c r="B15" s="4656" t="s">
        <v>107</v>
      </c>
      <c r="C15" s="4657"/>
    </row>
    <row r="16" spans="1:7" ht="13.5">
      <c r="A16" s="4662"/>
      <c r="B16" s="4656" t="s">
        <v>40</v>
      </c>
      <c r="C16" s="4657"/>
    </row>
    <row r="17" spans="1:3" ht="13.5">
      <c r="A17" s="4662"/>
      <c r="B17" s="4659" t="s">
        <v>941</v>
      </c>
      <c r="C17" s="1138" t="s">
        <v>940</v>
      </c>
    </row>
    <row r="18" spans="1:3" ht="13.5">
      <c r="A18" s="4662"/>
      <c r="B18" s="4659"/>
      <c r="C18" s="1138" t="s">
        <v>942</v>
      </c>
    </row>
    <row r="19" spans="1:3" ht="13.5">
      <c r="A19" s="4662"/>
      <c r="B19" s="4659"/>
      <c r="C19" s="1138" t="s">
        <v>943</v>
      </c>
    </row>
    <row r="20" spans="1:3" ht="13.5">
      <c r="A20" s="4663"/>
      <c r="B20" s="4658" t="s">
        <v>944</v>
      </c>
      <c r="C20" s="4657"/>
    </row>
    <row r="21" spans="1:3" ht="13.5">
      <c r="A21" s="1139" t="s">
        <v>945</v>
      </c>
      <c r="B21" s="1140"/>
      <c r="C21" s="1141"/>
    </row>
    <row r="22" spans="1:3" ht="13.5">
      <c r="A22" s="4660" t="s">
        <v>946</v>
      </c>
      <c r="B22" s="4658" t="s">
        <v>947</v>
      </c>
      <c r="C22" s="4657"/>
    </row>
    <row r="23" spans="1:3" ht="13.5">
      <c r="A23" s="4660"/>
      <c r="B23" s="4658" t="s">
        <v>948</v>
      </c>
      <c r="C23" s="4657"/>
    </row>
    <row r="24" spans="1:3" ht="13.5">
      <c r="A24" s="4660"/>
      <c r="B24" s="4658" t="s">
        <v>949</v>
      </c>
      <c r="C24" s="4657"/>
    </row>
    <row r="25" spans="1:3" ht="13.5">
      <c r="A25" s="4660"/>
      <c r="B25" s="4659" t="s">
        <v>950</v>
      </c>
      <c r="C25" s="1138" t="s">
        <v>951</v>
      </c>
    </row>
    <row r="26" spans="1:3" ht="13.5">
      <c r="A26" s="4660"/>
      <c r="B26" s="4659"/>
      <c r="C26" s="1138" t="s">
        <v>952</v>
      </c>
    </row>
    <row r="27" spans="1:3" ht="13.5">
      <c r="A27" s="4660"/>
      <c r="B27" s="4659"/>
      <c r="C27" s="1138" t="s">
        <v>953</v>
      </c>
    </row>
    <row r="28" spans="1:3" ht="13.5">
      <c r="A28" s="4660"/>
      <c r="B28" s="4659"/>
      <c r="C28" s="1138" t="s">
        <v>954</v>
      </c>
    </row>
    <row r="29" spans="1:3" ht="13.5">
      <c r="A29" s="4660"/>
      <c r="B29" s="4659"/>
      <c r="C29" s="1138" t="s">
        <v>955</v>
      </c>
    </row>
    <row r="30" spans="1:3" ht="13.5">
      <c r="A30" s="4660"/>
      <c r="B30" s="4659"/>
      <c r="C30" s="1138" t="s">
        <v>956</v>
      </c>
    </row>
    <row r="31" spans="1:3" ht="13.5">
      <c r="A31" s="4660"/>
      <c r="B31" s="4659"/>
      <c r="C31" s="1138" t="s">
        <v>957</v>
      </c>
    </row>
    <row r="32" spans="1:3" ht="13.5">
      <c r="A32" s="4660"/>
      <c r="B32" s="4659"/>
      <c r="C32" s="1138" t="s">
        <v>958</v>
      </c>
    </row>
    <row r="33" spans="1:3" ht="13.5">
      <c r="A33" s="4660"/>
      <c r="B33" s="4659"/>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0" activeCellId="1" sqref="E13 B40"/>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46091</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11">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11">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11">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11">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11">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2">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2">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11">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2">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11">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2">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12">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3976</v>
      </c>
      <c r="B16" s="928">
        <v>1120240051</v>
      </c>
      <c r="C16" s="4611"/>
      <c r="D16" s="1839" t="str">
        <f>A16&amp;"（注册号："&amp;B16&amp;"）"</f>
        <v>赵雯（注册号：1120240051）</v>
      </c>
      <c r="E16" s="1840"/>
      <c r="F16" s="928"/>
      <c r="G16" s="928"/>
      <c r="H16" s="1843" t="str">
        <f t="shared" si="1"/>
        <v>（注册号：）</v>
      </c>
    </row>
    <row r="17" spans="1:8" ht="24" customHeight="1">
      <c r="A17" s="4664" t="s">
        <v>2064</v>
      </c>
      <c r="B17" s="4664"/>
      <c r="C17" s="4664"/>
      <c r="D17" s="4664"/>
      <c r="E17" s="4664"/>
      <c r="F17" s="4664"/>
      <c r="G17" s="4664"/>
      <c r="H17" s="4664"/>
    </row>
    <row r="18" spans="1:8" ht="24" customHeight="1">
      <c r="A18" s="4665" t="s">
        <v>2065</v>
      </c>
      <c r="B18" s="4665"/>
      <c r="C18" s="4665"/>
      <c r="D18" s="1837"/>
      <c r="E18" s="4666" t="s">
        <v>2066</v>
      </c>
      <c r="F18" s="4665"/>
      <c r="G18" s="4665"/>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2026-03-10T09:19:15Z</dcterms:modified>
</cp:coreProperties>
</file>