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 i="61" l="1"/>
  <c r="L1" i="61"/>
  <c r="F4" i="61"/>
  <c r="I1" i="61"/>
  <c r="B30" i="1"/>
  <c r="F11" i="15"/>
  <c r="F6" i="15"/>
  <c r="F8" i="15"/>
  <c r="F7" i="15"/>
  <c r="F9" i="15"/>
  <c r="C6" i="15"/>
  <c r="C10" i="15"/>
  <c r="C5" i="15"/>
  <c r="F31" i="15"/>
  <c r="C31" i="15"/>
  <c r="J1" i="61"/>
  <c r="D5" i="61"/>
  <c r="B23" i="1"/>
  <c r="E1" i="61"/>
  <c r="K1" i="61"/>
  <c r="D4" i="61"/>
  <c r="G1" i="61"/>
  <c r="E27" i="1"/>
  <c r="F24" i="15"/>
  <c r="B5" i="1"/>
  <c r="B25" i="1"/>
  <c r="E18" i="1"/>
  <c r="C14" i="15"/>
  <c r="F15" i="15"/>
  <c r="C15" i="15"/>
  <c r="F16" i="15"/>
  <c r="C16" i="15"/>
  <c r="F18" i="15"/>
  <c r="C18" i="15"/>
  <c r="F17" i="15"/>
  <c r="C17" i="15"/>
  <c r="C19" i="15"/>
  <c r="F20" i="15"/>
  <c r="C20" i="15"/>
  <c r="F23" i="15"/>
  <c r="C23" i="15"/>
  <c r="F21" i="15"/>
  <c r="C24" i="15"/>
  <c r="F26" i="15"/>
  <c r="C26" i="15"/>
  <c r="C27" i="15"/>
  <c r="E31" i="1"/>
  <c r="E29" i="1"/>
  <c r="F28" i="15"/>
  <c r="B2" i="1"/>
  <c r="F30" i="1"/>
  <c r="C28" i="15"/>
  <c r="C29" i="15"/>
  <c r="F36" i="15"/>
  <c r="C36" i="15"/>
  <c r="L23" i="1"/>
  <c r="K24" i="1"/>
  <c r="I17" i="1"/>
  <c r="I24" i="1"/>
  <c r="N22" i="1"/>
  <c r="E20" i="1"/>
  <c r="F13" i="15"/>
  <c r="C13" i="15"/>
  <c r="F37" i="15"/>
  <c r="C37" i="15"/>
  <c r="F38" i="15"/>
  <c r="C38" i="15"/>
  <c r="C30" i="15"/>
  <c r="C39" i="15"/>
  <c r="F40" i="15"/>
  <c r="B13" i="1"/>
  <c r="F41" i="15"/>
  <c r="F42" i="15"/>
  <c r="C40" i="15"/>
  <c r="M48" i="15"/>
  <c r="L47" i="15"/>
  <c r="F43" i="15"/>
  <c r="B3" i="15"/>
  <c r="C20" i="9"/>
  <c r="R47" i="2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F15" i="21"/>
  <c r="AA15" i="21"/>
  <c r="D79" i="21"/>
  <c r="F17" i="21"/>
  <c r="AA17" i="21"/>
  <c r="F19" i="21"/>
  <c r="AA19" i="21"/>
  <c r="F21" i="21"/>
  <c r="AA21" i="21"/>
  <c r="F23" i="21"/>
  <c r="AA23" i="21"/>
  <c r="F25" i="21"/>
  <c r="AA25" i="21"/>
  <c r="D89" i="21"/>
  <c r="E89"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F35" i="21"/>
  <c r="AA35" i="21"/>
  <c r="D110" i="21"/>
  <c r="E110" i="21"/>
  <c r="F36" i="21"/>
  <c r="AA36" i="21"/>
  <c r="D113" i="21"/>
  <c r="E113" i="21"/>
  <c r="F113" i="21"/>
  <c r="G113" i="21"/>
  <c r="F37" i="21"/>
  <c r="AA37" i="21"/>
  <c r="D115" i="21"/>
  <c r="F38" i="21"/>
  <c r="AA38" i="21"/>
  <c r="F39" i="21"/>
  <c r="AA39" i="21"/>
  <c r="F40" i="21"/>
  <c r="AA40" i="21"/>
  <c r="F41" i="21"/>
  <c r="AA41" i="21"/>
  <c r="D123" i="21"/>
  <c r="F42" i="21"/>
  <c r="AA42" i="21"/>
  <c r="D125"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20" i="9"/>
  <c r="C17" i="9"/>
  <c r="D17" i="9"/>
  <c r="C18" i="9"/>
  <c r="D18" i="9"/>
  <c r="G20" i="9"/>
  <c r="J20" i="9"/>
  <c r="J19" i="9"/>
  <c r="B27" i="9"/>
  <c r="D30" i="9"/>
  <c r="C38" i="9"/>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G2" i="43"/>
  <c r="C6" i="43"/>
  <c r="G17" i="43"/>
  <c r="H17" i="43"/>
  <c r="I17" i="43"/>
  <c r="J17" i="43"/>
  <c r="C17" i="43"/>
  <c r="C16" i="43"/>
  <c r="C5" i="43"/>
  <c r="C24" i="43"/>
  <c r="F39" i="43"/>
  <c r="C39" i="43"/>
  <c r="G39" i="43"/>
  <c r="F38" i="43"/>
  <c r="C38" i="43"/>
  <c r="G38" i="43"/>
  <c r="F37" i="43"/>
  <c r="C37" i="43"/>
  <c r="G37" i="43"/>
  <c r="D5" i="43"/>
  <c r="F36" i="43"/>
  <c r="C36" i="43"/>
  <c r="G36" i="43"/>
  <c r="F35" i="43"/>
  <c r="C35" i="43"/>
  <c r="G35" i="43"/>
  <c r="F34" i="43"/>
  <c r="C34" i="43"/>
  <c r="G34" i="43"/>
  <c r="L49" i="15"/>
  <c r="J50" i="15"/>
  <c r="J51" i="15"/>
  <c r="J52" i="15"/>
  <c r="J54" i="15"/>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F52" i="15"/>
  <c r="D23" i="15"/>
  <c r="C21" i="15"/>
  <c r="F33" i="15"/>
  <c r="F62" i="15"/>
  <c r="F65"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E123" i="21"/>
  <c r="F123" i="21"/>
  <c r="G123" i="21"/>
  <c r="H123" i="21"/>
  <c r="I123" i="21"/>
  <c r="J123" i="21"/>
  <c r="K123" i="21"/>
  <c r="L123" i="21"/>
  <c r="M123" i="21"/>
  <c r="D119" i="21"/>
  <c r="D117" i="21"/>
  <c r="E117" i="21"/>
  <c r="E115" i="21"/>
  <c r="F115" i="21"/>
  <c r="G115" i="21"/>
  <c r="H115" i="21"/>
  <c r="I115" i="21"/>
  <c r="J115" i="21"/>
  <c r="K115" i="21"/>
  <c r="L115" i="21"/>
  <c r="M115" i="21"/>
  <c r="H113" i="21"/>
  <c r="F110" i="21"/>
  <c r="G110" i="21"/>
  <c r="H110" i="21"/>
  <c r="I110" i="21"/>
  <c r="J110" i="21"/>
  <c r="K110" i="21"/>
  <c r="L110" i="21"/>
  <c r="M110" i="21"/>
  <c r="D108" i="21"/>
  <c r="E108" i="21"/>
  <c r="F108" i="21"/>
  <c r="G108" i="21"/>
  <c r="H108" i="21"/>
  <c r="I108" i="21"/>
  <c r="J108" i="21"/>
  <c r="K108" i="21"/>
  <c r="L108" i="21"/>
  <c r="M108" i="21"/>
  <c r="D101"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D85" i="21"/>
  <c r="E85" i="21"/>
  <c r="F85" i="21"/>
  <c r="G85" i="21"/>
  <c r="D81" i="21"/>
  <c r="E81" i="21"/>
  <c r="F81" i="21"/>
  <c r="G81" i="21"/>
  <c r="E77" i="21"/>
  <c r="F77"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U38" i="21"/>
  <c r="S36" i="21"/>
  <c r="S39" i="21"/>
  <c r="W9"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W15" i="21"/>
  <c r="U35" i="21"/>
  <c r="H102" i="57"/>
  <c r="A131" i="9"/>
  <c r="A134" i="57"/>
  <c r="B102" i="57"/>
  <c r="B106" i="57"/>
  <c r="C111" i="57"/>
  <c r="H106" i="57"/>
  <c r="D127" i="57"/>
  <c r="S23" i="21"/>
  <c r="W17"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W40" i="21"/>
  <c r="W34" i="21"/>
  <c r="U27" i="21"/>
  <c r="U19" i="21"/>
  <c r="U43" i="21"/>
  <c r="U26" i="21"/>
  <c r="U30" i="21"/>
  <c r="S17" i="21"/>
  <c r="S28" i="21"/>
  <c r="U21" i="21"/>
  <c r="U17" i="21"/>
  <c r="S13" i="21"/>
  <c r="U12" i="21"/>
  <c r="U10"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32" i="15"/>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W23" i="21"/>
  <c r="U40" i="21"/>
  <c r="S4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B18" i="49"/>
  <c r="B4" i="60"/>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D109" i="57"/>
  <c r="I111" i="57"/>
  <c r="D128" i="57"/>
  <c r="B33" i="1"/>
  <c r="F70" i="15"/>
  <c r="Q50" i="15"/>
  <c r="D46" i="57"/>
  <c r="C39" i="35"/>
  <c r="B3" i="35"/>
  <c r="AB7" i="36"/>
  <c r="T36" i="36"/>
  <c r="G36" i="36"/>
  <c r="G41" i="36"/>
  <c r="H41" i="36"/>
  <c r="AC7" i="33"/>
  <c r="V48" i="33"/>
  <c r="I48" i="33"/>
  <c r="I52" i="33"/>
  <c r="J52" i="33"/>
  <c r="S7" i="21"/>
  <c r="M49" i="57"/>
  <c r="C15" i="12"/>
  <c r="D130" i="57"/>
  <c r="D127" i="9"/>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21"/>
  <c r="B2" i="21"/>
  <c r="E2" i="11"/>
  <c r="E2" i="37"/>
  <c r="D19" i="9"/>
  <c r="E2" i="35"/>
  <c r="E2" i="36"/>
  <c r="C19" i="57"/>
  <c r="C20" i="57"/>
  <c r="E2" i="33"/>
  <c r="E2" i="34"/>
  <c r="B2" i="36"/>
  <c r="B3" i="36"/>
  <c r="B2" i="34"/>
  <c r="B3" i="34"/>
  <c r="B2" i="35"/>
  <c r="B2" i="37"/>
  <c r="B3" i="37"/>
  <c r="B2" i="33"/>
  <c r="B3" i="33"/>
  <c r="D101" i="9"/>
  <c r="C102" i="57"/>
  <c r="B2" i="11"/>
  <c r="D102" i="9"/>
  <c r="G20" i="57"/>
  <c r="C103" i="57"/>
  <c r="Q65" i="15"/>
  <c r="L58" i="15"/>
  <c r="L61" i="15"/>
  <c r="O68" i="39"/>
  <c r="O70" i="39"/>
  <c r="N70" i="39"/>
  <c r="O63" i="40"/>
  <c r="O65" i="40"/>
  <c r="N65" i="40"/>
  <c r="B2" i="15"/>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F61" i="40"/>
  <c r="B2" i="40"/>
  <c r="B3" i="40"/>
  <c r="F66" i="39"/>
  <c r="B2" i="39"/>
  <c r="B3" i="39"/>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I121" i="9"/>
  <c r="H121" i="9"/>
  <c r="D14" i="62"/>
  <c r="E14" i="62"/>
  <c r="F14" i="62"/>
  <c r="B5" i="62"/>
  <c r="D5" i="62"/>
  <c r="C5" i="62"/>
  <c r="I102" i="9"/>
  <c r="I110" i="9"/>
  <c r="D125" i="9"/>
  <c r="G14" i="62"/>
  <c r="B6" i="62"/>
  <c r="D6" i="62"/>
  <c r="C6" i="62"/>
  <c r="D106" i="9"/>
  <c r="D112" i="9"/>
  <c r="D107" i="9"/>
  <c r="D113" i="9"/>
  <c r="I111" i="9"/>
  <c r="D126" i="9"/>
  <c r="D9" i="52"/>
  <c r="D38" i="50"/>
  <c r="B62" i="60"/>
  <c r="E121" i="9"/>
  <c r="D121" i="9"/>
  <c r="E4" i="52"/>
  <c r="B38" i="60"/>
  <c r="D45" i="9"/>
  <c r="C85" i="9"/>
  <c r="C93" i="9"/>
  <c r="C86" i="9"/>
  <c r="C95" i="9"/>
  <c r="C96" i="9"/>
  <c r="C97" i="9"/>
  <c r="D58" i="9"/>
  <c r="D56" i="9"/>
  <c r="M54" i="9"/>
  <c r="C78" i="9"/>
  <c r="C73" i="9"/>
  <c r="G121" i="9"/>
  <c r="F121" i="9"/>
  <c r="F4" i="52"/>
  <c r="B40" i="60"/>
  <c r="D36" i="50"/>
  <c r="D37" i="50"/>
  <c r="I103" i="9"/>
  <c r="D30" i="50"/>
  <c r="E96" i="9"/>
  <c r="E97"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<sst xmlns="http://schemas.openxmlformats.org/spreadsheetml/2006/main" count="6886" uniqueCount="2910">
  <si>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</si>
  <si>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</si>
  <si>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</si>
  <si>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</si>
  <si>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</si>
  <si>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</si>
  <si>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</si>
  <si>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</si>
  <si>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</si>
  <si>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</si>
  <si>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</si>
  <si>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</si>
  <si>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</si>
  <si>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</si>
  <si>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</si>
  <si>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</si>
  <si>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</si>
  <si>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</si>
  <si>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</si>
  <si>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</si>
  <si>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</si>
  <si>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</si>
  <si>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</si>
  <si>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</si>
  <si>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</si>
  <si>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</si>
  <si>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</si>
  <si>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</si>
  <si>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</si>
  <si>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</si>
  <si>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</si>
  <si>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</si>
  <si>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</si>
  <si>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</si>
  <si>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</si>
  <si>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</si>
  <si>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</si>
  <si>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</si>
  <si>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</si>
  <si>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</si>
  <si>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</si>
  <si>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</si>
  <si>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</si>
  <si>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</si>
  <si>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</si>
  <si>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</si>
  <si>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</si>
  <si>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</si>
  <si>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</si>
  <si>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</si>
  <si>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</si>
  <si>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</si>
  <si>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</si>
  <si>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</si>
  <si>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</si>
  <si>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</si>
  <si>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</si>
  <si>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</si>
  <si>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</si>
  <si>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</si>
  <si>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</si>
  <si>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</si>
  <si>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</si>
  <si>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</si>
  <si>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</si>
  <si>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</si>
  <si>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</si>
  <si>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</si>
  <si>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</si>
  <si>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</si>
  <si>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</si>
  <si>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</si>
  <si>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</si>
  <si>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</si>
  <si>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</si>
  <si>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</si>
  <si>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</si>
  <si>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</si>
  <si>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</si>
  <si>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</si>
  <si>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</si>
  <si>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</si>
  <si>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</si>
  <si>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</si>
  <si>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</si>
  <si>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</si>
  <si>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</si>
  <si>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</si>
  <si>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</si>
  <si>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</si>
  <si>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</si>
  <si>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</si>
  <si>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</si>
  <si>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</si>
  <si>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</si>
  <si>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</si>
  <si>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</si>
  <si>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</si>
  <si>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</si>
  <si>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</si>
  <si>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</si>
  <si>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</si>
  <si>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</si>
  <si>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</si>
  <si>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</si>
  <si>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</si>
  <si>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</si>
  <si>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</si>
  <si>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</si>
  <si>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</si>
  <si>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</si>
  <si>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</si>
  <si>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</si>
  <si>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</si>
  <si>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</si>
  <si>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</si>
  <si>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</si>
  <si>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</si>
  <si>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</si>
  <si>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</si>
  <si>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</si>
  <si>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</si>
  <si>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</si>
  <si>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</si>
  <si>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</si>
  <si>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</si>
  <si>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</si>
  <si>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</si>
  <si>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</si>
  <si>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</si>
  <si>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</si>
  <si>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</si>
  <si>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</si>
  <si>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</si>
  <si>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</si>
  <si>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</si>
  <si>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</si>
  <si>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</si>
  <si>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</si>
  <si>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</si>
  <si>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</si>
  <si>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</si>
  <si>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</si>
  <si>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</si>
  <si>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</si>
  <si>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</si>
  <si>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</si>
  <si>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</si>
  <si>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</si>
  <si>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</si>
  <si>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</si>
  <si>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</si>
  <si>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</si>
  <si>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</si>
  <si>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</si>
  <si>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</si>
  <si>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</si>
  <si>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</si>
  <si>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</si>
  <si>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</si>
  <si>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</si>
  <si>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</si>
  <si>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</si>
  <si>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</si>
  <si>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</si>
  <si>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</si>
  <si>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</si>
  <si>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</si>
  <si>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</si>
  <si>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</si>
  <si>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</si>
  <si>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</si>
  <si>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</si>
  <si>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</si>
  <si>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</si>
  <si>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</si>
  <si>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</si>
  <si>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</si>
  <si>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</si>
  <si>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</si>
  <si>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</si>
  <si>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</si>
  <si>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</si>
  <si>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</si>
  <si>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</si>
  <si>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</si>
  <si>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</si>
  <si>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</si>
  <si>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</si>
  <si>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</si>
  <si>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</si>
  <si>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</si>
  <si>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</si>
  <si>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</si>
  <si>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</si>
  <si>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</si>
  <si>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</si>
  <si>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</si>
  <si>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</si>
  <si>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</si>
  <si>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</si>
  <si>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</si>
  <si>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</si>
  <si>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</si>
  <si>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</si>
  <si>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</si>
  <si>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</si>
  <si>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</si>
  <si>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</si>
  <si>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</si>
  <si>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</si>
  <si>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</si>
  <si>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</si>
  <si>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</si>
  <si>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</si>
  <si>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</si>
  <si>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</si>
  <si>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</si>
  <si>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</si>
  <si>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</si>
  <si>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</si>
  <si>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</si>
  <si>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</si>
  <si>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</si>
  <si>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</si>
  <si>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</si>
  <si>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</si>
  <si>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</si>
  <si>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</si>
  <si>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</si>
  <si>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</si>
  <si>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</si>
  <si>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</si>
  <si>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</si>
  <si>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</si>
  <si>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</si>
  <si>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</si>
  <si>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</si>
  <si>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</si>
  <si>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</si>
  <si>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</si>
  <si>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</si>
  <si>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</si>
  <si>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</si>
  <si>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</si>
  <si>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</si>
  <si>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</si>
  <si>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</si>
  <si>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</si>
  <si>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</si>
  <si>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</si>
  <si>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</si>
  <si>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</si>
  <si>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</si>
  <si>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</si>
  <si>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</si>
  <si>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</si>
  <si>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</si>
  <si>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</si>
  <si>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</si>
  <si>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</si>
  <si>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</si>
  <si>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</si>
  <si>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</si>
  <si>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</si>
  <si>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</si>
  <si>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</si>
  <si>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</si>
  <si>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</si>
  <si>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</si>
  <si>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</si>
  <si>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</si>
  <si>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</si>
  <si>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</si>
  <si>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</si>
  <si>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</si>
  <si>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</si>
  <si>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</si>
  <si>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</si>
  <si>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</si>
  <si>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</si>
  <si>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</si>
  <si>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</si>
  <si>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</si>
  <si>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</si>
  <si>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</si>
  <si>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</si>
  <si>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</si>
  <si>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</si>
  <si>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</si>
  <si>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</si>
  <si>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</si>
  <si>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</si>
  <si>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</si>
  <si>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</si>
  <si>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</si>
  <si>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</si>
  <si>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</si>
  <si>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</si>
  <si>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</si>
  <si>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</si>
  <si>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</si>
  <si>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</si>
  <si>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</si>
  <si>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</si>
  <si>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</si>
  <si>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</si>
  <si>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</si>
  <si>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</si>
  <si>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</si>
  <si>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</si>
  <si>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</si>
  <si>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</si>
  <si>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</si>
  <si>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</si>
  <si>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</si>
  <si>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</si>
  <si>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</si>
  <si>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</si>
  <si>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</si>
  <si>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</si>
  <si>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</si>
  <si>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</si>
  <si>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</si>
  <si>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</si>
  <si>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</si>
  <si>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</si>
  <si>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</si>
  <si>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</si>
  <si>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</si>
  <si>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</si>
  <si>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</si>
  <si>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</si>
  <si>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</si>
  <si>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</si>
  <si>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</si>
  <si>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</si>
  <si>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</si>
  <si>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</si>
  <si>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</si>
  <si>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</si>
  <si>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</si>
  <si>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</si>
  <si>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</si>
  <si>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</si>
  <si>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</si>
  <si>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</si>
  <si>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</si>
  <si>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</si>
  <si>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</si>
  <si>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</si>
  <si>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</si>
  <si>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</si>
  <si>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</si>
  <si>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</si>
  <si>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</si>
  <si>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</si>
  <si>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</si>
  <si>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</si>
  <si>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</si>
  <si>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</si>
  <si>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</si>
  <si>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</si>
  <si>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</si>
  <si>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</si>
  <si>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</si>
  <si>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</si>
  <si>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</si>
  <si>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</si>
  <si>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</si>
  <si>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</si>
  <si>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</si>
  <si>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</si>
  <si>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</si>
  <si>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</si>
  <si>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</si>
  <si>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</si>
  <si>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</si>
  <si>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</si>
  <si>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</si>
  <si>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</si>
  <si>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</si>
  <si>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</si>
  <si>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</si>
  <si>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</si>
  <si>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</si>
  <si>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</si>
  <si>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</si>
  <si>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</si>
  <si>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</si>
  <si>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</si>
  <si>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</si>
  <si>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</si>
  <si>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</si>
  <si>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</si>
  <si>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</si>
  <si>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</si>
  <si>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</si>
  <si>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</si>
  <si>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</si>
  <si>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</si>
  <si>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</si>
  <si>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</si>
  <si>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</si>
  <si>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</si>
  <si>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</si>
  <si>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</si>
  <si>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</si>
  <si>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</si>
  <si>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</si>
  <si>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</si>
  <si>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</si>
  <si>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</si>
  <si>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</si>
  <si>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</si>
  <si>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</si>
  <si>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</si>
  <si>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</si>
  <si>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</si>
  <si>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</si>
  <si>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</si>
  <si>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</si>
  <si>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</si>
  <si>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</si>
  <si>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</si>
  <si>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</si>
  <si>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</si>
  <si>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</si>
  <si>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</si>
  <si>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</si>
  <si>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</si>
  <si>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</si>
  <si>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</si>
  <si>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</si>
  <si>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</si>
  <si>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</si>
  <si>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</si>
  <si>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</si>
  <si>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</si>
  <si>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</si>
  <si>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</si>
  <si>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</si>
  <si>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</si>
  <si>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</si>
  <si>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</si>
  <si>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</si>
  <si>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</si>
  <si>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</si>
  <si>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</si>
  <si>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</si>
  <si>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</si>
  <si>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</si>
  <si>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</si>
  <si>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</si>
  <si>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</si>
  <si>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</si>
  <si>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</si>
  <si>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</si>
  <si>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</si>
  <si>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</si>
  <si>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</si>
  <si>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</si>
  <si>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</si>
  <si>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</si>
  <si>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</si>
  <si>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</si>
  <si>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</si>
  <si>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</si>
  <si>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</si>
  <si>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</si>
  <si>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</si>
  <si>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</si>
  <si>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</si>
  <si>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</si>
  <si>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</si>
  <si>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</si>
  <si>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</si>
  <si>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</si>
  <si>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</si>
  <si>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</si>
  <si>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</si>
  <si>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</si>
  <si>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</si>
  <si>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</si>
  <si>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</si>
  <si>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</si>
  <si>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</si>
  <si>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</si>
  <si>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</si>
  <si>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</si>
  <si>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</si>
  <si>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</si>
  <si>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</si>
  <si>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</si>
  <si>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</si>
  <si>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</si>
  <si>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</si>
  <si>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</si>
  <si>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</si>
  <si>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</si>
  <si>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</si>
  <si>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</si>
  <si>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</si>
  <si>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</si>
  <si>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</si>
  <si>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</si>
  <si>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</si>
  <si>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</si>
  <si>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</si>
  <si>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</si>
  <si>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</si>
  <si>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</si>
  <si>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</si>
  <si>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</si>
  <si>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</si>
  <si>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</si>
  <si>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</si>
  <si>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</si>
  <si>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</si>
  <si>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</si>
  <si>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</si>
  <si>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</si>
  <si>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</si>
  <si>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</si>
  <si>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</si>
  <si>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</si>
  <si>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</si>
  <si>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</si>
  <si>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</si>
  <si>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</si>
  <si>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</si>
  <si>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</si>
  <si>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</si>
  <si>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</si>
  <si>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</si>
  <si>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</si>
  <si>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</si>
  <si>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</si>
  <si>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</si>
  <si>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</si>
  <si>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</si>
  <si>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</si>
  <si>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</si>
  <si>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</si>
  <si>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</si>
  <si>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</si>
  <si>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</si>
  <si>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</si>
  <si>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</si>
  <si>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</si>
  <si>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</si>
  <si>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</si>
  <si>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</si>
  <si>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</si>
  <si>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</si>
  <si>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</si>
  <si>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</si>
  <si>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</si>
  <si>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</si>
  <si>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</si>
  <si>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</si>
  <si>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</si>
  <si>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</si>
  <si>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</si>
  <si>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</si>
  <si>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</si>
  <si>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</si>
  <si>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</si>
  <si>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</si>
  <si>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</si>
  <si>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</si>
  <si>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</si>
  <si>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</si>
  <si>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</si>
  <si>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</si>
  <si>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</si>
  <si>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</si>
  <si>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</si>
  <si>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</si>
  <si>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</si>
  <si>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</si>
  <si>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</si>
  <si>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</si>
  <si>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</si>
  <si>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</si>
  <si>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</si>
  <si>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</si>
  <si>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</si>
  <si>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</si>
  <si>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</si>
  <si>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</si>
  <si>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</si>
  <si>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</si>
  <si>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</si>
  <si>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</si>
  <si>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</si>
  <si>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</si>
  <si>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</si>
  <si>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</si>
  <si>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</si>
  <si>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</si>
  <si>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</si>
  <si>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</si>
  <si>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</si>
  <si>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</si>
  <si>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</si>
  <si>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</si>
  <si>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</si>
  <si>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</si>
  <si>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</si>
  <si>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</si>
  <si>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</si>
  <si>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</si>
  <si>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</si>
  <si>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</si>
  <si>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</si>
  <si>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</si>
  <si>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</si>
  <si>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</si>
  <si>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</si>
  <si>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</si>
  <si>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</si>
  <si>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</si>
  <si>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</si>
  <si>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</si>
  <si>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</si>
  <si>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</si>
  <si>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</si>
  <si>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</si>
  <si>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</si>
  <si>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</si>
  <si>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</si>
  <si>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</si>
  <si>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</si>
  <si>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</si>
  <si>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</si>
  <si>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</si>
  <si>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</si>
  <si>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</si>
  <si>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</si>
  <si>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</si>
  <si>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</si>
  <si>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</si>
  <si>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</si>
  <si>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</si>
  <si>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</si>
  <si>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</si>
  <si>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</si>
  <si>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</si>
  <si>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</si>
  <si>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</si>
  <si>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</si>
  <si>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</si>
  <si>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</si>
  <si>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</si>
  <si>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</si>
  <si>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</si>
  <si>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</si>
  <si>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</si>
  <si>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</si>
  <si>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</si>
  <si>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</si>
  <si>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</si>
  <si>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</si>
  <si>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</si>
  <si>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</si>
  <si>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</si>
  <si>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</si>
  <si>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</si>
  <si>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</si>
  <si>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</si>
  <si>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</si>
  <si>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</si>
  <si>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</si>
  <si>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</si>
  <si>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</si>
  <si>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</si>
  <si>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</si>
  <si>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</si>
  <si>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</si>
  <si>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</si>
  <si>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</si>
  <si>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</si>
  <si>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</si>
  <si>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</si>
  <si>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</si>
  <si>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</si>
  <si>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</si>
  <si>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</si>
  <si>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</si>
  <si>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</si>
  <si>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</si>
  <si>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</si>
  <si>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</si>
  <si>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</si>
  <si>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</si>
  <si>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</si>
  <si>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</si>
  <si>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</si>
  <si>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</si>
  <si>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</si>
  <si>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</si>
  <si>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</si>
  <si>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</si>
  <si>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</si>
  <si>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</si>
  <si>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</si>
  <si>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</si>
  <si>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</si>
  <si>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</si>
  <si>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</si>
  <si>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</si>
  <si>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</si>
  <si>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</si>
  <si>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</si>
  <si>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</si>
  <si>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</si>
  <si>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</si>
  <si>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</si>
  <si>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</si>
  <si>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</si>
  <si>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</si>
  <si>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</si>
  <si>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</si>
  <si>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</si>
  <si>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</si>
  <si>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</si>
  <si>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</si>
  <si>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</si>
  <si>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</si>
  <si>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</si>
  <si>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</si>
  <si>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</si>
  <si>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</si>
  <si>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</si>
  <si>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</si>
  <si>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</si>
  <si>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</si>
  <si>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</si>
  <si>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</si>
  <si>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</si>
  <si>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</si>
  <si>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</si>
  <si>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</si>
  <si>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</si>
  <si>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</si>
  <si>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</si>
  <si>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</si>
  <si>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</si>
  <si>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</si>
  <si>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</si>
  <si>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</si>
  <si>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</si>
  <si>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</si>
  <si>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</si>
  <si>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</si>
  <si>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</si>
  <si>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</si>
  <si>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</si>
  <si>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</si>
  <si>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</si>
  <si>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</si>
  <si>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</si>
  <si>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</si>
  <si>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</si>
  <si>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</si>
  <si>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</si>
  <si>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</si>
  <si>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</si>
  <si>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</si>
  <si>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</si>
  <si>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</si>
  <si>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</si>
  <si>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</si>
  <si>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</si>
  <si>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</si>
  <si>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</si>
  <si>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</si>
  <si>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</si>
  <si>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</si>
  <si>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</si>
  <si>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</si>
  <si>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</si>
  <si>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</si>
  <si>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</si>
  <si>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</si>
  <si>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</si>
  <si>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</si>
  <si>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</si>
  <si>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</si>
  <si>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</si>
  <si>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</si>
  <si>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</si>
  <si>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</si>
  <si>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</si>
  <si>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</si>
  <si>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</si>
  <si>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</si>
  <si>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</si>
  <si>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</si>
  <si>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</si>
  <si>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</si>
  <si>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</si>
  <si>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</si>
  <si>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</si>
  <si>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</si>
  <si>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</si>
  <si>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</si>
  <si>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</si>
  <si>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</si>
  <si>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</si>
  <si>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</si>
  <si>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</si>
  <si>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</si>
  <si>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</si>
  <si>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</si>
  <si>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</si>
  <si>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</si>
  <si>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</si>
  <si>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</si>
  <si>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</si>
  <si>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</si>
  <si>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</si>
  <si>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</si>
  <si>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</si>
  <si>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</si>
  <si>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</si>
  <si>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</si>
  <si>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</si>
  <si>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</si>
  <si>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</si>
  <si>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</si>
  <si>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</si>
  <si>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</si>
  <si>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</si>
  <si>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</si>
  <si>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</si>
  <si>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</si>
  <si>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</si>
  <si>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</si>
  <si>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</si>
  <si>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</si>
  <si>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</si>
  <si>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</si>
  <si>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</si>
  <si>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</si>
  <si>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</si>
  <si>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</si>
  <si>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</si>
  <si>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</si>
  <si>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</si>
  <si>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</si>
  <si>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</si>
  <si>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</si>
  <si>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</si>
  <si>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</si>
  <si>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</si>
  <si>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</si>
  <si>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</si>
  <si>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</si>
  <si>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</si>
  <si>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</si>
  <si>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</si>
  <si>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</si>
  <si>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</si>
  <si>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</si>
  <si>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</si>
  <si>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</si>
  <si>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</si>
  <si>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</si>
  <si>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</si>
  <si>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</si>
  <si>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</si>
  <si>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</si>
  <si>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</si>
  <si>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</si>
  <si>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</si>
  <si>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</si>
  <si>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</si>
  <si>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</si>
  <si>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</si>
  <si>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</si>
  <si>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</si>
  <si>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</si>
  <si>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</si>
  <si>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</si>
  <si>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</si>
  <si>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</si>
  <si>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</si>
  <si>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</si>
  <si>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</si>
  <si>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</si>
  <si>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</si>
  <si>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</si>
  <si>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</si>
  <si>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</si>
  <si>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</si>
  <si>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</si>
  <si>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</si>
  <si>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</si>
  <si>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</si>
  <si>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</si>
  <si>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</si>
  <si>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</si>
  <si>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</si>
  <si>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</si>
  <si>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</si>
  <si>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</si>
  <si>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</si>
  <si>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</si>
  <si>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</si>
  <si>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</si>
  <si>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</si>
  <si>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</si>
  <si>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</si>
  <si>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</si>
  <si>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</si>
  <si>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</si>
  <si>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</si>
  <si>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</si>
  <si>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</si>
  <si>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</si>
  <si>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</si>
  <si>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</si>
  <si>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</si>
  <si>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</si>
  <si>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</si>
  <si>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</si>
  <si>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</si>
  <si>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</si>
  <si>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</si>
  <si>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</si>
  <si>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</si>
  <si>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</si>
  <si>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</si>
  <si>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</si>
  <si>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</si>
  <si>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</si>
  <si>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</si>
  <si>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</si>
  <si>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</si>
  <si>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</si>
  <si>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</si>
  <si>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</si>
  <si>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</si>
  <si>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</si>
  <si>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</si>
  <si>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</si>
  <si>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</si>
  <si>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</si>
  <si>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</si>
  <si>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</si>
  <si>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</si>
  <si>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</si>
  <si>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</si>
  <si>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</si>
  <si>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</si>
  <si>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</si>
  <si>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</si>
  <si>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</si>
  <si>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</si>
  <si>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</si>
  <si>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</si>
  <si>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</si>
  <si>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</si>
  <si>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</si>
  <si>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</si>
  <si>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</si>
  <si>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</si>
  <si>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</si>
  <si>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</si>
  <si>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</si>
  <si>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</si>
  <si>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</si>
  <si>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</si>
  <si>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</si>
  <si>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</si>
  <si>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</si>
  <si>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</si>
  <si>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</si>
  <si>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</si>
  <si>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</si>
  <si>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</si>
  <si>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</si>
  <si>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</si>
  <si>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</si>
  <si>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</si>
  <si>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</si>
  <si>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</si>
  <si>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</si>
  <si>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</si>
  <si>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</si>
  <si>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</si>
  <si>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</si>
  <si>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</si>
  <si>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</si>
  <si>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</si>
  <si>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</si>
  <si>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</si>
  <si>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</si>
  <si>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</si>
  <si>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</si>
  <si>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</si>
  <si>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</si>
  <si>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</si>
  <si>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</si>
  <si>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</si>
  <si>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</si>
  <si>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</si>
  <si>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</si>
  <si>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</si>
  <si>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</si>
  <si>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</si>
  <si>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</si>
  <si>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</si>
  <si>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</si>
  <si>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</si>
  <si>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</si>
  <si>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</si>
  <si>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</si>
  <si>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</si>
  <si>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</si>
  <si>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</si>
  <si>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</si>
  <si>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</si>
  <si>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</si>
  <si>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</si>
  <si>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</si>
  <si>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</si>
  <si>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</si>
  <si>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</si>
  <si>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</si>
  <si>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</si>
  <si>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</si>
  <si>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</si>
  <si>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</si>
  <si>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</si>
  <si>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</si>
  <si>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</si>
  <si>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</si>
  <si>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</si>
  <si>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</si>
  <si>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</si>
  <si>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</si>
  <si>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</si>
  <si>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</si>
  <si>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</si>
  <si>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</si>
  <si>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</si>
  <si>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</si>
  <si>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</si>
  <si>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</si>
  <si>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</si>
  <si>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</si>
  <si>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</si>
  <si>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</si>
  <si>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</si>
  <si>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</si>
  <si>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</si>
  <si>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</si>
  <si>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</si>
  <si>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</si>
  <si>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</si>
  <si>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</si>
  <si>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</si>
  <si>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</si>
  <si>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</si>
  <si>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</si>
  <si>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</si>
  <si>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</si>
  <si>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</si>
  <si>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</si>
  <si>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</si>
  <si>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</si>
  <si>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</si>
  <si>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</si>
  <si>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</si>
  <si>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</si>
  <si>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</si>
  <si>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</si>
  <si>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</si>
  <si>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</si>
  <si>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</si>
  <si>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</si>
  <si>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</si>
  <si>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</si>
  <si>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</si>
  <si>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</si>
  <si>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</si>
  <si>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</si>
  <si>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</si>
  <si>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</si>
  <si>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</si>
  <si>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</si>
  <si>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</si>
  <si>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</si>
  <si>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</si>
  <si>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</si>
  <si>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</si>
  <si>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</si>
  <si>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</si>
  <si>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</si>
  <si>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</si>
  <si>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</si>
  <si>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</si>
  <si>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</si>
  <si>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</si>
  <si>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</si>
  <si>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</si>
  <si>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</si>
  <si>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</si>
  <si>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</si>
  <si>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</si>
  <si>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</si>
  <si>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</si>
  <si>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</si>
  <si>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</si>
  <si>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</si>
  <si>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</si>
  <si>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</si>
  <si>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</si>
  <si>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</si>
  <si>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</si>
  <si>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</si>
  <si>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</si>
  <si>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</si>
  <si>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</si>
  <si>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</si>
  <si>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</si>
  <si>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</si>
  <si>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</si>
  <si>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</si>
  <si>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</si>
  <si>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</si>
  <si>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</si>
  <si>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</si>
  <si>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</si>
  <si>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</si>
  <si>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</si>
  <si>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</si>
  <si>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</si>
  <si>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</si>
  <si>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</si>
  <si>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</si>
  <si>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</si>
  <si>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</si>
  <si>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</si>
  <si>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</si>
  <si>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</si>
  <si>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</si>
  <si>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</si>
  <si>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</si>
  <si>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</si>
  <si>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</si>
  <si>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</si>
  <si>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</si>
  <si>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</si>
  <si>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</si>
  <si>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</si>
  <si>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</si>
  <si>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</si>
  <si>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</si>
  <si>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</si>
  <si>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</si>
  <si>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</si>
  <si>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</si>
  <si>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</si>
  <si>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</si>
  <si>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</si>
  <si>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</si>
  <si>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</si>
  <si>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</si>
  <si>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</si>
  <si>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</si>
  <si>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</si>
  <si>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</si>
  <si>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</si>
  <si>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</si>
  <si>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</si>
  <si>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</si>
  <si>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</si>
  <si>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</si>
  <si>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</si>
  <si>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</si>
  <si>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</si>
  <si>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</si>
  <si>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</si>
  <si>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</si>
  <si>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</si>
  <si>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</si>
  <si>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</si>
  <si>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</si>
  <si>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</si>
  <si>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</si>
  <si>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</si>
  <si>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</si>
  <si>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</si>
  <si>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</si>
  <si>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</si>
  <si>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</si>
  <si>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</si>
  <si>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</si>
  <si>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</si>
  <si>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</si>
  <si>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</si>
  <si>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</si>
  <si>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</si>
  <si>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</si>
  <si>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</si>
  <si>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</si>
  <si>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</si>
  <si>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</si>
  <si>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</si>
  <si>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</si>
  <si>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</si>
  <si>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</si>
  <si>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</si>
  <si>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</si>
  <si>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</si>
  <si>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</si>
  <si>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</si>
  <si>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</si>
  <si>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</si>
  <si>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</si>
  <si>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</si>
  <si>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</si>
  <si>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</si>
  <si>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</si>
  <si>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</si>
  <si>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</si>
  <si>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</si>
  <si>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</si>
  <si>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</si>
  <si>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</si>
  <si>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</si>
  <si>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</si>
  <si>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</si>
  <si>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</si>
  <si>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</si>
  <si>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</si>
  <si>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</si>
  <si>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</si>
  <si>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</si>
  <si>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</si>
  <si>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</si>
  <si>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</si>
  <si>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</si>
  <si>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</si>
  <si>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</si>
  <si>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</si>
  <si>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</si>
  <si>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</si>
  <si>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</si>
  <si>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</si>
  <si>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</si>
  <si>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</si>
  <si>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</si>
  <si>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</si>
  <si>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</si>
  <si>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</si>
  <si>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</si>
  <si>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</si>
  <si>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</si>
  <si>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</si>
  <si>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</si>
  <si>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</si>
  <si>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</si>
  <si>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</si>
  <si>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</si>
  <si>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</si>
  <si>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</si>
  <si>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</si>
  <si>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</si>
  <si>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</si>
  <si>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</si>
  <si>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</si>
  <si>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</si>
  <si>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</si>
  <si>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</si>
  <si>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</si>
  <si>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</si>
  <si>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</si>
  <si>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</si>
  <si>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</si>
  <si>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</si>
  <si>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</si>
  <si>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</si>
  <si>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</si>
  <si>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</si>
  <si>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</si>
  <si>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</si>
  <si>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</si>
  <si>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</si>
  <si>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</si>
  <si>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</si>
  <si>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</si>
  <si>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</si>
  <si>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</si>
  <si>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</si>
  <si>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</si>
  <si>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</si>
  <si>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</si>
  <si>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</si>
  <si>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</si>
  <si>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</si>
  <si>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</si>
  <si>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</si>
  <si>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</si>
  <si>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</si>
  <si>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</si>
  <si>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</si>
  <si>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</si>
  <si>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</si>
  <si>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</si>
  <si>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</si>
  <si>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</si>
  <si>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</si>
  <si>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</si>
  <si>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</si>
  <si>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</si>
  <si>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</si>
  <si>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</si>
  <si>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</si>
  <si>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</si>
  <si>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</si>
  <si>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</si>
  <si>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</si>
  <si>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</si>
  <si>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</si>
  <si>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</si>
  <si>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</si>
  <si>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</si>
  <si>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</si>
  <si>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</si>
  <si>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</si>
  <si>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</si>
  <si>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</si>
  <si>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</si>
  <si>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</si>
  <si>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</si>
  <si>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</si>
  <si>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</si>
  <si>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</si>
  <si>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</si>
  <si>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</si>
  <si>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</si>
  <si>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</si>
  <si>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</si>
  <si>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</si>
  <si>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</si>
  <si>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</si>
  <si>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</si>
  <si>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</si>
  <si>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</si>
  <si>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</si>
  <si>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</si>
  <si>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</si>
  <si>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</si>
  <si>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</si>
  <si>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</si>
  <si>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</si>
  <si>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</si>
  <si>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</si>
  <si>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</si>
  <si>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</si>
  <si>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</si>
  <si>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</si>
  <si>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</si>
  <si>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</si>
  <si>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</si>
  <si>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</si>
  <si>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</si>
  <si>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</si>
  <si>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</si>
  <si>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</si>
  <si>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</si>
  <si>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</si>
  <si>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</si>
  <si>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</si>
  <si>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</si>
  <si>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</si>
  <si>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</si>
  <si>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</si>
  <si>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</si>
  <si>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</si>
  <si>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</si>
  <si>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</si>
  <si>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</si>
  <si>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</si>
  <si>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</si>
  <si>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</si>
  <si>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</si>
  <si>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</si>
  <si>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</si>
  <si>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</si>
  <si>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</si>
  <si>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</si>
  <si>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</si>
  <si>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</si>
  <si>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</si>
  <si>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</si>
  <si>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</si>
  <si>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</si>
  <si>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</si>
  <si>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</si>
  <si>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</si>
  <si>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</si>
  <si>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</si>
  <si>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</si>
  <si>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</si>
  <si>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</si>
  <si>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</si>
  <si>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</si>
  <si>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</si>
  <si>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</si>
  <si>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</si>
  <si>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</si>
  <si>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</si>
  <si>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</si>
  <si>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</si>
  <si>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</si>
  <si>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</si>
  <si>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</si>
  <si>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</si>
  <si>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</si>
  <si>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</si>
  <si>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</si>
  <si>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</si>
  <si>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</si>
  <si>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</si>
  <si>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</si>
  <si>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</si>
  <si>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</si>
  <si>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</si>
  <si>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</si>
  <si>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</si>
  <si>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</si>
  <si>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</si>
  <si>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</si>
  <si>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</si>
  <si>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</si>
  <si>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</si>
  <si>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</si>
  <si>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</si>
  <si>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</si>
  <si>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</si>
  <si>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</si>
  <si>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</si>
  <si>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</si>
  <si>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</si>
  <si>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</si>
  <si>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</si>
  <si>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</si>
  <si>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</si>
  <si>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</si>
  <si>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</si>
  <si>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</si>
  <si>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</si>
  <si>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</si>
  <si>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</si>
  <si>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</si>
  <si>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</si>
  <si>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</si>
  <si>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</si>
  <si>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</si>
  <si>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</si>
  <si>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</si>
  <si>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</si>
  <si>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</si>
  <si>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</si>
  <si>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</si>
  <si>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</si>
  <si>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</si>
  <si>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</si>
  <si>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</si>
  <si>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</si>
  <si>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</si>
  <si>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</si>
  <si>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</si>
  <si>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</si>
  <si>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</si>
  <si>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</si>
  <si>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</si>
  <si>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</si>
  <si>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</si>
  <si>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</si>
  <si>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</si>
  <si>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</si>
  <si>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</si>
  <si>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</si>
  <si>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</si>
  <si>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</si>
  <si>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</si>
  <si>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</si>
  <si>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</si>
  <si>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</si>
  <si>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</si>
  <si>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</si>
  <si>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</si>
  <si>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</si>
  <si>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</si>
  <si>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</si>
  <si>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</si>
  <si>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</si>
  <si>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</si>
  <si>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</si>
  <si>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</si>
  <si>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</si>
  <si>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</si>
  <si>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</si>
  <si>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</si>
  <si>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</si>
  <si>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</si>
  <si>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</si>
  <si>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</si>
  <si>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</si>
  <si>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</si>
  <si>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</si>
  <si>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</si>
  <si>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</si>
  <si>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</si>
  <si>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</si>
  <si>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</si>
  <si>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</si>
  <si>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</si>
  <si>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</si>
  <si>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</si>
  <si>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</si>
  <si>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</si>
  <si>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</si>
  <si>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</si>
  <si>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</si>
  <si>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</si>
  <si>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</si>
  <si>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</si>
  <si>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</si>
  <si>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</si>
  <si>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</si>
  <si>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</si>
  <si>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</si>
  <si>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</si>
  <si>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</si>
  <si>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</si>
  <si>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</si>
  <si>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</si>
  <si>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</si>
  <si>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</si>
  <si>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</si>
  <si>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</si>
  <si>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</si>
  <si>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</si>
  <si>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</si>
  <si>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</si>
  <si>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</si>
  <si>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</si>
  <si>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</si>
  <si>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</si>
  <si>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</si>
  <si>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</si>
  <si>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</si>
  <si>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</si>
  <si>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</si>
  <si>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</si>
  <si>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</si>
  <si>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</si>
  <si>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</si>
  <si>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</si>
  <si>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</si>
  <si>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</si>
  <si>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</si>
  <si>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</si>
  <si>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</si>
  <si>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</si>
  <si>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</si>
  <si>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</si>
  <si>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</si>
  <si>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</si>
  <si>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</si>
  <si>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</si>
  <si>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</si>
  <si>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</si>
  <si>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</si>
  <si>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</si>
  <si>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</si>
  <si>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</si>
  <si>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</si>
  <si>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</si>
  <si>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</si>
  <si>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</si>
  <si>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</si>
  <si>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</si>
  <si>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</si>
  <si>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</si>
  <si>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</si>
  <si>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</si>
  <si>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</si>
  <si>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</si>
  <si>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</si>
  <si>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</si>
  <si>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</si>
  <si>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</si>
  <si>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</si>
  <si>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</si>
  <si>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</si>
  <si>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</si>
  <si>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</si>
  <si>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</si>
  <si>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</si>
  <si>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</si>
  <si>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</si>
  <si>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</si>
  <si>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</si>
  <si>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</si>
  <si>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</si>
  <si>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</si>
  <si>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</si>
  <si>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</si>
  <si>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</si>
  <si>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</si>
  <si>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</si>
  <si>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</si>
  <si>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</si>
  <si>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</si>
  <si>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</si>
  <si>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</si>
  <si>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</si>
  <si>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</si>
  <si>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</si>
  <si>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</si>
  <si>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</si>
  <si>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</si>
  <si>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</si>
  <si>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</si>
  <si>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</si>
  <si>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</si>
  <si>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</si>
  <si>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</si>
  <si>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</si>
  <si>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</si>
  <si>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</si>
  <si>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</si>
  <si>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</si>
  <si>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</si>
  <si>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</si>
  <si>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</si>
  <si>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</si>
  <si>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</si>
  <si>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</si>
  <si>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</si>
  <si>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</si>
  <si>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</si>
  <si>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</si>
  <si>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</si>
  <si>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</si>
  <si>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</si>
  <si>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</si>
  <si>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</si>
  <si>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</si>
  <si>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</si>
  <si>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</si>
  <si>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</si>
  <si>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</si>
  <si>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</si>
  <si>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</si>
  <si>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</si>
  <si>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</si>
  <si>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</si>
  <si>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</si>
  <si>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</si>
  <si>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</si>
  <si>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</si>
  <si>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</si>
  <si>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</si>
  <si>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</si>
  <si>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</si>
  <si>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</si>
  <si>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</si>
  <si>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</si>
  <si>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</si>
  <si>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</si>
  <si>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</si>
  <si>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</si>
  <si>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</si>
  <si>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</si>
  <si>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</si>
  <si>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</si>
  <si>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</si>
  <si>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</si>
  <si>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</si>
  <si>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</si>
  <si>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</si>
  <si>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</si>
  <si>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</si>
  <si>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</si>
  <si>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</si>
  <si>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</si>
  <si>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</si>
  <si>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</si>
  <si>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</si>
  <si>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</si>
  <si>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</si>
  <si>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</si>
  <si>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</si>
  <si>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</si>
  <si>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</si>
  <si>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</si>
  <si>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</si>
  <si>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</si>
  <si>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</si>
  <si>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</si>
  <si>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</si>
  <si>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</si>
  <si>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</si>
  <si>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</si>
  <si>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</si>
  <si>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</si>
  <si>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</si>
  <si>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</si>
  <si>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</si>
  <si>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</si>
  <si>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</si>
  <si>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</si>
  <si>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</si>
  <si>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</si>
  <si>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</si>
  <si>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</si>
  <si>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</si>
  <si>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</si>
  <si>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</si>
  <si>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</si>
  <si>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</si>
  <si>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</si>
  <si>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</si>
  <si>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</si>
  <si>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</si>
  <si>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</si>
  <si>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</si>
  <si>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</si>
  <si>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</si>
  <si>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</si>
  <si>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</si>
  <si>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</si>
  <si>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</si>
  <si>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</si>
  <si>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</si>
  <si>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</si>
  <si>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</si>
  <si>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</si>
  <si>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</si>
  <si>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</si>
  <si>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</si>
  <si>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</si>
  <si>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</si>
  <si>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</si>
  <si>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</si>
  <si>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</si>
  <si>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</si>
  <si>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</si>
  <si>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</si>
  <si>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</si>
  <si>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</si>
  <si>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</si>
  <si>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</si>
  <si>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</si>
  <si>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</si>
  <si>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</si>
  <si>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</si>
  <si>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</si>
  <si>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</si>
  <si>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</si>
  <si>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</si>
  <si>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</si>
  <si>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</si>
  <si>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</si>
  <si>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</si>
  <si>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</si>
  <si>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</si>
  <si>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</si>
  <si>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</si>
  <si>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</si>
  <si>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</si>
  <si>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</si>
  <si>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</si>
  <si>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</si>
  <si>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</si>
  <si>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</si>
  <si>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</si>
  <si>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</si>
  <si>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</si>
  <si>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</si>
  <si>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</si>
  <si>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</si>
  <si>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</si>
  <si>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</si>
  <si>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</si>
  <si>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</si>
  <si>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</si>
  <si>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</si>
  <si>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</si>
  <si>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</si>
  <si>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</si>
  <si>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</si>
  <si>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</si>
  <si>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</si>
  <si>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</si>
  <si>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</si>
  <si>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</si>
  <si>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</si>
  <si>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</si>
  <si>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</si>
  <si>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</si>
  <si>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</si>
  <si>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</si>
  <si>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</si>
  <si>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</si>
  <si>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</si>
  <si>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</si>
  <si>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</si>
  <si>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</si>
  <si>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</si>
  <si>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</si>
  <si>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</si>
  <si>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</si>
  <si>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</si>
  <si>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</si>
  <si>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</si>
  <si>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</si>
  <si>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</si>
  <si>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</si>
  <si>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</si>
  <si>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</si>
  <si>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</si>
  <si>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</si>
  <si>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</si>
  <si>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</si>
  <si>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</si>
  <si>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</si>
  <si>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</si>
  <si>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</si>
  <si>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</si>
  <si>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</si>
  <si>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</si>
  <si>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</si>
  <si>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</si>
  <si>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</si>
  <si>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</si>
  <si>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</si>
  <si>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</si>
  <si>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</si>
  <si>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</si>
  <si>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</si>
  <si>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</si>
  <si>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</si>
  <si>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</si>
  <si>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</si>
  <si>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</si>
  <si>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</si>
  <si>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</si>
  <si>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</si>
  <si>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</si>
  <si>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</si>
  <si>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</si>
  <si>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</si>
  <si>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</si>
  <si>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</si>
  <si>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</si>
  <si>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</si>
  <si>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</si>
  <si>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</si>
  <si>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</si>
  <si>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</si>
  <si>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</si>
  <si>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</si>
  <si>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</si>
  <si>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</si>
  <si>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</si>
  <si>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</si>
  <si>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</si>
  <si>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</si>
  <si>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</si>
  <si>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</si>
  <si>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</si>
  <si>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</si>
  <si>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</si>
  <si>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</si>
  <si>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</si>
  <si>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</si>
  <si>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</si>
  <si>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</si>
  <si>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</si>
  <si>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</si>
  <si>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</si>
  <si>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</si>
  <si>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</si>
  <si>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</si>
  <si>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</si>
  <si>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</si>
  <si>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</si>
  <si>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</si>
  <si>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</si>
  <si>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</si>
  <si>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</si>
  <si>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</si>
  <si>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</si>
  <si>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</si>
  <si>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</si>
  <si>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</si>
  <si>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</si>
  <si>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</si>
  <si>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</si>
  <si>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</si>
  <si>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</si>
  <si>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</si>
  <si>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</si>
  <si>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</si>
  <si>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</si>
  <si>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</si>
  <si>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</si>
  <si>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</si>
  <si>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</si>
  <si>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</si>
  <si>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</si>
  <si>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</si>
  <si>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</si>
  <si>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</si>
  <si>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</si>
  <si>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</si>
  <si>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</si>
  <si>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</si>
  <si>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</si>
  <si>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</si>
  <si>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</si>
  <si>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</si>
  <si>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</si>
  <si>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</si>
  <si>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</si>
  <si>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</si>
  <si>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</si>
  <si>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</si>
  <si>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</si>
  <si>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</si>
  <si>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</si>
  <si>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</si>
  <si>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</si>
  <si>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</si>
  <si>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</si>
  <si>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</si>
  <si>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</si>
  <si>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</si>
  <si>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</si>
  <si>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</si>
  <si>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</si>
  <si>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</si>
  <si>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</si>
  <si>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</si>
  <si>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</si>
  <si>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</si>
  <si>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</si>
  <si>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</si>
  <si>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</si>
  <si>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</si>
  <si>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</si>
  <si>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</si>
  <si>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</si>
  <si>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</si>
  <si>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</si>
  <si>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</si>
  <si>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</si>
  <si>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</si>
  <si>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</si>
  <si>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</si>
  <si>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</si>
  <si>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</si>
  <si>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</si>
  <si>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</si>
  <si>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</si>
  <si>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</si>
  <si>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</si>
  <si>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</si>
  <si>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</si>
  <si>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</si>
  <si>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</si>
  <si>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</si>
  <si>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</si>
  <si>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</si>
  <si>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</si>
  <si>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</si>
  <si>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</si>
  <si>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</si>
  <si>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</si>
  <si>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</si>
  <si>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</si>
  <si>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</si>
  <si>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</si>
  <si>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</si>
  <si>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</si>
  <si>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</si>
  <si>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</si>
  <si>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</si>
  <si>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</si>
  <si>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</si>
  <si>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</si>
  <si>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</si>
  <si>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</si>
  <si>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</si>
  <si>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</si>
  <si>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</si>
  <si>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</si>
  <si>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</si>
  <si>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</si>
  <si>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</si>
  <si>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</si>
  <si>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</si>
  <si>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</si>
  <si>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</si>
  <si>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</si>
  <si>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</si>
  <si>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</si>
  <si>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</si>
  <si>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</si>
  <si>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</si>
  <si>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</si>
  <si>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</si>
  <si>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</si>
  <si>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</si>
  <si>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</si>
  <si>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</si>
  <si>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</si>
  <si>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</si>
  <si>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</si>
  <si>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</si>
  <si>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</si>
  <si>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</si>
  <si>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</si>
  <si>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</si>
  <si>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</si>
  <si>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</si>
  <si>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</si>
  <si>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</si>
  <si>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</si>
  <si>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</si>
  <si>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</si>
  <si>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</si>
  <si>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</si>
  <si>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</si>
  <si>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</si>
  <si>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</si>
  <si>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</si>
  <si>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</si>
  <si>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</si>
  <si>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</si>
  <si>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</si>
  <si>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</si>
  <si>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</si>
  <si>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</si>
  <si>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</si>
  <si>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</si>
  <si>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</si>
  <si>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</si>
  <si>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</si>
  <si>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</si>
  <si>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</si>
  <si>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</si>
  <si>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</si>
  <si>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</si>
  <si>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</si>
  <si>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</si>
  <si>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</si>
  <si>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</si>
  <si>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</si>
  <si>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</si>
  <si>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</si>
  <si>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</si>
  <si>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</si>
  <si>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</si>
  <si>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</si>
  <si>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</si>
  <si>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</si>
  <si>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</si>
  <si>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</si>
  <si>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</si>
  <si>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</si>
  <si>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</si>
  <si>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</si>
  <si>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</si>
  <si>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</si>
  <si>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</si>
  <si>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</si>
  <si>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</si>
  <si>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</si>
  <si>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</si>
  <si>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</si>
  <si>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</si>
  <si>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</si>
  <si>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</si>
  <si>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</si>
  <si>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</si>
  <si>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</si>
  <si>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</si>
  <si>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</si>
  <si>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</si>
  <si>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</si>
  <si>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</si>
  <si>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</si>
  <si>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</si>
  <si>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</si>
  <si>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</si>
  <si>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</si>
  <si>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</si>
  <si>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</si>
  <si>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</si>
  <si>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</si>
  <si>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</si>
  <si>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</si>
  <si>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</si>
  <si>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</si>
  <si>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</si>
  <si>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</si>
  <si>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</si>
  <si>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</si>
  <si>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</si>
  <si>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</si>
  <si>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</si>
  <si>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</si>
  <si>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</si>
  <si>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</si>
  <si>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</si>
  <si>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</si>
  <si>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</si>
  <si>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</si>
  <si>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</si>
  <si>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</si>
  <si>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</si>
  <si>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</si>
  <si>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</si>
  <si>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</si>
  <si>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</si>
  <si>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</si>
  <si>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</si>
  <si>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</si>
  <si>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</si>
  <si>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</si>
  <si>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</si>
  <si>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</si>
  <si>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</si>
  <si>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</si>
  <si>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</si>
  <si>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</si>
  <si>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</si>
  <si>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</si>
  <si>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</si>
  <si>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</si>
  <si>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</si>
  <si>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</si>
  <si>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</si>
  <si>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</si>
  <si>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</si>
  <si>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</si>
  <si>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</si>
  <si>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</si>
  <si>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</si>
  <si>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</si>
  <si>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</si>
  <si>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</si>
  <si>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</si>
  <si>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</si>
  <si>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</si>
  <si>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</si>
  <si>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</si>
  <si>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</si>
  <si>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</si>
  <si>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</si>
  <si>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</si>
  <si>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</si>
  <si>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</si>
  <si>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</si>
  <si>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</si>
  <si>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</si>
  <si>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</si>
  <si>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</si>
  <si>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</si>
  <si>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</si>
  <si>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</si>
  <si>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</si>
  <si>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</si>
  <si>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</si>
  <si>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</si>
  <si>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</si>
  <si>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</si>
  <si>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</si>
  <si>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</si>
  <si>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</si>
  <si>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</si>
  <si>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</si>
  <si>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</si>
  <si>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</si>
  <si>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</si>
  <si>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</si>
  <si>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</si>
  <si>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</si>
  <si>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</si>
  <si>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</si>
  <si>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</si>
  <si>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</si>
  <si>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</si>
  <si>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</si>
  <si>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</si>
  <si>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</si>
  <si>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</si>
  <si>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</si>
  <si>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</si>
  <si>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</si>
  <si>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</si>
  <si>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</si>
  <si>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</si>
  <si>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</si>
  <si>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</si>
  <si>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</si>
  <si>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</si>
  <si>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</si>
  <si>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</si>
  <si>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</si>
  <si>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</si>
  <si>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</si>
  <si>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</si>
  <si>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</si>
  <si>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</si>
  <si>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</si>
  <si>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</si>
  <si>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</si>
  <si>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</si>
  <si>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</si>
  <si>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</si>
  <si>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</si>
  <si>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</si>
  <si>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</si>
  <si>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</si>
  <si>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</si>
  <si>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</si>
  <si>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</si>
  <si>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</si>
  <si>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</si>
  <si>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</si>
  <si>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</si>
  <si>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</si>
  <si>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</si>
  <si>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</si>
  <si>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</si>
  <si>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</si>
  <si>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</si>
  <si>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</si>
  <si>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</si>
  <si>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</si>
  <si>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</si>
  <si>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</si>
  <si>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</si>
  <si>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</si>
  <si>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</si>
  <si>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</si>
  <si>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</si>
  <si>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</si>
  <si>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</si>
  <si>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</si>
  <si>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</si>
  <si>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</si>
  <si>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</si>
  <si>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</si>
  <si>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</si>
  <si>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</si>
  <si>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</si>
  <si>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</si>
  <si>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</si>
  <si>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</si>
  <si>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</si>
  <si>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</si>
  <si>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</si>
  <si>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</si>
  <si>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</si>
  <si>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</si>
  <si>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</si>
  <si>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</si>
  <si>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</si>
  <si>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</si>
  <si>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</si>
  <si>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</si>
  <si>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</si>
  <si>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</si>
  <si>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</si>
  <si>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</si>
  <si>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</si>
  <si>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</si>
  <si>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</si>
  <si>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</si>
  <si>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</si>
  <si>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</si>
  <si>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</si>
  <si>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</si>
  <si>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</si>
  <si>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</si>
  <si>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</si>
  <si>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</si>
  <si>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</si>
  <si>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</si>
  <si>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</si>
  <si>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</si>
  <si>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</si>
  <si>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</si>
  <si>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</si>
  <si>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</si>
  <si>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</si>
  <si>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</si>
  <si>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</si>
  <si>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</si>
  <si>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</si>
  <si>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</si>
  <si>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</si>
  <si>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</si>
  <si>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</si>
  <si>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</si>
  <si>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</si>
  <si>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</si>
  <si>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</si>
  <si>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</si>
  <si>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</si>
  <si>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</si>
  <si>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</si>
  <si>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</si>
  <si>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</si>
  <si>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</si>
  <si>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</si>
  <si>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</si>
  <si>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</si>
  <si>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</si>
  <si>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</si>
  <si>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</si>
  <si>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</si>
  <si>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</si>
  <si>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</si>
  <si>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</si>
  <si>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</si>
  <si>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</si>
  <si>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</si>
  <si>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</si>
  <si>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</si>
  <si>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</si>
  <si>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</si>
  <si>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</si>
  <si>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</si>
  <si>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</si>
  <si>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</si>
  <si>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</si>
  <si>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</si>
  <si>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</si>
  <si>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</si>
  <si>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</si>
  <si>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</si>
  <si>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</si>
  <si>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</si>
  <si>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</si>
  <si>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</si>
  <si>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</si>
  <si>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</si>
  <si>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</si>
  <si>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</si>
  <si>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</si>
  <si>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</si>
  <si>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</si>
  <si>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</si>
  <si>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</si>
  <si>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</si>
  <si>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</si>
  <si>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</si>
  <si>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</si>
  <si>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</si>
  <si>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</si>
  <si>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</si>
  <si>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</si>
  <si>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</si>
  <si>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</si>
  <si>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</si>
  <si>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</si>
  <si>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</si>
  <si>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</si>
  <si>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</si>
  <si>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</si>
  <si>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</si>
  <si>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</si>
  <si>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</si>
  <si>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</si>
  <si>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</si>
  <si>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</si>
  <si>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</si>
  <si>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</si>
  <si>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</si>
  <si>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</si>
  <si>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</si>
  <si>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</si>
  <si>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</si>
  <si>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</si>
  <si>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</si>
  <si>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</si>
  <si>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</si>
  <si>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</si>
  <si>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</si>
  <si>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</si>
  <si>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</si>
  <si>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</si>
  <si>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</si>
  <si>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</si>
  <si>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</si>
  <si>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</si>
  <si>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</si>
  <si>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</si>
  <si>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</si>
  <si>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</si>
  <si>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</si>
  <si>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</si>
  <si>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</si>
  <si>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</si>
  <si>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</si>
  <si>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</si>
  <si>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</si>
  <si>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</si>
  <si>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</si>
  <si>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</si>
  <si>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</si>
  <si>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</si>
  <si>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</si>
  <si>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</si>
  <si>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</si>
  <si>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</si>
  <si>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</si>
  <si>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</si>
  <si>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</si>
  <si>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</si>
  <si>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</si>
  <si>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</si>
  <si>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</si>
  <si>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</si>
  <si>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</si>
  <si>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</si>
  <si>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</si>
  <si>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</si>
  <si>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</si>
  <si>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</si>
  <si>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</si>
  <si>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</si>
  <si>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</si>
  <si>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</si>
  <si>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</si>
  <si>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</si>
  <si>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</si>
  <si>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</si>
  <si>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</si>
  <si>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</si>
  <si>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</si>
  <si>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</si>
  <si>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</si>
  <si>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</si>
  <si>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</si>
  <si>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</si>
  <si>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</si>
  <si>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</si>
  <si>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</si>
  <si>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</si>
  <si>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</si>
  <si>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</si>
  <si>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</si>
  <si>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</si>
  <si>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</si>
  <si>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</si>
  <si>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</si>
  <si>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</si>
  <si>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</si>
  <si>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</si>
  <si>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</si>
  <si>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</si>
  <si>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</si>
  <si>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</si>
  <si>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</si>
  <si>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</si>
  <si>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</si>
  <si>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</si>
  <si>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</si>
  <si>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</si>
  <si>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</si>
  <si>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</si>
  <si>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</si>
  <si>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</si>
  <si>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</si>
  <si>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</si>
  <si>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</si>
  <si>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</si>
  <si>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</si>
  <si>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</si>
  <si>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</si>
  <si>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</si>
  <si>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</si>
  <si>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</si>
  <si>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</si>
  <si>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</si>
  <si>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</si>
  <si>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</si>
  <si>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</si>
  <si>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</si>
  <si>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</si>
  <si>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</si>
  <si>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</si>
  <si>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</si>
  <si>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</si>
  <si>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</si>
  <si>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</si>
  <si>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</si>
  <si>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</si>
  <si>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</si>
  <si>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</si>
  <si>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</si>
  <si>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</si>
  <si>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</si>
  <si>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</si>
  <si>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</si>
  <si>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</si>
  <si>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</si>
  <si>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</si>
  <si>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</si>
  <si>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</si>
  <si>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</si>
  <si>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</si>
  <si>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</si>
  <si>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</si>
  <si>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</si>
  <si>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</si>
  <si>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</si>
  <si>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</si>
  <si>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</si>
  <si>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</si>
  <si>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</si>
  <si>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</si>
  <si>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</si>
  <si>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</si>
  <si>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</si>
  <si>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</si>
  <si>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</si>
  <si>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</si>
  <si>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</si>
  <si>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</si>
  <si>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</si>
  <si>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</si>
  <si>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</si>
  <si>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</si>
  <si>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</si>
  <si>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</si>
  <si>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</si>
  <si>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</si>
  <si>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</si>
  <si>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</si>
  <si>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</si>
  <si>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</si>
  <si>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</si>
  <si>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</si>
  <si>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</si>
  <si>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</si>
  <si>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</si>
  <si>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</si>
  <si>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</si>
  <si>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</si>
  <si>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</si>
  <si>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</si>
  <si>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</si>
  <si>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</si>
  <si>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</si>
  <si>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</si>
  <si>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</si>
  <si>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</si>
  <si>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</si>
  <si>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</si>
  <si>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</si>
  <si>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</si>
  <si>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</si>
  <si>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</si>
  <si>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</si>
  <si>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</si>
  <si>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</si>
  <si>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</si>
  <si>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</si>
  <si>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</si>
  <si>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</si>
  <si>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</si>
  <si>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</si>
  <si>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</si>
  <si>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</si>
  <si>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</si>
  <si>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</si>
  <si>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</si>
  <si>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</si>
  <si>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</si>
  <si>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</si>
  <si>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</si>
  <si>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</si>
  <si>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</si>
  <si>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</si>
  <si>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</si>
  <si>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</si>
  <si>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</si>
  <si>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</si>
  <si>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</si>
  <si>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</si>
  <si>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</si>
  <si>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</si>
  <si>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</si>
  <si>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</si>
  <si>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</si>
  <si>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</si>
  <si>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</si>
  <si>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</si>
  <si>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</si>
  <si>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</si>
  <si>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</si>
  <si>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</si>
  <si>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</si>
  <si>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</si>
  <si>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</si>
  <si>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</si>
  <si>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</si>
  <si>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</si>
  <si>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</si>
  <si>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</si>
  <si>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</si>
  <si>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</si>
  <si>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</si>
  <si>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</si>
  <si>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</si>
  <si>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</si>
  <si>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</si>
  <si>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</si>
  <si>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</si>
  <si>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</si>
  <si>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</si>
  <si>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</si>
  <si>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</si>
  <si>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</si>
  <si>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</si>
  <si>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</si>
  <si>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</si>
  <si>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</si>
  <si>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</si>
  <si>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</si>
  <si>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</si>
  <si>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</si>
  <si>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</si>
  <si>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</si>
  <si>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</si>
  <si>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</si>
  <si>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</si>
  <si>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</si>
  <si>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</si>
  <si>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</si>
  <si>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</si>
  <si>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</si>
  <si>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</si>
  <si>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</si>
  <si>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</si>
  <si>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</si>
  <si>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</si>
  <si>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</si>
  <si>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</si>
  <si>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</si>
  <si>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</si>
  <si>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</si>
  <si>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</si>
  <si>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</si>
  <si>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</si>
  <si>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</si>
  <si>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</si>
  <si>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</si>
  <si>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</si>
  <si>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</si>
  <si>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</si>
  <si>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</si>
  <si>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</si>
  <si>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</si>
  <si>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</si>
  <si>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</si>
  <si>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</si>
  <si>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</si>
  <si>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</si>
  <si>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</si>
  <si>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</si>
  <si>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</si>
  <si>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</si>
  <si>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</si>
  <si>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</si>
  <si>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</si>
  <si>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</si>
  <si>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</si>
  <si>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</si>
  <si>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</si>
  <si>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</si>
  <si>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</si>
  <si>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</si>
  <si>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</si>
  <si>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</si>
  <si>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</si>
  <si>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</si>
  <si>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</si>
  <si>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</si>
  <si>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</si>
  <si>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</si>
  <si>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</si>
  <si>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</si>
  <si>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</si>
  <si>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</si>
  <si>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</si>
  <si>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</si>
  <si>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</si>
  <si>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</si>
  <si>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</si>
  <si>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</si>
  <si>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</si>
  <si>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</si>
  <si>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</si>
  <si>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</si>
  <si>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</si>
  <si>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</si>
  <si>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</si>
  <si>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</si>
  <si>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</si>
  <si>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</si>
  <si>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</si>
  <si>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</si>
  <si>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</si>
  <si>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</si>
  <si>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</si>
  <si>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</si>
  <si>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</si>
  <si>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</si>
  <si>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</si>
  <si>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</si>
  <si>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</si>
  <si>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</si>
  <si>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</si>
  <si>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</si>
  <si>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</si>
  <si>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</si>
  <si>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</si>
  <si>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</si>
  <si>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</si>
  <si>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</si>
  <si>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</si>
  <si>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</si>
  <si>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</si>
  <si>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</si>
  <si>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</si>
  <si>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</si>
  <si>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</si>
  <si>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</si>
  <si>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</si>
  <si>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</si>
  <si>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</si>
  <si>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</si>
  <si>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</si>
  <si>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</si>
  <si>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</si>
  <si>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</si>
  <si>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</si>
  <si>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</si>
  <si>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</si>
  <si>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</si>
  <si>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</si>
  <si>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</si>
  <si>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</si>
  <si>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</si>
  <si>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</si>
  <si>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</si>
  <si>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</si>
  <si>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</si>
  <si>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</si>
  <si>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</si>
  <si>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</si>
  <si>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</si>
  <si>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</si>
  <si>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</si>
  <si>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</si>
  <si>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</si>
  <si>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</si>
  <si>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</si>
  <si>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</si>
  <si>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</si>
  <si>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</si>
  <si>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</si>
  <si>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</si>
  <si>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</si>
  <si>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</si>
  <si>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</si>
  <si>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</si>
  <si>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</si>
  <si>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</si>
  <si>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</si>
  <si>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</si>
  <si>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</si>
  <si>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</si>
  <si>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</si>
  <si>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</si>
  <si>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</si>
  <si>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</si>
  <si>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</si>
  <si>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</si>
  <si>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</si>
  <si>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</si>
  <si>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</si>
  <si>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</si>
  <si>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</si>
  <si>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</si>
  <si>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</si>
  <si>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</si>
  <si>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</si>
  <si>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</si>
  <si>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</si>
  <si>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</si>
  <si>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</si>
  <si>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自然人</t>
  </si>
  <si>
    <t>北京市</t>
  </si>
  <si>
    <t>估价对象1（结果表）</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</si>
  <si>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</si>
  <si>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</si>
  <si>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</si>
  <si>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</si>
  <si>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</si>
  <si>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</si>
  <si>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</si>
  <si>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</si>
  <si>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</si>
  <si>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</si>
  <si>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</si>
  <si>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</si>
  <si>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</si>
  <si>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</si>
  <si>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</si>
  <si>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</si>
  <si>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</si>
  <si>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</si>
  <si>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</si>
  <si>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</si>
  <si>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</si>
  <si>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19</t>
    <phoneticPr fontId="4" type="noConversion"/>
  </si>
  <si>
    <t>周边有绿城百合、府西园小区、紫欣苑小区、燕化星城健德一里、燕化星城健德二里等居住社区，综合评价居住社区成熟度较好。</t>
  </si>
  <si>
    <t>周边有绿城百合、府西园小区、紫欣苑小区、燕化星城健德一里、燕化星城健德二里等居住社区，综合评价居住社区成熟度较好。</t>
    <phoneticPr fontId="35" type="noConversion"/>
  </si>
  <si>
    <t>估价对象所在区域公共配套设施齐备情况好</t>
  </si>
  <si>
    <t>估价对象所在区域公共配套设施齐备情况好</t>
    <phoneticPr fontId="35" type="noConversion"/>
  </si>
  <si>
    <t>七通一平</t>
  </si>
  <si>
    <t>估价对象紧邻城市次干道—太平街，有14路、40路、66路、70路等多条公交线路及地铁4号线（陶然亭站）通过，交通便捷度较好。</t>
    <phoneticPr fontId="35" type="noConversion"/>
  </si>
  <si>
    <t>收益法</t>
  </si>
  <si>
    <t>比较法-住宅</t>
  </si>
  <si>
    <t>设定收益年期(n)</t>
  </si>
  <si>
    <t>砖混</t>
  </si>
  <si>
    <t>估价对象</t>
  </si>
  <si>
    <t>售价</t>
  </si>
  <si>
    <t>非生产用房</t>
  </si>
  <si>
    <t>是</t>
  </si>
  <si>
    <t>太平街乙18号5层3-5-351</t>
    <phoneticPr fontId="4" type="noConversion"/>
  </si>
  <si>
    <t>太平街甲乙18号院</t>
    <phoneticPr fontId="4" type="noConversion"/>
  </si>
  <si>
    <t>楼层</t>
    <phoneticPr fontId="20" type="noConversion"/>
  </si>
  <si>
    <t>南北</t>
    <phoneticPr fontId="20" type="noConversion"/>
  </si>
  <si>
    <t>建成年代</t>
    <phoneticPr fontId="20" type="noConversion"/>
  </si>
  <si>
    <t>板楼</t>
    <phoneticPr fontId="20" type="noConversion"/>
  </si>
  <si>
    <t>平层</t>
    <phoneticPr fontId="20" type="noConversion"/>
  </si>
  <si>
    <t>砖混</t>
    <phoneticPr fontId="20" type="noConversion"/>
  </si>
  <si>
    <t>南北</t>
    <phoneticPr fontId="4" type="noConversion"/>
  </si>
  <si>
    <t>南</t>
    <phoneticPr fontId="4" type="noConversion"/>
  </si>
  <si>
    <t>东西</t>
    <phoneticPr fontId="4" type="noConversion"/>
  </si>
  <si>
    <t>东</t>
    <phoneticPr fontId="4" type="noConversion"/>
  </si>
  <si>
    <t>西</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</si>
  <si>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</si>
  <si>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</si>
  <si>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</si>
  <si>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</si>
  <si>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</si>
  <si>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</si>
  <si>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</si>
  <si>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</si>
  <si>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</si>
  <si>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</si>
  <si>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</si>
  <si>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</si>
  <si>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</si>
  <si>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</si>
  <si>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</si>
  <si>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20" type="noConversion"/>
  </si>
  <si>
    <t>正常</t>
    <phoneticPr fontId="20" type="noConversion"/>
  </si>
  <si>
    <r>
      <rPr>
        <sz val="11"/>
        <rFont val="宋体"/>
        <family val="3"/>
        <charset val="134"/>
      </rPr>
      <t>低楼层</t>
    </r>
    <r>
      <rPr>
        <sz val="11"/>
        <rFont val="Arial"/>
        <family val="2"/>
      </rPr>
      <t>/6</t>
    </r>
    <phoneticPr fontId="20" type="noConversion"/>
  </si>
  <si>
    <t>南</t>
  </si>
  <si>
    <t>南</t>
    <phoneticPr fontId="20" type="noConversion"/>
  </si>
  <si>
    <t>东西</t>
    <phoneticPr fontId="20" type="noConversion"/>
  </si>
  <si>
    <t>住宅</t>
    <phoneticPr fontId="20" type="noConversion"/>
  </si>
  <si>
    <t>60-70（含）</t>
  </si>
  <si>
    <t>5/6</t>
    <phoneticPr fontId="20" type="noConversion"/>
  </si>
  <si>
    <r>
      <rPr>
        <sz val="11"/>
        <rFont val="宋体"/>
        <family val="3"/>
        <charset val="134"/>
      </rPr>
      <t>高</t>
    </r>
    <r>
      <rPr>
        <sz val="11"/>
        <rFont val="宋体"/>
        <family val="3"/>
        <charset val="134"/>
      </rPr>
      <t>楼层</t>
    </r>
    <r>
      <rPr>
        <sz val="11"/>
        <rFont val="Arial"/>
        <family val="2"/>
      </rPr>
      <t>/6</t>
    </r>
    <phoneticPr fontId="20" type="noConversion"/>
  </si>
  <si>
    <r>
      <rPr>
        <sz val="11"/>
        <rFont val="宋体"/>
        <family val="3"/>
        <charset val="134"/>
      </rPr>
      <t>高楼层</t>
    </r>
    <r>
      <rPr>
        <sz val="11"/>
        <rFont val="Arial"/>
        <family val="2"/>
      </rPr>
      <t>/6</t>
    </r>
    <phoneticPr fontId="20" type="noConversion"/>
  </si>
  <si>
    <r>
      <rPr>
        <sz val="11"/>
        <rFont val="宋体"/>
        <family val="3"/>
        <charset val="134"/>
      </rPr>
      <t>底层</t>
    </r>
    <r>
      <rPr>
        <sz val="11"/>
        <rFont val="Arial"/>
        <family val="2"/>
      </rPr>
      <t>/6</t>
    </r>
    <phoneticPr fontId="20" type="noConversion"/>
  </si>
  <si>
    <t>普通装修</t>
  </si>
  <si>
    <t>简装</t>
  </si>
  <si>
    <t>普通物业公司管理</t>
    <phoneticPr fontId="20" type="noConversion"/>
  </si>
  <si>
    <t>城市次干道—太平街</t>
    <phoneticPr fontId="20" type="noConversion"/>
  </si>
  <si>
    <t>区域自然环境：陶然亭公园、天坛公园、永定门公园、护城河；人文环境：自然博物馆、北京古代建筑博物馆、中国盲文博物馆、北京先农坛体育场；综合评价环境状况好</t>
  </si>
  <si>
    <t>区域自然环境：陶然亭公园、天坛公园、永定门公园、护城河；人文环境：自然博物馆、北京古代建筑博物馆、中国盲文博物馆、北京先农坛体育场；综合评价环境状况好</t>
    <phoneticPr fontId="35" type="noConversion"/>
  </si>
  <si>
    <t>七通</t>
  </si>
  <si>
    <r>
      <t>估价对象紧邻城市次干道</t>
    </r>
    <r>
      <rPr>
        <sz val="11"/>
        <rFont val="Arial"/>
        <family val="2"/>
      </rPr>
      <t>—</t>
    </r>
    <r>
      <rPr>
        <sz val="11"/>
        <rFont val="宋体"/>
        <family val="3"/>
        <charset val="134"/>
      </rPr>
      <t>太平街，有</t>
    </r>
    <r>
      <rPr>
        <sz val="11"/>
        <rFont val="Arial"/>
        <family val="2"/>
      </rPr>
      <t>14</t>
    </r>
    <r>
      <rPr>
        <sz val="11"/>
        <rFont val="宋体"/>
        <family val="3"/>
        <charset val="134"/>
      </rPr>
      <t>路、</t>
    </r>
    <r>
      <rPr>
        <sz val="11"/>
        <rFont val="Arial"/>
        <family val="2"/>
      </rPr>
      <t>40</t>
    </r>
    <r>
      <rPr>
        <sz val="11"/>
        <rFont val="宋体"/>
        <family val="3"/>
        <charset val="134"/>
      </rPr>
      <t>路、</t>
    </r>
    <r>
      <rPr>
        <sz val="11"/>
        <rFont val="Arial"/>
        <family val="2"/>
      </rPr>
      <t>66</t>
    </r>
    <r>
      <rPr>
        <sz val="11"/>
        <rFont val="宋体"/>
        <family val="3"/>
        <charset val="134"/>
      </rPr>
      <t>路、</t>
    </r>
    <r>
      <rPr>
        <sz val="11"/>
        <rFont val="Arial"/>
        <family val="2"/>
      </rPr>
      <t>70</t>
    </r>
    <r>
      <rPr>
        <sz val="11"/>
        <rFont val="宋体"/>
        <family val="3"/>
        <charset val="134"/>
      </rPr>
      <t>路等多条公交线路及地铁</t>
    </r>
    <r>
      <rPr>
        <sz val="11"/>
        <rFont val="Arial"/>
        <family val="2"/>
      </rPr>
      <t>4</t>
    </r>
    <r>
      <rPr>
        <sz val="11"/>
        <rFont val="宋体"/>
        <family val="3"/>
        <charset val="134"/>
      </rPr>
      <t>号线（陶然亭站）通过，交通便捷度较好。</t>
    </r>
  </si>
  <si>
    <t>七通一平</t>
    <phoneticPr fontId="20" type="noConversion"/>
  </si>
  <si>
    <t>成本价</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</si>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</sst>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135" fillId="2" borderId="6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114300</xdr:colOff>
      <xdr:row>40</xdr:row>
      <xdr:rowOff>28575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43900" cy="6886575"/>
        </a:xfrm>
        <a:prstGeom prst="rect">
          <a:avLst/>
        </a:prstGeom>
        <a:noFill/>
        <a:ln w="1">
          <a:noFill/>
          <a:miter lim="800000"/>
          <a:headEnd/>
          <a:tailEnd type="none" w="med" len="med"/>
        </a:ln>
        <a:effectLst/>
      </xdr:spPr>
    </xdr:pic>
    <xdr:clientData/>
  </xdr:twoCellAnchor>
  <xdr:twoCellAnchor editAs="oneCell">
    <xdr:from>
      <xdr:col>0</xdr:col>
      <xdr:colOff>0</xdr:colOff>
      <xdr:row>85</xdr:row>
      <xdr:rowOff>38100</xdr:rowOff>
    </xdr:from>
    <xdr:to>
      <xdr:col>11</xdr:col>
      <xdr:colOff>657225</xdr:colOff>
      <xdr:row>125</xdr:row>
      <xdr:rowOff>47625</xdr:rowOff>
    </xdr:to>
    <xdr:pic>
      <xdr:nvPicPr>
        <xdr:cNvPr id="6553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14611350"/>
          <a:ext cx="8201025" cy="6867525"/>
        </a:xfrm>
        <a:prstGeom prst="rect">
          <a:avLst/>
        </a:prstGeom>
        <a:noFill/>
        <a:ln w="1">
          <a:noFill/>
          <a:miter lim="800000"/>
          <a:headEnd/>
          <a:tailEnd type="none" w="med" len="med"/>
        </a:ln>
        <a:effectLst/>
      </xdr:spPr>
    </xdr:pic>
    <xdr:clientData/>
  </xdr:twoCellAnchor>
  <xdr:twoCellAnchor editAs="oneCell">
    <xdr:from>
      <xdr:col>0</xdr:col>
      <xdr:colOff>0</xdr:colOff>
      <xdr:row>42</xdr:row>
      <xdr:rowOff>0</xdr:rowOff>
    </xdr:from>
    <xdr:to>
      <xdr:col>11</xdr:col>
      <xdr:colOff>9525</xdr:colOff>
      <xdr:row>82</xdr:row>
      <xdr:rowOff>38100</xdr:rowOff>
    </xdr:to>
    <xdr:pic>
      <xdr:nvPicPr>
        <xdr:cNvPr id="6554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7200900"/>
          <a:ext cx="7553325" cy="68961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676275</xdr:colOff>
      <xdr:row>17</xdr:row>
      <xdr:rowOff>19050</xdr:rowOff>
    </xdr:to>
    <xdr:pic>
      <xdr:nvPicPr>
        <xdr:cNvPr id="64517"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162675" cy="29337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估价对象为北京市房地产，为所有。根据《不动产权证书》[]，估价对象建筑面积为66.21平方米，（分摊）出让国有建设用地使用权面积为平方米。估价对象用途为。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2018年8月27日（评估专业人员实地查勘之日）</v>
      </c>
    </row>
    <row r="10" spans="1:2">
      <c r="A10" s="1702" t="s">
        <v>1116</v>
      </c>
      <c r="B10" s="1689" t="str">
        <f>'预评函-1'!A13</f>
        <v>本次估价的“房地产价值”是指在正常市场情况下，在价值时点2018年8月27日，估价对象规划用途为，假定未设立法定优先受偿款下的房地产市场价值。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66.209999999999994</v>
      </c>
    </row>
    <row r="19" spans="1:2">
      <c r="A19" s="1702" t="s">
        <v>1125</v>
      </c>
      <c r="B19" s="1689">
        <f ca="1">'预评函-2（1）'!D7</f>
        <v>6663639</v>
      </c>
    </row>
    <row r="20" spans="1:2">
      <c r="A20" s="1702" t="s">
        <v>1163</v>
      </c>
      <c r="B20" s="1689" t="str">
        <f>'预评函-2（1）'!C7</f>
        <v>总价（元）</v>
      </c>
    </row>
    <row r="21" spans="1:2">
      <c r="A21" s="1702" t="s">
        <v>1126</v>
      </c>
      <c r="B21" s="1689">
        <f ca="1">'预评函-2（1）'!D9</f>
        <v>100644</v>
      </c>
    </row>
    <row r="22" spans="1:2">
      <c r="A22" s="1702" t="s">
        <v>1127</v>
      </c>
      <c r="B22" s="1689" t="str">
        <f ca="1">'预评函-2（1）'!D8</f>
        <v>陆佰陆拾陆万叁仟陆佰叁拾玖元整</v>
      </c>
    </row>
    <row r="23" spans="1:2">
      <c r="A23" s="1702" t="s">
        <v>1164</v>
      </c>
      <c r="B23" s="1689">
        <f>'预评函-2（1）'!D10</f>
        <v>1033</v>
      </c>
    </row>
    <row r="24" spans="1:2">
      <c r="A24" s="1702" t="s">
        <v>1165</v>
      </c>
      <c r="B24" s="1689" t="str">
        <f>'预评函-2（1）'!C10</f>
        <v>总额（元）</v>
      </c>
    </row>
    <row r="25" spans="1:2">
      <c r="A25" s="1702" t="s">
        <v>1128</v>
      </c>
      <c r="B25" s="1689" t="str">
        <f>'预评函-2（1）'!D11</f>
        <v>壹仟零叁拾叁元整</v>
      </c>
    </row>
    <row r="26" spans="1:2">
      <c r="A26" s="1702" t="s">
        <v>1129</v>
      </c>
      <c r="B26" s="1689">
        <f>'预评函-2（1）'!D12</f>
        <v>0</v>
      </c>
    </row>
    <row r="27" spans="1:2">
      <c r="A27" s="1702" t="s">
        <v>1130</v>
      </c>
      <c r="B27" s="1689">
        <f>'预评函-2（1）'!D13</f>
        <v>0</v>
      </c>
    </row>
    <row r="28" spans="1:2">
      <c r="A28" s="1702" t="s">
        <v>1131</v>
      </c>
      <c r="B28" s="1689">
        <f>'预评函-2（1）'!D14</f>
        <v>1033</v>
      </c>
    </row>
    <row r="29" spans="1:2">
      <c r="A29" s="1702" t="s">
        <v>1132</v>
      </c>
      <c r="B29" s="1689">
        <f ca="1">'预评函-2（1）'!D15</f>
        <v>6662606</v>
      </c>
    </row>
    <row r="30" spans="1:2">
      <c r="A30" s="1702" t="s">
        <v>1133</v>
      </c>
      <c r="B30" s="1689" t="str">
        <f ca="1">'预评函-2（1）'!D16</f>
        <v>陆佰陆拾陆万贰仟陆佰零陆元整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6457064</v>
      </c>
    </row>
    <row r="38" spans="1:2">
      <c r="A38" s="1702" t="s">
        <v>1141</v>
      </c>
      <c r="B38" s="1689">
        <f ca="1">'预评函-2（2）'!E4</f>
        <v>97524</v>
      </c>
    </row>
    <row r="39" spans="1:2">
      <c r="A39" s="1702" t="s">
        <v>1142</v>
      </c>
      <c r="B39" s="1689" t="str">
        <f ca="1">'预评函-2（2）'!D5</f>
        <v>陆佰肆拾伍万柒仟零陆拾肆元整</v>
      </c>
    </row>
    <row r="40" spans="1:2">
      <c r="A40" s="1702" t="s">
        <v>1143</v>
      </c>
      <c r="B40" s="1689">
        <f ca="1">'预评函-2（2）'!F4</f>
        <v>206575</v>
      </c>
    </row>
    <row r="41" spans="1:2">
      <c r="A41" s="1702" t="s">
        <v>1144</v>
      </c>
      <c r="B41" s="1689">
        <f ca="1">'预评函-2（2）'!G4</f>
        <v>3120</v>
      </c>
    </row>
    <row r="42" spans="1:2" s="1699" customFormat="1" ht="15.75" thickBot="1">
      <c r="A42" s="1703" t="s">
        <v>1145</v>
      </c>
      <c r="B42" s="1691" t="str">
        <f ca="1">'预评函-2（2）'!F5</f>
        <v>贰拾万陆仟伍佰柒拾伍元整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100628</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4" sqref="D4"/>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43339</v>
      </c>
      <c r="C2" s="1999" t="s">
        <v>1546</v>
      </c>
      <c r="D2" s="1088">
        <v>43339</v>
      </c>
      <c r="E2" s="1064"/>
      <c r="F2" s="1064"/>
      <c r="G2" s="1683"/>
      <c r="H2" s="1020"/>
    </row>
    <row r="3" spans="1:10" ht="13.5" thickBot="1">
      <c r="A3" s="2000" t="s">
        <v>1547</v>
      </c>
      <c r="B3" s="2001" t="s">
        <v>1548</v>
      </c>
      <c r="C3" s="1065">
        <f>SUMIF(注册房地产估价师,B3,估价师及机构信息!B3:B24)</f>
        <v>0</v>
      </c>
      <c r="D3" s="2001" t="s">
        <v>1548</v>
      </c>
      <c r="E3" s="1066">
        <f>SUMIF(注册房地产估价师,D3,估价师及机构信息!B3:B24)</f>
        <v>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2821</v>
      </c>
      <c r="C6" s="2015"/>
      <c r="D6" s="2016" t="s">
        <v>1555</v>
      </c>
      <c r="E6" s="1022"/>
      <c r="F6" s="1021"/>
      <c r="G6" s="1074"/>
      <c r="I6" s="1070" t="str">
        <f>IF(COUNTIF(B5,"*上海银行*"),"上海银行","")</f>
        <v/>
      </c>
    </row>
    <row r="7" spans="1:10" ht="13.5" thickBot="1">
      <c r="A7" s="2000" t="s">
        <v>1556</v>
      </c>
      <c r="B7" s="2017" t="s">
        <v>2820</v>
      </c>
      <c r="C7" s="2018" t="str">
        <f>IF(B7="自然人","姓名","名称")</f>
        <v>姓名</v>
      </c>
      <c r="D7" s="2019"/>
      <c r="E7" s="1068"/>
      <c r="F7" s="1067"/>
      <c r="G7" s="1684"/>
    </row>
    <row r="8" spans="1:10" ht="13.5" thickTop="1">
      <c r="A8" s="2828" t="s">
        <v>1557</v>
      </c>
      <c r="B8" s="2020" t="s">
        <v>1558</v>
      </c>
      <c r="C8" s="2841"/>
      <c r="D8" s="2842"/>
      <c r="E8" s="2021" t="s">
        <v>1559</v>
      </c>
      <c r="F8" s="2022" t="s">
        <v>1560</v>
      </c>
      <c r="G8" s="690">
        <f>C6</f>
        <v>0</v>
      </c>
    </row>
    <row r="9" spans="1:10">
      <c r="A9" s="2828"/>
      <c r="B9" s="344" t="s">
        <v>1561</v>
      </c>
      <c r="C9" s="2007"/>
      <c r="D9" s="2023"/>
      <c r="E9" s="1010" t="s">
        <v>1562</v>
      </c>
      <c r="F9" s="996"/>
      <c r="G9" s="1012"/>
    </row>
    <row r="10" spans="1:10" ht="13.5" thickBot="1">
      <c r="A10" s="2828"/>
      <c r="B10" s="344" t="s">
        <v>1563</v>
      </c>
      <c r="C10" s="2843"/>
      <c r="D10" s="2844"/>
      <c r="E10" s="2024" t="s">
        <v>1564</v>
      </c>
      <c r="F10" s="1013"/>
      <c r="G10" s="1014"/>
    </row>
    <row r="11" spans="1:10" ht="13.5" thickBot="1">
      <c r="A11" s="2828"/>
      <c r="B11" s="2025" t="s">
        <v>1565</v>
      </c>
      <c r="C11" s="2845"/>
      <c r="D11" s="2846"/>
      <c r="E11" s="1022"/>
      <c r="F11" s="1021"/>
      <c r="G11" s="1074"/>
    </row>
    <row r="12" spans="1:10" ht="24.75" thickBot="1">
      <c r="A12" s="2832" t="s">
        <v>1566</v>
      </c>
      <c r="B12" s="2026" t="s">
        <v>1567</v>
      </c>
      <c r="C12" s="1016">
        <v>66.209999999999994</v>
      </c>
      <c r="D12" s="2026" t="s">
        <v>1568</v>
      </c>
      <c r="E12" s="2027" t="s">
        <v>1569</v>
      </c>
      <c r="F12" s="2028" t="s">
        <v>1570</v>
      </c>
      <c r="G12" s="1074"/>
    </row>
    <row r="13" spans="1:10" ht="21" customHeight="1" thickBot="1">
      <c r="A13" s="2833"/>
      <c r="B13" s="2029" t="s">
        <v>1571</v>
      </c>
      <c r="C13" s="1017"/>
      <c r="D13" s="2029" t="s">
        <v>1572</v>
      </c>
      <c r="E13" s="2030" t="s">
        <v>1569</v>
      </c>
      <c r="F13" s="1021"/>
      <c r="G13" s="1074"/>
      <c r="I13" s="2851"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51"/>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51"/>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47" t="s">
        <v>1580</v>
      </c>
      <c r="C17" s="2848"/>
      <c r="D17" s="2849" t="s">
        <v>1581</v>
      </c>
      <c r="E17" s="2850"/>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35" t="s">
        <v>1597</v>
      </c>
      <c r="D27" s="2836"/>
      <c r="E27" s="1004"/>
      <c r="F27" s="1011" t="s">
        <v>1597</v>
      </c>
      <c r="G27" s="1004"/>
      <c r="I27" s="1071"/>
      <c r="K27" s="1071"/>
    </row>
    <row r="28" spans="1:15">
      <c r="A28" s="1008" t="s">
        <v>1598</v>
      </c>
      <c r="B28" s="978"/>
      <c r="C28" s="2837" t="s">
        <v>1599</v>
      </c>
      <c r="D28" s="2838"/>
      <c r="E28" s="978"/>
      <c r="F28" s="1894" t="s">
        <v>1599</v>
      </c>
      <c r="G28" s="978"/>
      <c r="I28" s="1071"/>
      <c r="K28" s="1071"/>
    </row>
    <row r="29" spans="1:15">
      <c r="A29" s="1008" t="s">
        <v>1600</v>
      </c>
      <c r="B29" s="978"/>
      <c r="C29" s="2837" t="s">
        <v>1600</v>
      </c>
      <c r="D29" s="2838"/>
      <c r="E29" s="978"/>
      <c r="F29" s="1894" t="s">
        <v>1601</v>
      </c>
      <c r="G29" s="978"/>
      <c r="I29" s="1071"/>
      <c r="K29" s="1071"/>
    </row>
    <row r="30" spans="1:15">
      <c r="A30" s="1008" t="s">
        <v>1602</v>
      </c>
      <c r="B30" s="978"/>
      <c r="C30" s="2857" t="s">
        <v>1603</v>
      </c>
      <c r="D30" s="2068"/>
      <c r="E30" s="1023" t="str">
        <f>E31&amp;" "&amp;E32&amp;" "&amp;E33&amp;" "&amp;E34</f>
        <v xml:space="preserve">   </v>
      </c>
      <c r="F30" s="1894" t="s">
        <v>1604</v>
      </c>
      <c r="G30" s="978"/>
    </row>
    <row r="31" spans="1:15">
      <c r="A31" s="1008" t="s">
        <v>1605</v>
      </c>
      <c r="B31" s="978"/>
      <c r="C31" s="2858"/>
      <c r="D31" s="1893" t="s">
        <v>1606</v>
      </c>
      <c r="E31" s="978"/>
      <c r="F31" s="1894" t="s">
        <v>1607</v>
      </c>
      <c r="G31" s="978"/>
    </row>
    <row r="32" spans="1:15" ht="24.75" thickBot="1">
      <c r="A32" s="1009" t="s">
        <v>1608</v>
      </c>
      <c r="B32" s="1005"/>
      <c r="C32" s="2858"/>
      <c r="D32" s="1893" t="s">
        <v>1609</v>
      </c>
      <c r="E32" s="978"/>
      <c r="F32" s="1894" t="s">
        <v>1610</v>
      </c>
      <c r="G32" s="978"/>
    </row>
    <row r="33" spans="1:7">
      <c r="A33" s="1007" t="s">
        <v>1611</v>
      </c>
      <c r="B33" s="1004"/>
      <c r="C33" s="2858"/>
      <c r="D33" s="1893" t="s">
        <v>1612</v>
      </c>
      <c r="E33" s="978"/>
      <c r="F33" s="1894" t="s">
        <v>1613</v>
      </c>
      <c r="G33" s="978"/>
    </row>
    <row r="34" spans="1:7" ht="13.5" thickBot="1">
      <c r="A34" s="1008" t="s">
        <v>1614</v>
      </c>
      <c r="B34" s="978"/>
      <c r="C34" s="2859"/>
      <c r="D34" s="1893" t="s">
        <v>1615</v>
      </c>
      <c r="E34" s="978"/>
      <c r="F34" s="1895" t="s">
        <v>1616</v>
      </c>
      <c r="G34" s="1006"/>
    </row>
    <row r="35" spans="1:7">
      <c r="A35" s="1008" t="s">
        <v>1567</v>
      </c>
      <c r="B35" s="978"/>
      <c r="C35" s="2837" t="s">
        <v>1617</v>
      </c>
      <c r="D35" s="2838"/>
      <c r="E35" s="978"/>
      <c r="F35" s="1019" t="s">
        <v>1618</v>
      </c>
      <c r="G35" s="1004"/>
    </row>
    <row r="36" spans="1:7" ht="13.5" thickBot="1">
      <c r="A36" s="1008" t="s">
        <v>1619</v>
      </c>
      <c r="B36" s="978"/>
      <c r="C36" s="2839" t="s">
        <v>1620</v>
      </c>
      <c r="D36" s="2840"/>
      <c r="E36" s="1005"/>
      <c r="F36" s="1891" t="s">
        <v>1621</v>
      </c>
      <c r="G36" s="978"/>
    </row>
    <row r="37" spans="1:7" ht="13.5" thickBot="1">
      <c r="A37" s="1008" t="s">
        <v>1622</v>
      </c>
      <c r="B37" s="978"/>
      <c r="C37" s="2829" t="s">
        <v>1623</v>
      </c>
      <c r="D37" s="2069" t="s">
        <v>1607</v>
      </c>
      <c r="E37" s="1004"/>
      <c r="F37" s="1895" t="s">
        <v>1624</v>
      </c>
      <c r="G37" s="1005"/>
    </row>
    <row r="38" spans="1:7">
      <c r="A38" s="1008" t="s">
        <v>1625</v>
      </c>
      <c r="B38" s="978"/>
      <c r="C38" s="2830"/>
      <c r="D38" s="1893" t="s">
        <v>1614</v>
      </c>
      <c r="E38" s="978"/>
      <c r="F38" s="1011" t="s">
        <v>1626</v>
      </c>
      <c r="G38" s="1004"/>
    </row>
    <row r="39" spans="1:7">
      <c r="A39" s="1008" t="s">
        <v>1627</v>
      </c>
      <c r="B39" s="978"/>
      <c r="C39" s="2830" t="s">
        <v>1628</v>
      </c>
      <c r="D39" s="1893" t="s">
        <v>1567</v>
      </c>
      <c r="E39" s="978"/>
      <c r="F39" s="1894" t="s">
        <v>1629</v>
      </c>
      <c r="G39" s="978"/>
    </row>
    <row r="40" spans="1:7" ht="24.75" customHeight="1" thickBot="1">
      <c r="A40" s="1009" t="s">
        <v>1630</v>
      </c>
      <c r="B40" s="1005"/>
      <c r="C40" s="2831"/>
      <c r="D40" s="1896" t="s">
        <v>1571</v>
      </c>
      <c r="E40" s="1005"/>
      <c r="F40" s="1895" t="s">
        <v>1631</v>
      </c>
      <c r="G40" s="1005"/>
    </row>
    <row r="41" spans="1:7">
      <c r="A41" s="1010" t="s">
        <v>1632</v>
      </c>
      <c r="B41" s="1060"/>
      <c r="C41" s="2852" t="s">
        <v>1632</v>
      </c>
      <c r="D41" s="2853"/>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54" t="s">
        <v>1635</v>
      </c>
      <c r="D48" s="2855"/>
      <c r="E48" s="1055"/>
      <c r="F48" s="1895" t="s">
        <v>1636</v>
      </c>
      <c r="G48" s="1005"/>
    </row>
    <row r="49" spans="1:15">
      <c r="A49" s="1008" t="s">
        <v>1637</v>
      </c>
      <c r="B49" s="1054"/>
      <c r="C49" s="2829" t="s">
        <v>1638</v>
      </c>
      <c r="D49" s="2856"/>
      <c r="E49" s="1056"/>
      <c r="F49" s="1084"/>
      <c r="G49" s="1085"/>
    </row>
    <row r="50" spans="1:15" ht="13.5" thickBot="1">
      <c r="A50" s="1008" t="s">
        <v>1639</v>
      </c>
      <c r="B50" s="1054"/>
      <c r="C50" s="2831" t="s">
        <v>1640</v>
      </c>
      <c r="D50" s="2834"/>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0" t="s">
        <v>0</v>
      </c>
      <c r="B1" s="2860" t="s">
        <v>2</v>
      </c>
      <c r="C1" s="2860" t="s">
        <v>3</v>
      </c>
      <c r="D1" s="2861" t="s">
        <v>67</v>
      </c>
      <c r="E1" s="2861" t="s">
        <v>68</v>
      </c>
      <c r="F1" s="2861"/>
      <c r="G1" s="2861"/>
      <c r="H1" s="2861"/>
      <c r="I1" s="2861"/>
      <c r="J1" s="2861"/>
      <c r="K1" s="2861"/>
      <c r="L1" s="2861"/>
      <c r="M1" s="2861"/>
    </row>
    <row r="2" spans="1:13" ht="27" customHeight="1">
      <c r="A2" s="2860"/>
      <c r="B2" s="2860"/>
      <c r="C2" s="2860"/>
      <c r="D2" s="2861"/>
      <c r="E2" s="2861" t="s">
        <v>51</v>
      </c>
      <c r="F2" s="2861" t="s">
        <v>52</v>
      </c>
      <c r="G2" s="2861"/>
      <c r="H2" s="2861"/>
      <c r="I2" s="2861"/>
      <c r="J2" s="2861" t="s">
        <v>53</v>
      </c>
      <c r="K2" s="2861"/>
      <c r="L2" s="2861"/>
      <c r="M2" s="2861"/>
    </row>
    <row r="3" spans="1:13" ht="28.5">
      <c r="A3" s="2860"/>
      <c r="B3" s="2860"/>
      <c r="C3" s="2860"/>
      <c r="D3" s="2861"/>
      <c r="E3" s="28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1" t="s">
        <v>69</v>
      </c>
      <c r="B9" s="2861"/>
      <c r="C9" s="28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43339</v>
      </c>
      <c r="C2" s="1855"/>
      <c r="D2" s="2862"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2823</v>
      </c>
      <c r="C3" s="1855"/>
      <c r="D3" s="2863"/>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2824</v>
      </c>
      <c r="C4" s="1855"/>
      <c r="D4" s="2863"/>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66.209999999999994</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2825</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v>68942</v>
      </c>
      <c r="C12" s="1855"/>
      <c r="D12" s="2094" t="s">
        <v>1660</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70</v>
      </c>
      <c r="C13" s="2096"/>
      <c r="D13" s="2097" t="s">
        <v>1662</v>
      </c>
      <c r="E13" s="39"/>
      <c r="F13" s="1849" t="s">
        <v>1663</v>
      </c>
      <c r="G13" s="1855"/>
      <c r="H13" s="2864" t="s">
        <v>2827</v>
      </c>
      <c r="I13" s="2865"/>
      <c r="J13" s="2733"/>
      <c r="K13" s="2734"/>
      <c r="L13" s="2734"/>
      <c r="M13" s="2735"/>
      <c r="N13" s="273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1</v>
      </c>
      <c r="C14" s="1855"/>
      <c r="D14" s="2098" t="s">
        <v>1665</v>
      </c>
      <c r="E14" s="709">
        <v>200</v>
      </c>
      <c r="F14" s="1848"/>
      <c r="G14" s="1855"/>
      <c r="H14" s="2736" t="s">
        <v>2828</v>
      </c>
      <c r="I14" s="2737">
        <v>0.02</v>
      </c>
      <c r="J14" s="2733"/>
      <c r="K14" s="2738"/>
      <c r="L14" s="2738"/>
      <c r="M14" s="2735"/>
      <c r="N14" s="273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0.04</v>
      </c>
      <c r="C15" s="1855"/>
      <c r="D15" s="2094" t="s">
        <v>1667</v>
      </c>
      <c r="E15" s="38">
        <f>E14-E16</f>
        <v>200</v>
      </c>
      <c r="F15" s="1850"/>
      <c r="G15" s="1855"/>
      <c r="H15" s="2736" t="s">
        <v>2829</v>
      </c>
      <c r="I15" s="2739" t="s">
        <v>2844</v>
      </c>
      <c r="J15" s="2733"/>
      <c r="K15" s="2738"/>
      <c r="L15" s="2740"/>
      <c r="M15" s="2735"/>
      <c r="N15" s="273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4.4999999999999998E-2</v>
      </c>
      <c r="C16" s="1855"/>
      <c r="D16" s="2099" t="s">
        <v>1669</v>
      </c>
      <c r="E16" s="710"/>
      <c r="F16" s="1851"/>
      <c r="G16" s="1855"/>
      <c r="H16" s="2736" t="s">
        <v>2830</v>
      </c>
      <c r="I16" s="2739" t="s">
        <v>2831</v>
      </c>
      <c r="J16" s="2733"/>
      <c r="K16" s="2738"/>
      <c r="L16" s="2738"/>
      <c r="M16" s="2735"/>
      <c r="N16" s="273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v>2200</v>
      </c>
      <c r="F17" s="1237"/>
      <c r="G17" s="1855"/>
      <c r="H17" s="2736" t="s">
        <v>2832</v>
      </c>
      <c r="I17" s="2741">
        <f>ROUND(1-(1-I14)*I15/I16,2)</f>
        <v>0.63</v>
      </c>
      <c r="J17" s="2733"/>
      <c r="K17" s="2738"/>
      <c r="L17" s="2738"/>
      <c r="M17" s="2735"/>
      <c r="N17" s="273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145662</v>
      </c>
      <c r="F18" s="1320">
        <f>ROUND(E5*E17*IF(B25=0,1,E20),0)</f>
        <v>0</v>
      </c>
      <c r="G18" s="1855"/>
      <c r="H18" s="2742" t="s">
        <v>2833</v>
      </c>
      <c r="I18" s="2743">
        <v>0.5</v>
      </c>
      <c r="J18" s="2733"/>
      <c r="K18" s="2738"/>
      <c r="L18" s="2738"/>
      <c r="M18" s="2735"/>
      <c r="N18" s="273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66" t="s">
        <v>2834</v>
      </c>
      <c r="I19" s="2867"/>
      <c r="J19" s="2867"/>
      <c r="K19" s="2867"/>
      <c r="L19" s="2868"/>
      <c r="M19" s="2735"/>
      <c r="N19" s="273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0.67</v>
      </c>
      <c r="F20" s="1237"/>
      <c r="G20" s="1855"/>
      <c r="H20" s="2744" t="s">
        <v>2835</v>
      </c>
      <c r="I20" s="2745" t="s">
        <v>2836</v>
      </c>
      <c r="J20" s="2745" t="s">
        <v>2837</v>
      </c>
      <c r="K20" s="2745" t="s">
        <v>2838</v>
      </c>
      <c r="L20" s="2745" t="s">
        <v>2839</v>
      </c>
      <c r="M20" s="2735"/>
      <c r="N20" s="273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2744" t="s">
        <v>2840</v>
      </c>
      <c r="I21" s="2745">
        <v>100</v>
      </c>
      <c r="J21" s="2746" t="s">
        <v>2841</v>
      </c>
      <c r="K21" s="2745">
        <v>70</v>
      </c>
      <c r="L21" s="2747">
        <v>0.3</v>
      </c>
      <c r="M21" s="2735"/>
      <c r="N21" s="273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0.04</v>
      </c>
      <c r="F22" s="1852" t="s">
        <v>1679</v>
      </c>
      <c r="G22" s="1855"/>
      <c r="H22" s="2744" t="s">
        <v>2842</v>
      </c>
      <c r="I22" s="2745">
        <v>100</v>
      </c>
      <c r="J22" s="2746" t="s">
        <v>2841</v>
      </c>
      <c r="K22" s="2745">
        <v>70</v>
      </c>
      <c r="L22" s="2747">
        <v>0.5</v>
      </c>
      <c r="M22" s="2735"/>
      <c r="N22" s="2748">
        <f>ROUND(I17*I18+K24*I24,2)</f>
        <v>0.67</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2744" t="s">
        <v>2843</v>
      </c>
      <c r="I23" s="2745">
        <v>100</v>
      </c>
      <c r="J23" s="2746" t="s">
        <v>2841</v>
      </c>
      <c r="K23" s="2745">
        <v>70</v>
      </c>
      <c r="L23" s="2747">
        <f>1-L21-L22</f>
        <v>0.19999999999999996</v>
      </c>
      <c r="M23" s="2735"/>
      <c r="N23" s="273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2749" t="s">
        <v>2833</v>
      </c>
      <c r="I24" s="2750">
        <f>1-I18</f>
        <v>0.5</v>
      </c>
      <c r="J24" s="2745" t="s">
        <v>2832</v>
      </c>
      <c r="K24" s="2751">
        <f>ROUND((K21*L21+K22*L22+K23*L23)/100,2)</f>
        <v>0.7</v>
      </c>
      <c r="L24" s="2752"/>
      <c r="M24" s="2735"/>
      <c r="N24" s="273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1999</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2826</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8500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0.04</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70</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2"/>
    <col min="30" max="16384" width="9" style="2143"/>
  </cols>
  <sheetData>
    <row r="1" spans="1:29" s="2135" customFormat="1" ht="19.5" thickBot="1">
      <c r="A1" s="2869" t="s">
        <v>1736</v>
      </c>
      <c r="B1" s="2870"/>
      <c r="C1" s="2870"/>
      <c r="D1" s="2870"/>
      <c r="E1" s="2870"/>
      <c r="F1" s="2870"/>
      <c r="G1" s="2870"/>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67.5">
      <c r="A3" s="395" t="s">
        <v>1739</v>
      </c>
      <c r="B3" s="2144" t="s">
        <v>1740</v>
      </c>
      <c r="C3" s="2753" t="s">
        <v>2846</v>
      </c>
      <c r="D3" s="2145"/>
      <c r="E3" s="411" t="s">
        <v>1739</v>
      </c>
      <c r="F3" s="2146" t="s">
        <v>1741</v>
      </c>
      <c r="G3" s="2147" t="s">
        <v>1742</v>
      </c>
      <c r="H3" s="2142"/>
      <c r="I3" s="2142"/>
      <c r="J3" s="2142"/>
      <c r="K3" s="2142"/>
      <c r="L3" s="2142"/>
      <c r="M3" s="2142"/>
      <c r="N3" s="2142"/>
      <c r="O3" s="2142"/>
      <c r="P3" s="2142"/>
      <c r="Q3" s="2142"/>
      <c r="R3" s="2142"/>
    </row>
    <row r="4" spans="1:29" ht="41.25" hidden="1">
      <c r="A4" s="411"/>
      <c r="B4" s="1887" t="s">
        <v>1743</v>
      </c>
      <c r="C4" s="2148" t="s">
        <v>1744</v>
      </c>
      <c r="D4" s="2145"/>
      <c r="E4" s="2149"/>
      <c r="F4" s="2150" t="s">
        <v>1745</v>
      </c>
      <c r="G4" s="2151" t="s">
        <v>1746</v>
      </c>
      <c r="H4" s="2142"/>
      <c r="I4" s="2142"/>
      <c r="J4" s="2142"/>
      <c r="K4" s="2142"/>
      <c r="L4" s="2142"/>
      <c r="M4" s="2142"/>
      <c r="N4" s="2142"/>
      <c r="O4" s="2142"/>
      <c r="P4" s="2142"/>
      <c r="Q4" s="2142"/>
      <c r="R4" s="2142"/>
    </row>
    <row r="5" spans="1:29" ht="41.25" hidden="1">
      <c r="A5" s="411"/>
      <c r="B5" s="1887" t="s">
        <v>1747</v>
      </c>
      <c r="C5" s="2148" t="s">
        <v>1748</v>
      </c>
      <c r="D5" s="2145"/>
      <c r="E5" s="2149"/>
      <c r="F5" s="1887" t="s">
        <v>1749</v>
      </c>
      <c r="G5" s="2151" t="s">
        <v>1750</v>
      </c>
      <c r="H5" s="2142"/>
      <c r="I5" s="2142"/>
      <c r="J5" s="2142"/>
      <c r="K5" s="2142"/>
      <c r="L5" s="2142"/>
      <c r="M5" s="2142"/>
      <c r="N5" s="2142"/>
      <c r="O5" s="2142"/>
      <c r="P5" s="2142"/>
      <c r="Q5" s="2142"/>
      <c r="R5" s="2142"/>
    </row>
    <row r="6" spans="1:29" ht="67.5">
      <c r="A6" s="411"/>
      <c r="B6" s="1887" t="s">
        <v>1751</v>
      </c>
      <c r="C6" s="2754" t="s">
        <v>2850</v>
      </c>
      <c r="D6" s="2145"/>
      <c r="E6" s="2149"/>
      <c r="F6" s="1887" t="s">
        <v>1752</v>
      </c>
      <c r="G6" s="2151" t="s">
        <v>1753</v>
      </c>
      <c r="H6" s="2142"/>
      <c r="I6" s="2142"/>
      <c r="J6" s="2142"/>
      <c r="K6" s="2142"/>
      <c r="L6" s="2142"/>
      <c r="M6" s="2142"/>
      <c r="N6" s="2142"/>
      <c r="O6" s="2142"/>
      <c r="P6" s="2142"/>
      <c r="Q6" s="2142"/>
      <c r="R6" s="2142"/>
    </row>
    <row r="7" spans="1:29" ht="41.25" thickBot="1">
      <c r="A7" s="411"/>
      <c r="B7" s="1887" t="s">
        <v>1749</v>
      </c>
      <c r="C7" s="2754" t="s">
        <v>2848</v>
      </c>
      <c r="D7" s="2152"/>
      <c r="E7" s="2153"/>
      <c r="F7" s="2154" t="s">
        <v>1754</v>
      </c>
      <c r="G7" s="2155" t="s">
        <v>1755</v>
      </c>
      <c r="H7" s="2142"/>
      <c r="I7" s="2142"/>
      <c r="J7" s="2142"/>
      <c r="K7" s="2142"/>
      <c r="L7" s="2142"/>
      <c r="M7" s="2142"/>
      <c r="N7" s="2142"/>
      <c r="O7" s="2142"/>
      <c r="P7" s="2142"/>
      <c r="Q7" s="2142"/>
      <c r="R7" s="2142"/>
    </row>
    <row r="8" spans="1:29" ht="15">
      <c r="A8" s="411"/>
      <c r="B8" s="1887" t="s">
        <v>1752</v>
      </c>
      <c r="C8" s="2754" t="s">
        <v>2907</v>
      </c>
      <c r="D8" s="2152"/>
      <c r="E8" s="2152"/>
      <c r="F8" s="1246"/>
      <c r="G8" s="1246"/>
      <c r="H8" s="2142"/>
      <c r="I8" s="2142"/>
      <c r="J8" s="2142"/>
      <c r="K8" s="2142"/>
      <c r="L8" s="2142"/>
      <c r="M8" s="2142"/>
      <c r="N8" s="2142"/>
      <c r="O8" s="2142"/>
      <c r="P8" s="2142"/>
      <c r="Q8" s="2142"/>
      <c r="R8" s="2142"/>
    </row>
    <row r="9" spans="1:29" ht="94.5">
      <c r="A9" s="411"/>
      <c r="B9" s="1887" t="s">
        <v>1756</v>
      </c>
      <c r="C9" s="2755" t="s">
        <v>2904</v>
      </c>
      <c r="D9" s="2145"/>
      <c r="E9" s="2152"/>
      <c r="F9" s="1246"/>
      <c r="G9" s="1246"/>
      <c r="H9" s="2142"/>
      <c r="I9" s="2142"/>
      <c r="J9" s="2142"/>
      <c r="K9" s="2142"/>
      <c r="L9" s="2142"/>
      <c r="M9" s="2142"/>
      <c r="N9" s="2142"/>
      <c r="O9" s="2142"/>
      <c r="P9" s="2142"/>
      <c r="Q9" s="2142"/>
      <c r="R9" s="2142"/>
    </row>
    <row r="10" spans="1:29" s="35" customFormat="1" ht="15.75" thickBot="1">
      <c r="A10" s="2156"/>
      <c r="B10" s="2157" t="s">
        <v>1757</v>
      </c>
      <c r="C10" s="2158"/>
      <c r="D10" s="2145"/>
      <c r="E10" s="2145"/>
      <c r="F10" s="1246"/>
      <c r="G10" s="1246"/>
      <c r="H10" s="2159"/>
      <c r="I10" s="2160"/>
      <c r="J10" s="2161"/>
      <c r="K10" s="2159"/>
      <c r="L10" s="2160"/>
      <c r="M10" s="2161"/>
      <c r="N10" s="2159"/>
      <c r="O10" s="2160"/>
      <c r="P10" s="2161"/>
      <c r="Q10" s="2159"/>
      <c r="R10" s="2160"/>
      <c r="S10" s="2142"/>
      <c r="T10" s="2142"/>
      <c r="U10" s="2142"/>
      <c r="V10" s="2142"/>
      <c r="W10" s="2142"/>
      <c r="X10" s="2142"/>
      <c r="Y10" s="2142"/>
      <c r="Z10" s="2142"/>
      <c r="AA10" s="2142"/>
      <c r="AB10" s="2142"/>
      <c r="AC10" s="2142"/>
    </row>
    <row r="11" spans="1:29" s="35" customFormat="1" ht="15">
      <c r="A11" s="2162"/>
      <c r="B11" s="2152"/>
      <c r="C11" s="2145"/>
      <c r="D11" s="2145"/>
      <c r="E11" s="2145"/>
      <c r="F11" s="2152"/>
      <c r="G11" s="1266"/>
      <c r="H11" s="2159"/>
      <c r="I11" s="2160"/>
      <c r="J11" s="2161"/>
      <c r="K11" s="2159"/>
      <c r="L11" s="2160"/>
      <c r="M11" s="2161"/>
      <c r="N11" s="2159"/>
      <c r="O11" s="2160"/>
      <c r="P11" s="2161"/>
      <c r="Q11" s="2159"/>
      <c r="R11" s="2160"/>
      <c r="S11" s="2142"/>
      <c r="T11" s="2142"/>
      <c r="U11" s="2142"/>
      <c r="V11" s="2142"/>
      <c r="W11" s="2142"/>
      <c r="X11" s="2142"/>
      <c r="Y11" s="2142"/>
      <c r="Z11" s="2142"/>
      <c r="AA11" s="2142"/>
      <c r="AB11" s="2142"/>
      <c r="AC11" s="2142"/>
    </row>
    <row r="12" spans="1:29" s="2135" customFormat="1" ht="18">
      <c r="A12" s="2162"/>
      <c r="B12" s="2152"/>
      <c r="C12" s="2145"/>
      <c r="D12" s="2163"/>
      <c r="E12" s="2145"/>
      <c r="F12" s="2152"/>
      <c r="G12" s="1266"/>
      <c r="H12" s="2164"/>
      <c r="I12" s="2165"/>
      <c r="J12" s="2164"/>
      <c r="K12" s="2164"/>
      <c r="L12" s="2166"/>
      <c r="M12" s="2164"/>
      <c r="N12" s="2167"/>
      <c r="O12" s="2168"/>
      <c r="P12" s="2167"/>
      <c r="Q12" s="2167"/>
      <c r="R12" s="2133"/>
      <c r="S12" s="2134"/>
      <c r="T12" s="2134"/>
      <c r="U12" s="2134"/>
      <c r="V12" s="2134"/>
      <c r="W12" s="2134"/>
      <c r="X12" s="2134"/>
      <c r="Y12" s="2134"/>
      <c r="Z12" s="2134"/>
      <c r="AA12" s="2134"/>
      <c r="AB12" s="2134"/>
      <c r="AC12" s="2134"/>
    </row>
    <row r="13" spans="1:29" ht="19.5" thickBot="1">
      <c r="A13" s="2169" t="s">
        <v>1758</v>
      </c>
      <c r="B13" s="2163"/>
      <c r="C13" s="2163"/>
      <c r="D13" s="2139"/>
      <c r="E13" s="2163"/>
      <c r="F13" s="2163"/>
      <c r="G13" s="2163"/>
    </row>
    <row r="14" spans="1:29" ht="15.75" thickBot="1">
      <c r="A14" s="2173"/>
      <c r="B14" s="2174"/>
      <c r="C14" s="2175" t="s">
        <v>1759</v>
      </c>
      <c r="D14" s="2145"/>
      <c r="E14" s="2176"/>
      <c r="F14" s="2176"/>
      <c r="G14" s="2138" t="s">
        <v>1760</v>
      </c>
    </row>
    <row r="15" spans="1:29" ht="71.25">
      <c r="A15" s="25" t="s">
        <v>1761</v>
      </c>
      <c r="B15" s="2177" t="s">
        <v>1740</v>
      </c>
      <c r="C15" s="2178" t="str">
        <f>C3</f>
        <v>周边有绿城百合、府西园小区、紫欣苑小区、燕化星城健德一里、燕化星城健德二里等居住社区，综合评价居住社区成熟度较好。</v>
      </c>
      <c r="D15" s="2145"/>
      <c r="E15" s="2179" t="s">
        <v>1762</v>
      </c>
      <c r="F15" s="2177" t="s">
        <v>1763</v>
      </c>
      <c r="G15" s="51" t="str">
        <f>G3</f>
        <v>估价对象位于XX开发区，园区建设成熟度XX，产业集聚程度XX</v>
      </c>
    </row>
    <row r="16" spans="1:29" ht="42.75">
      <c r="A16" s="629"/>
      <c r="B16" s="1493" t="s">
        <v>1743</v>
      </c>
      <c r="C16" s="2180" t="str">
        <f>C4</f>
        <v>估价对象位于XX商圈，周边商业氛围成熟，人流量大，商业繁华度好</v>
      </c>
      <c r="D16" s="2145"/>
      <c r="E16" s="2181"/>
      <c r="F16" s="2182" t="s">
        <v>1745</v>
      </c>
      <c r="G16" s="52" t="str">
        <f>G4</f>
        <v>估价对象周边道路状况、公共交通通达情况、停车便捷程度，综合评价交通便捷度较好</v>
      </c>
    </row>
    <row r="17" spans="1:18" ht="42.75">
      <c r="A17" s="629"/>
      <c r="B17" s="1493" t="s">
        <v>1747</v>
      </c>
      <c r="C17" s="2180" t="str">
        <f>C5</f>
        <v>估价对象位于XX商圈，周边办公楼项目较多，入驻率高，办公集聚程度较好</v>
      </c>
      <c r="D17" s="2152"/>
      <c r="E17" s="2181"/>
      <c r="F17" s="2182" t="s">
        <v>1764</v>
      </c>
      <c r="G17" s="2183"/>
    </row>
    <row r="18" spans="1:18" ht="71.25">
      <c r="A18" s="629"/>
      <c r="B18" s="2182" t="s">
        <v>1751</v>
      </c>
      <c r="C18" s="52" t="str">
        <f>C6</f>
        <v>估价对象紧邻城市次干道—太平街，有14路、40路、66路、70路等多条公交线路及地铁4号线（陶然亭站）通过，交通便捷度较好。</v>
      </c>
      <c r="D18" s="2152"/>
      <c r="E18" s="2181"/>
      <c r="F18" s="2182" t="s">
        <v>1754</v>
      </c>
      <c r="G18" s="52" t="str">
        <f>G7</f>
        <v>该园区内是否有污染型企业，绿化情况，卫生条件，整体环境状况判断</v>
      </c>
    </row>
    <row r="19" spans="1:18" ht="28.5">
      <c r="A19" s="629"/>
      <c r="B19" s="2182" t="s">
        <v>1765</v>
      </c>
      <c r="C19" s="2183"/>
      <c r="D19" s="2145"/>
      <c r="E19" s="2181"/>
      <c r="F19" s="1887" t="s">
        <v>1749</v>
      </c>
      <c r="G19" s="52" t="str">
        <f>G5</f>
        <v>估价对象所在区域公共配套设施齐备情况</v>
      </c>
    </row>
    <row r="20" spans="1:18" ht="99.75">
      <c r="A20" s="629"/>
      <c r="B20" s="2182" t="s">
        <v>1766</v>
      </c>
      <c r="C20" s="2180" t="str">
        <f>C9</f>
        <v>区域自然环境：陶然亭公园、天坛公园、永定门公园、护城河；人文环境：自然博物馆、北京古代建筑博物馆、中国盲文博物馆、北京先农坛体育场；综合评价环境状况好</v>
      </c>
      <c r="D20" s="2152"/>
      <c r="E20" s="2181"/>
      <c r="F20" s="1887" t="s">
        <v>1767</v>
      </c>
      <c r="G20" s="52" t="str">
        <f>G6</f>
        <v>估价对象所在区域基础设施水平</v>
      </c>
    </row>
    <row r="21" spans="1:18" ht="28.5">
      <c r="A21" s="629"/>
      <c r="B21" s="1887" t="s">
        <v>1749</v>
      </c>
      <c r="C21" s="52" t="str">
        <f>C7</f>
        <v>估价对象所在区域公共配套设施齐备情况好</v>
      </c>
      <c r="D21" s="2145"/>
      <c r="E21" s="2181"/>
      <c r="F21" s="2182" t="s">
        <v>1768</v>
      </c>
      <c r="G21" s="2184"/>
    </row>
    <row r="22" spans="1:18" ht="15">
      <c r="A22" s="629"/>
      <c r="B22" s="1887" t="s">
        <v>1752</v>
      </c>
      <c r="C22" s="52" t="str">
        <f>C8</f>
        <v>七通一平</v>
      </c>
      <c r="D22" s="2145"/>
      <c r="E22" s="2181"/>
      <c r="F22" s="2182" t="s">
        <v>1757</v>
      </c>
      <c r="G22" s="2185"/>
    </row>
    <row r="23" spans="1:18" s="2142" customFormat="1" ht="15.75" thickBot="1">
      <c r="A23" s="629"/>
      <c r="B23" s="2182" t="s">
        <v>1768</v>
      </c>
      <c r="C23" s="2184"/>
      <c r="D23" s="2170"/>
      <c r="E23" s="2186"/>
      <c r="F23" s="2187" t="s">
        <v>1769</v>
      </c>
      <c r="G23" s="2188"/>
      <c r="H23" s="2170"/>
      <c r="I23" s="2171"/>
      <c r="J23" s="2170"/>
      <c r="K23" s="2170"/>
      <c r="L23" s="2171"/>
      <c r="M23" s="2170"/>
      <c r="N23" s="2170"/>
      <c r="O23" s="2171"/>
      <c r="P23" s="2170"/>
      <c r="Q23" s="2170"/>
      <c r="R23" s="2172"/>
    </row>
    <row r="24" spans="1:18" s="2142" customFormat="1" ht="15.75" thickBot="1">
      <c r="A24" s="2189"/>
      <c r="B24" s="2187" t="s">
        <v>1770</v>
      </c>
      <c r="C24" s="53">
        <f>C10</f>
        <v>0</v>
      </c>
      <c r="D24" s="2170"/>
      <c r="E24" s="2190"/>
      <c r="F24" s="2190"/>
      <c r="G24" s="2191"/>
      <c r="H24" s="2170"/>
      <c r="I24" s="2171"/>
      <c r="J24" s="2170"/>
      <c r="K24" s="2170"/>
      <c r="L24" s="2171"/>
      <c r="M24" s="2170"/>
      <c r="N24" s="2170"/>
      <c r="O24" s="2171"/>
      <c r="P24" s="2170"/>
      <c r="Q24" s="2170"/>
      <c r="R24" s="2172"/>
    </row>
    <row r="25" spans="1:18" s="2142" customFormat="1">
      <c r="B25" s="2170"/>
      <c r="C25" s="2170"/>
      <c r="D25" s="2170"/>
      <c r="H25" s="2170"/>
      <c r="I25" s="2171"/>
      <c r="J25" s="2170"/>
      <c r="K25" s="2170"/>
      <c r="L25" s="2171"/>
      <c r="M25" s="2170"/>
      <c r="N25" s="2170"/>
      <c r="O25" s="2171"/>
      <c r="P25" s="2170"/>
      <c r="Q25" s="2170"/>
      <c r="R25" s="2172"/>
    </row>
    <row r="26" spans="1:18" s="2142" customFormat="1">
      <c r="B26" s="2170"/>
      <c r="C26" s="2170"/>
      <c r="D26" s="2170"/>
      <c r="H26" s="2170"/>
      <c r="I26" s="2171"/>
      <c r="J26" s="2170"/>
      <c r="K26" s="2170"/>
      <c r="L26" s="2171"/>
      <c r="M26" s="2170"/>
      <c r="N26" s="2170"/>
      <c r="O26" s="2171"/>
      <c r="P26" s="2170"/>
      <c r="Q26" s="2170"/>
      <c r="R26" s="2172"/>
    </row>
    <row r="27" spans="1:18" s="2142" customFormat="1">
      <c r="B27" s="2170"/>
      <c r="C27" s="2170"/>
      <c r="D27" s="2170"/>
      <c r="H27" s="2170"/>
      <c r="I27" s="2171"/>
      <c r="J27" s="2170"/>
      <c r="K27" s="2170"/>
      <c r="L27" s="2171"/>
      <c r="M27" s="2170"/>
      <c r="N27" s="2170"/>
      <c r="O27" s="2171"/>
      <c r="P27" s="2170"/>
      <c r="Q27" s="2170"/>
      <c r="R27" s="2172"/>
    </row>
    <row r="28" spans="1:18" s="2142" customFormat="1">
      <c r="B28" s="2170"/>
      <c r="C28" s="2170"/>
      <c r="D28" s="2170"/>
      <c r="H28" s="2170"/>
      <c r="I28" s="2171"/>
      <c r="J28" s="2170"/>
      <c r="K28" s="2170"/>
      <c r="L28" s="2171"/>
      <c r="M28" s="2170"/>
      <c r="N28" s="2170"/>
      <c r="O28" s="2171"/>
      <c r="P28" s="2170"/>
      <c r="Q28" s="2170"/>
      <c r="R28" s="2172"/>
    </row>
    <row r="29" spans="1:18" s="2142" customFormat="1">
      <c r="B29" s="2170"/>
      <c r="C29" s="2170"/>
      <c r="D29" s="2170"/>
      <c r="H29" s="2170"/>
      <c r="I29" s="2171"/>
      <c r="J29" s="2170"/>
      <c r="K29" s="2170"/>
      <c r="L29" s="2171"/>
      <c r="M29" s="2170"/>
      <c r="N29" s="2170"/>
      <c r="O29" s="2171"/>
      <c r="P29" s="2170"/>
      <c r="Q29" s="2170"/>
      <c r="R29" s="2172"/>
    </row>
    <row r="30" spans="1:18" s="2142" customFormat="1">
      <c r="B30" s="2170"/>
      <c r="C30" s="2170"/>
      <c r="D30" s="2170"/>
      <c r="H30" s="2170"/>
      <c r="I30" s="2171"/>
      <c r="J30" s="2170"/>
      <c r="K30" s="2170"/>
      <c r="L30" s="2171"/>
      <c r="M30" s="2170"/>
      <c r="N30" s="2170"/>
      <c r="O30" s="2171"/>
      <c r="P30" s="2170"/>
      <c r="Q30" s="2170"/>
      <c r="R30" s="2172"/>
    </row>
    <row r="31" spans="1:18" s="2142" customFormat="1">
      <c r="B31" s="2170"/>
      <c r="C31" s="2170"/>
      <c r="D31" s="2170"/>
      <c r="H31" s="2170"/>
      <c r="I31" s="2171"/>
      <c r="J31" s="2170"/>
      <c r="K31" s="2170"/>
      <c r="L31" s="2171"/>
      <c r="M31" s="2170"/>
      <c r="N31" s="2170"/>
      <c r="O31" s="2171"/>
      <c r="P31" s="2170"/>
      <c r="Q31" s="2170"/>
      <c r="R31" s="2172"/>
    </row>
    <row r="32" spans="1:18" s="2142" customFormat="1">
      <c r="B32" s="2170"/>
      <c r="C32" s="2170"/>
      <c r="D32" s="2170"/>
      <c r="H32" s="2170"/>
      <c r="I32" s="2171"/>
      <c r="J32" s="2170"/>
      <c r="K32" s="2170"/>
      <c r="L32" s="2171"/>
      <c r="M32" s="2170"/>
      <c r="N32" s="2170"/>
      <c r="O32" s="2171"/>
      <c r="P32" s="2170"/>
      <c r="Q32" s="2170"/>
      <c r="R32" s="2172"/>
    </row>
    <row r="33" spans="2:18" s="2142" customFormat="1">
      <c r="B33" s="2170"/>
      <c r="C33" s="2170"/>
      <c r="D33" s="2170"/>
      <c r="H33" s="2170"/>
      <c r="I33" s="2171"/>
      <c r="J33" s="2170"/>
      <c r="K33" s="2170"/>
      <c r="L33" s="2171"/>
      <c r="M33" s="2170"/>
      <c r="N33" s="2170"/>
      <c r="O33" s="2171"/>
      <c r="P33" s="2170"/>
      <c r="Q33" s="2170"/>
      <c r="R33" s="2172"/>
    </row>
    <row r="34" spans="2:18" s="2142" customFormat="1">
      <c r="B34" s="2170"/>
      <c r="C34" s="2170"/>
      <c r="D34" s="2170"/>
      <c r="H34" s="2170"/>
      <c r="I34" s="2171"/>
      <c r="J34" s="2170"/>
      <c r="K34" s="2170"/>
      <c r="L34" s="2171"/>
      <c r="M34" s="2170"/>
      <c r="N34" s="2170"/>
      <c r="O34" s="2171"/>
      <c r="P34" s="2170"/>
      <c r="Q34" s="2170"/>
      <c r="R34" s="2172"/>
    </row>
    <row r="35" spans="2:18" s="2142" customFormat="1">
      <c r="B35" s="2170"/>
      <c r="C35" s="2170"/>
      <c r="D35" s="2170"/>
      <c r="H35" s="2170"/>
      <c r="I35" s="2171"/>
      <c r="J35" s="2170"/>
      <c r="K35" s="2170"/>
      <c r="L35" s="2171"/>
      <c r="M35" s="2170"/>
      <c r="N35" s="2170"/>
      <c r="O35" s="2171"/>
      <c r="P35" s="2170"/>
      <c r="Q35" s="2170"/>
      <c r="R35" s="2172"/>
    </row>
    <row r="36" spans="2:18" s="2142" customFormat="1">
      <c r="B36" s="2170"/>
      <c r="C36" s="2170"/>
      <c r="D36" s="2170"/>
      <c r="H36" s="2170"/>
      <c r="I36" s="2171"/>
      <c r="J36" s="2170"/>
      <c r="K36" s="2170"/>
      <c r="L36" s="2171"/>
      <c r="M36" s="2170"/>
      <c r="N36" s="2170"/>
      <c r="O36" s="2171"/>
      <c r="P36" s="2170"/>
      <c r="Q36" s="2170"/>
      <c r="R36" s="2172"/>
    </row>
    <row r="37" spans="2:18" s="2142" customFormat="1">
      <c r="B37" s="2170"/>
      <c r="C37" s="2170"/>
      <c r="D37" s="2170"/>
      <c r="H37" s="2170"/>
      <c r="I37" s="2171"/>
      <c r="J37" s="2170"/>
      <c r="K37" s="2170"/>
      <c r="L37" s="2171"/>
      <c r="M37" s="2170"/>
      <c r="N37" s="2170"/>
      <c r="O37" s="2171"/>
      <c r="P37" s="2170"/>
      <c r="Q37" s="2170"/>
      <c r="R37" s="2172"/>
    </row>
    <row r="38" spans="2:18" s="2142" customFormat="1">
      <c r="B38" s="2170"/>
      <c r="C38" s="2170"/>
      <c r="D38" s="2170"/>
      <c r="E38" s="2170"/>
      <c r="F38" s="2170"/>
      <c r="G38" s="2171"/>
      <c r="H38" s="2170"/>
      <c r="I38" s="2171"/>
      <c r="J38" s="2170"/>
      <c r="K38" s="2170"/>
      <c r="L38" s="2171"/>
      <c r="M38" s="2170"/>
      <c r="N38" s="2170"/>
      <c r="O38" s="2171"/>
      <c r="P38" s="2170"/>
      <c r="Q38" s="2170"/>
      <c r="R38" s="2172"/>
    </row>
    <row r="39" spans="2:18" s="2142" customFormat="1">
      <c r="B39" s="2170"/>
      <c r="C39" s="2170"/>
      <c r="D39" s="2170"/>
      <c r="E39" s="2170"/>
      <c r="F39" s="2170"/>
      <c r="G39" s="2171"/>
      <c r="H39" s="2170"/>
      <c r="I39" s="2171"/>
      <c r="J39" s="2170"/>
      <c r="K39" s="2170"/>
      <c r="L39" s="2171"/>
      <c r="M39" s="2170"/>
      <c r="N39" s="2170"/>
      <c r="O39" s="2171"/>
      <c r="P39" s="2170"/>
      <c r="Q39" s="2170"/>
      <c r="R39" s="2172"/>
    </row>
    <row r="40" spans="2:18" s="2142" customFormat="1">
      <c r="B40" s="2170"/>
      <c r="C40" s="2170"/>
      <c r="D40" s="2170"/>
      <c r="E40" s="2170"/>
      <c r="F40" s="2170"/>
      <c r="G40" s="2171"/>
      <c r="H40" s="2170"/>
      <c r="I40" s="2171"/>
      <c r="J40" s="2170"/>
      <c r="K40" s="2170"/>
      <c r="L40" s="2171"/>
      <c r="M40" s="2170"/>
      <c r="N40" s="2170"/>
      <c r="O40" s="2171"/>
      <c r="P40" s="2170"/>
      <c r="Q40" s="2170"/>
      <c r="R40" s="2172"/>
    </row>
    <row r="41" spans="2:18" s="2142" customFormat="1">
      <c r="B41" s="2170"/>
      <c r="C41" s="2170"/>
      <c r="D41" s="2170"/>
      <c r="E41" s="2170"/>
      <c r="F41" s="2170"/>
      <c r="G41" s="2171"/>
      <c r="H41" s="2170"/>
      <c r="I41" s="2171"/>
      <c r="J41" s="2170"/>
      <c r="K41" s="2170"/>
      <c r="L41" s="2171"/>
      <c r="M41" s="2170"/>
      <c r="N41" s="2170"/>
      <c r="O41" s="2171"/>
      <c r="P41" s="2170"/>
      <c r="Q41" s="2170"/>
      <c r="R41" s="2172"/>
    </row>
    <row r="42" spans="2:18" s="2142" customFormat="1">
      <c r="B42" s="2170"/>
      <c r="C42" s="2170"/>
      <c r="D42" s="2170"/>
      <c r="E42" s="2170"/>
      <c r="F42" s="2170"/>
      <c r="G42" s="2171"/>
      <c r="H42" s="2170"/>
      <c r="I42" s="2171"/>
      <c r="J42" s="2170"/>
      <c r="K42" s="2170"/>
      <c r="L42" s="2171"/>
      <c r="M42" s="2170"/>
      <c r="N42" s="2170"/>
      <c r="O42" s="2171"/>
      <c r="P42" s="2170"/>
      <c r="Q42" s="2170"/>
      <c r="R42" s="2172"/>
    </row>
    <row r="43" spans="2:18" s="2142" customFormat="1">
      <c r="B43" s="2170"/>
      <c r="C43" s="2170"/>
      <c r="D43" s="2170"/>
      <c r="E43" s="2170"/>
      <c r="F43" s="2170"/>
      <c r="G43" s="2171"/>
      <c r="H43" s="2170"/>
      <c r="I43" s="2171"/>
      <c r="J43" s="2170"/>
      <c r="K43" s="2170"/>
      <c r="L43" s="2171"/>
      <c r="M43" s="2170"/>
      <c r="N43" s="2170"/>
      <c r="O43" s="2171"/>
      <c r="P43" s="2170"/>
      <c r="Q43" s="2170"/>
      <c r="R43" s="2172"/>
    </row>
    <row r="44" spans="2:18" s="2142" customFormat="1">
      <c r="B44" s="2170"/>
      <c r="C44" s="2170"/>
      <c r="D44" s="2170"/>
      <c r="E44" s="2170"/>
      <c r="F44" s="2170"/>
      <c r="G44" s="2171"/>
      <c r="H44" s="2170"/>
      <c r="I44" s="2171"/>
      <c r="J44" s="2170"/>
      <c r="K44" s="2170"/>
      <c r="L44" s="2171"/>
      <c r="M44" s="2170"/>
      <c r="N44" s="2170"/>
      <c r="O44" s="2171"/>
      <c r="P44" s="2170"/>
      <c r="Q44" s="2170"/>
      <c r="R44" s="2172"/>
    </row>
    <row r="45" spans="2:18" s="2142" customFormat="1">
      <c r="B45" s="2170"/>
      <c r="C45" s="2170"/>
      <c r="D45" s="2170"/>
      <c r="E45" s="2170"/>
      <c r="F45" s="2170"/>
      <c r="G45" s="2171"/>
      <c r="H45" s="2170"/>
      <c r="I45" s="2171"/>
      <c r="J45" s="2170"/>
      <c r="K45" s="2170"/>
      <c r="L45" s="2171"/>
      <c r="M45" s="2170"/>
      <c r="N45" s="2170"/>
      <c r="O45" s="2171"/>
      <c r="P45" s="2170"/>
      <c r="Q45" s="2170"/>
      <c r="R45" s="2172"/>
    </row>
    <row r="46" spans="2:18" s="2142" customFormat="1">
      <c r="B46" s="2170"/>
      <c r="C46" s="2170"/>
      <c r="D46" s="2170"/>
      <c r="E46" s="2170"/>
      <c r="F46" s="2170"/>
      <c r="G46" s="2171"/>
      <c r="H46" s="2170"/>
      <c r="I46" s="2171"/>
      <c r="J46" s="2170"/>
      <c r="K46" s="2170"/>
      <c r="L46" s="2171"/>
      <c r="M46" s="2170"/>
      <c r="N46" s="2170"/>
      <c r="O46" s="2171"/>
      <c r="P46" s="2170"/>
      <c r="Q46" s="2170"/>
      <c r="R46" s="2172"/>
    </row>
    <row r="47" spans="2:18" s="2142" customFormat="1">
      <c r="B47" s="2170"/>
      <c r="C47" s="2170"/>
      <c r="D47" s="2170"/>
      <c r="E47" s="2170"/>
      <c r="F47" s="2170"/>
      <c r="G47" s="2171"/>
      <c r="H47" s="2170"/>
      <c r="I47" s="2171"/>
      <c r="J47" s="2170"/>
      <c r="K47" s="2170"/>
      <c r="L47" s="2171"/>
      <c r="M47" s="2170"/>
      <c r="N47" s="2170"/>
      <c r="O47" s="2171"/>
      <c r="P47" s="2170"/>
      <c r="Q47" s="2170"/>
      <c r="R47" s="2172"/>
    </row>
    <row r="48" spans="2:18" s="2142" customFormat="1">
      <c r="B48" s="2170"/>
      <c r="C48" s="2170"/>
      <c r="D48" s="2170"/>
      <c r="E48" s="2170"/>
      <c r="F48" s="2170"/>
      <c r="G48" s="2171"/>
      <c r="H48" s="2170"/>
      <c r="I48" s="2171"/>
      <c r="J48" s="2170"/>
      <c r="K48" s="2170"/>
      <c r="L48" s="2171"/>
      <c r="M48" s="2170"/>
      <c r="N48" s="2170"/>
      <c r="O48" s="2171"/>
      <c r="P48" s="2170"/>
      <c r="Q48" s="2170"/>
      <c r="R48" s="2172"/>
    </row>
    <row r="49" spans="2:18" s="2142" customFormat="1">
      <c r="B49" s="2170"/>
      <c r="C49" s="2170"/>
      <c r="D49" s="2170"/>
      <c r="E49" s="2170"/>
      <c r="F49" s="2170"/>
      <c r="G49" s="2171"/>
      <c r="H49" s="2170"/>
      <c r="I49" s="2171"/>
      <c r="J49" s="2170"/>
      <c r="K49" s="2170"/>
      <c r="L49" s="2171"/>
      <c r="M49" s="2170"/>
      <c r="N49" s="2170"/>
      <c r="O49" s="2171"/>
      <c r="P49" s="2170"/>
      <c r="Q49" s="2170"/>
      <c r="R49" s="2172"/>
    </row>
    <row r="50" spans="2:18" s="2142" customFormat="1">
      <c r="B50" s="2170"/>
      <c r="C50" s="2170"/>
      <c r="D50" s="2170"/>
      <c r="E50" s="2170"/>
      <c r="F50" s="2170"/>
      <c r="G50" s="2171"/>
      <c r="H50" s="2170"/>
      <c r="I50" s="2171"/>
      <c r="J50" s="2170"/>
      <c r="K50" s="2170"/>
      <c r="L50" s="2171"/>
      <c r="M50" s="2170"/>
      <c r="N50" s="2170"/>
      <c r="O50" s="2171"/>
      <c r="P50" s="2170"/>
      <c r="Q50" s="2170"/>
      <c r="R50" s="2172"/>
    </row>
    <row r="51" spans="2:18" s="2142" customFormat="1">
      <c r="B51" s="2170"/>
      <c r="C51" s="2170"/>
      <c r="D51" s="2170"/>
      <c r="E51" s="2170"/>
      <c r="F51" s="2170"/>
      <c r="G51" s="2171"/>
      <c r="H51" s="2170"/>
      <c r="I51" s="2171"/>
      <c r="J51" s="2170"/>
      <c r="K51" s="2170"/>
      <c r="L51" s="2171"/>
      <c r="M51" s="2170"/>
      <c r="N51" s="2170"/>
      <c r="O51" s="2171"/>
      <c r="P51" s="2170"/>
      <c r="Q51" s="2170"/>
      <c r="R51" s="2172"/>
    </row>
    <row r="52" spans="2:18" s="2142" customFormat="1">
      <c r="B52" s="2170"/>
      <c r="C52" s="2170"/>
      <c r="D52" s="2170"/>
      <c r="E52" s="2170"/>
      <c r="F52" s="2170"/>
      <c r="G52" s="2171"/>
      <c r="H52" s="2170"/>
      <c r="I52" s="2171"/>
      <c r="J52" s="2170"/>
      <c r="K52" s="2170"/>
      <c r="L52" s="2171"/>
      <c r="M52" s="2170"/>
      <c r="N52" s="2170"/>
      <c r="O52" s="2171"/>
      <c r="P52" s="2170"/>
      <c r="Q52" s="2170"/>
      <c r="R52" s="2172"/>
    </row>
    <row r="53" spans="2:18" s="2142" customFormat="1">
      <c r="B53" s="2170"/>
      <c r="C53" s="2170"/>
      <c r="D53" s="2170"/>
      <c r="E53" s="2170"/>
      <c r="F53" s="2170"/>
      <c r="G53" s="2171"/>
      <c r="H53" s="2170"/>
      <c r="I53" s="2171"/>
      <c r="J53" s="2170"/>
      <c r="K53" s="2170"/>
      <c r="L53" s="2171"/>
      <c r="M53" s="2170"/>
      <c r="N53" s="2170"/>
      <c r="O53" s="2171"/>
      <c r="P53" s="2170"/>
      <c r="Q53" s="2170"/>
      <c r="R53" s="2172"/>
    </row>
    <row r="54" spans="2:18" s="2142" customFormat="1">
      <c r="B54" s="2170"/>
      <c r="C54" s="2170"/>
      <c r="D54" s="2170"/>
      <c r="E54" s="2170"/>
      <c r="F54" s="2170"/>
      <c r="G54" s="2171"/>
      <c r="H54" s="2170"/>
      <c r="I54" s="2171"/>
      <c r="J54" s="2170"/>
      <c r="K54" s="2170"/>
      <c r="L54" s="2171"/>
      <c r="M54" s="2170"/>
      <c r="N54" s="2170"/>
      <c r="O54" s="2171"/>
      <c r="P54" s="2170"/>
      <c r="Q54" s="2170"/>
      <c r="R54" s="2172"/>
    </row>
    <row r="55" spans="2:18" s="2142" customFormat="1">
      <c r="B55" s="2170"/>
      <c r="C55" s="2170"/>
      <c r="D55" s="2170"/>
      <c r="E55" s="2170"/>
      <c r="F55" s="2170"/>
      <c r="G55" s="2171"/>
      <c r="H55" s="2170"/>
      <c r="I55" s="2171"/>
      <c r="J55" s="2170"/>
      <c r="K55" s="2170"/>
      <c r="L55" s="2171"/>
      <c r="M55" s="2170"/>
      <c r="N55" s="2170"/>
      <c r="O55" s="2171"/>
      <c r="P55" s="2170"/>
      <c r="Q55" s="2170"/>
      <c r="R55" s="2172"/>
    </row>
    <row r="56" spans="2:18" s="2142" customFormat="1">
      <c r="B56" s="2170"/>
      <c r="C56" s="2170"/>
      <c r="D56" s="2170"/>
      <c r="E56" s="2170"/>
      <c r="F56" s="2170"/>
      <c r="G56" s="2171"/>
      <c r="H56" s="2170"/>
      <c r="I56" s="2171"/>
      <c r="J56" s="2170"/>
      <c r="K56" s="2170"/>
      <c r="L56" s="2171"/>
      <c r="M56" s="2170"/>
      <c r="N56" s="2170"/>
      <c r="O56" s="2171"/>
      <c r="P56" s="2170"/>
      <c r="Q56" s="2170"/>
      <c r="R56" s="2172"/>
    </row>
    <row r="57" spans="2:18" s="2142" customFormat="1">
      <c r="B57" s="2170"/>
      <c r="C57" s="2170"/>
      <c r="D57" s="2170"/>
      <c r="E57" s="2170"/>
      <c r="F57" s="2170"/>
      <c r="G57" s="2171"/>
      <c r="H57" s="2170"/>
      <c r="I57" s="2171"/>
      <c r="J57" s="2170"/>
      <c r="K57" s="2170"/>
      <c r="L57" s="2171"/>
      <c r="M57" s="2170"/>
      <c r="N57" s="2170"/>
      <c r="O57" s="2171"/>
      <c r="P57" s="2170"/>
      <c r="Q57" s="2170"/>
      <c r="R57" s="2172"/>
    </row>
    <row r="58" spans="2:18" s="2142" customFormat="1">
      <c r="B58" s="2170"/>
      <c r="C58" s="2170"/>
      <c r="D58" s="2170"/>
      <c r="E58" s="2170"/>
      <c r="F58" s="2170"/>
      <c r="G58" s="2171"/>
      <c r="H58" s="2170"/>
      <c r="I58" s="2171"/>
      <c r="J58" s="2170"/>
      <c r="K58" s="2170"/>
      <c r="L58" s="2171"/>
      <c r="M58" s="2170"/>
      <c r="N58" s="2170"/>
      <c r="O58" s="2171"/>
      <c r="P58" s="2170"/>
      <c r="Q58" s="2170"/>
      <c r="R58" s="2172"/>
    </row>
    <row r="59" spans="2:18" s="2142" customFormat="1">
      <c r="B59" s="2170"/>
      <c r="C59" s="2170"/>
      <c r="D59" s="2170"/>
      <c r="E59" s="2170"/>
      <c r="F59" s="2170"/>
      <c r="G59" s="2171"/>
      <c r="H59" s="2170"/>
      <c r="I59" s="2171"/>
      <c r="J59" s="2170"/>
      <c r="K59" s="2170"/>
      <c r="L59" s="2171"/>
      <c r="M59" s="2170"/>
      <c r="N59" s="2170"/>
      <c r="O59" s="2171"/>
      <c r="P59" s="2170"/>
      <c r="Q59" s="2170"/>
      <c r="R59" s="2172"/>
    </row>
    <row r="60" spans="2:18" s="2142" customFormat="1">
      <c r="B60" s="2170"/>
      <c r="C60" s="2170"/>
      <c r="D60" s="2170"/>
      <c r="E60" s="2170"/>
      <c r="F60" s="2170"/>
      <c r="G60" s="2171"/>
      <c r="H60" s="2170"/>
      <c r="I60" s="2171"/>
      <c r="J60" s="2170"/>
      <c r="K60" s="2170"/>
      <c r="L60" s="2171"/>
      <c r="M60" s="2170"/>
      <c r="N60" s="2170"/>
      <c r="O60" s="2171"/>
      <c r="P60" s="2170"/>
      <c r="Q60" s="2170"/>
      <c r="R60" s="2172"/>
    </row>
    <row r="61" spans="2:18" s="2142" customFormat="1">
      <c r="B61" s="2170"/>
      <c r="C61" s="2170"/>
      <c r="D61" s="2170"/>
      <c r="E61" s="2170"/>
      <c r="F61" s="2170"/>
      <c r="G61" s="2171"/>
      <c r="H61" s="2170"/>
      <c r="I61" s="2171"/>
      <c r="J61" s="2170"/>
      <c r="K61" s="2170"/>
      <c r="L61" s="2171"/>
      <c r="M61" s="2170"/>
      <c r="N61" s="2170"/>
      <c r="O61" s="2171"/>
      <c r="P61" s="2170"/>
      <c r="Q61" s="2170"/>
      <c r="R61" s="2172"/>
    </row>
    <row r="62" spans="2:18" s="2142" customFormat="1">
      <c r="B62" s="2170"/>
      <c r="C62" s="2170"/>
      <c r="D62" s="2170"/>
      <c r="E62" s="2170"/>
      <c r="F62" s="2170"/>
      <c r="G62" s="2171"/>
      <c r="H62" s="2170"/>
      <c r="I62" s="2171"/>
      <c r="J62" s="2170"/>
      <c r="K62" s="2170"/>
      <c r="L62" s="2171"/>
      <c r="M62" s="2170"/>
      <c r="N62" s="2170"/>
      <c r="O62" s="2171"/>
      <c r="P62" s="2170"/>
      <c r="Q62" s="2170"/>
      <c r="R62" s="2172"/>
    </row>
    <row r="63" spans="2:18" s="2142" customFormat="1">
      <c r="B63" s="2170"/>
      <c r="C63" s="2170"/>
      <c r="D63" s="2170"/>
      <c r="E63" s="2170"/>
      <c r="F63" s="2170"/>
      <c r="G63" s="2171"/>
      <c r="H63" s="2170"/>
      <c r="I63" s="2171"/>
      <c r="J63" s="2170"/>
      <c r="K63" s="2170"/>
      <c r="L63" s="2171"/>
      <c r="M63" s="2170"/>
      <c r="N63" s="2170"/>
      <c r="O63" s="2171"/>
      <c r="P63" s="2170"/>
      <c r="Q63" s="2170"/>
      <c r="R63" s="2172"/>
    </row>
    <row r="64" spans="2:18" s="2142" customFormat="1">
      <c r="B64" s="2170"/>
      <c r="C64" s="2170"/>
      <c r="D64" s="2170"/>
      <c r="E64" s="2170"/>
      <c r="F64" s="2170"/>
      <c r="G64" s="2171"/>
      <c r="H64" s="2170"/>
      <c r="I64" s="2171"/>
      <c r="J64" s="2170"/>
      <c r="K64" s="2170"/>
      <c r="L64" s="2171"/>
      <c r="M64" s="2170"/>
      <c r="N64" s="2170"/>
      <c r="O64" s="2171"/>
      <c r="P64" s="2170"/>
      <c r="Q64" s="2170"/>
      <c r="R64" s="2172"/>
    </row>
    <row r="65" spans="2:18" s="2142" customFormat="1">
      <c r="B65" s="2170"/>
      <c r="C65" s="2170"/>
      <c r="D65" s="2170"/>
      <c r="E65" s="2170"/>
      <c r="F65" s="2170"/>
      <c r="G65" s="2171"/>
      <c r="H65" s="2170"/>
      <c r="I65" s="2171"/>
      <c r="J65" s="2170"/>
      <c r="K65" s="2170"/>
      <c r="L65" s="2171"/>
      <c r="M65" s="2170"/>
      <c r="N65" s="2170"/>
      <c r="O65" s="2171"/>
      <c r="P65" s="2170"/>
      <c r="Q65" s="2170"/>
      <c r="R65" s="2172"/>
    </row>
    <row r="66" spans="2:18" s="2142" customFormat="1">
      <c r="B66" s="2170"/>
      <c r="C66" s="2170"/>
      <c r="D66" s="2170"/>
      <c r="E66" s="2170"/>
      <c r="F66" s="2170"/>
      <c r="G66" s="2171"/>
      <c r="H66" s="2170"/>
      <c r="I66" s="2171"/>
      <c r="J66" s="2170"/>
      <c r="K66" s="2170"/>
      <c r="L66" s="2171"/>
      <c r="M66" s="2170"/>
      <c r="N66" s="2170"/>
      <c r="O66" s="2171"/>
      <c r="P66" s="2170"/>
      <c r="Q66" s="2170"/>
      <c r="R66" s="2172"/>
    </row>
    <row r="67" spans="2:18" s="2142" customFormat="1">
      <c r="B67" s="2170"/>
      <c r="C67" s="2170"/>
      <c r="D67" s="2170"/>
      <c r="E67" s="2170"/>
      <c r="F67" s="2170"/>
      <c r="G67" s="2171"/>
      <c r="H67" s="2170"/>
      <c r="I67" s="2171"/>
      <c r="J67" s="2170"/>
      <c r="K67" s="2170"/>
      <c r="L67" s="2171"/>
      <c r="M67" s="2170"/>
      <c r="N67" s="2170"/>
      <c r="O67" s="2171"/>
      <c r="P67" s="2170"/>
      <c r="Q67" s="2170"/>
      <c r="R67" s="2172"/>
    </row>
    <row r="68" spans="2:18" s="2142" customFormat="1">
      <c r="B68" s="2170"/>
      <c r="C68" s="2170"/>
      <c r="D68" s="2170"/>
      <c r="E68" s="2170"/>
      <c r="F68" s="2170"/>
      <c r="G68" s="2171"/>
      <c r="H68" s="2170"/>
      <c r="I68" s="2171"/>
      <c r="J68" s="2170"/>
      <c r="K68" s="2170"/>
      <c r="L68" s="2171"/>
      <c r="M68" s="2170"/>
      <c r="N68" s="2170"/>
      <c r="O68" s="2171"/>
      <c r="P68" s="2170"/>
      <c r="Q68" s="2170"/>
      <c r="R68" s="2172"/>
    </row>
    <row r="69" spans="2:18" s="2142" customFormat="1">
      <c r="B69" s="2170"/>
      <c r="C69" s="2170"/>
      <c r="D69" s="2170"/>
      <c r="E69" s="2170"/>
      <c r="F69" s="2170"/>
      <c r="G69" s="2171"/>
      <c r="H69" s="2170"/>
      <c r="I69" s="2171"/>
      <c r="J69" s="2170"/>
      <c r="K69" s="2170"/>
      <c r="L69" s="2171"/>
      <c r="M69" s="2170"/>
      <c r="N69" s="2170"/>
      <c r="O69" s="2171"/>
      <c r="P69" s="2170"/>
      <c r="Q69" s="2170"/>
      <c r="R69" s="2172"/>
    </row>
    <row r="70" spans="2:18" s="2142" customFormat="1">
      <c r="B70" s="2170"/>
      <c r="C70" s="2170"/>
      <c r="D70" s="2170"/>
      <c r="E70" s="2170"/>
      <c r="F70" s="2170"/>
      <c r="G70" s="2171"/>
      <c r="H70" s="2170"/>
      <c r="I70" s="2171"/>
      <c r="J70" s="2170"/>
      <c r="K70" s="2170"/>
      <c r="L70" s="2171"/>
      <c r="M70" s="2170"/>
      <c r="N70" s="2170"/>
      <c r="O70" s="2171"/>
      <c r="P70" s="2170"/>
      <c r="Q70" s="2170"/>
      <c r="R70" s="2172"/>
    </row>
    <row r="71" spans="2:18" s="2142" customFormat="1">
      <c r="B71" s="2170"/>
      <c r="C71" s="2170"/>
      <c r="D71" s="2170"/>
      <c r="E71" s="2170"/>
      <c r="F71" s="2170"/>
      <c r="G71" s="2171"/>
      <c r="H71" s="2170"/>
      <c r="I71" s="2171"/>
      <c r="J71" s="2170"/>
      <c r="K71" s="2170"/>
      <c r="L71" s="2171"/>
      <c r="M71" s="2170"/>
      <c r="N71" s="2170"/>
      <c r="O71" s="2171"/>
      <c r="P71" s="2170"/>
      <c r="Q71" s="2170"/>
      <c r="R71" s="2172"/>
    </row>
    <row r="72" spans="2:18" s="2142" customFormat="1">
      <c r="B72" s="2170"/>
      <c r="C72" s="2170"/>
      <c r="D72" s="2170"/>
      <c r="E72" s="2170"/>
      <c r="F72" s="2170"/>
      <c r="G72" s="2171"/>
      <c r="H72" s="2170"/>
      <c r="I72" s="2171"/>
      <c r="J72" s="2170"/>
      <c r="K72" s="2170"/>
      <c r="L72" s="2171"/>
      <c r="M72" s="2170"/>
      <c r="N72" s="2170"/>
      <c r="O72" s="2171"/>
      <c r="P72" s="2170"/>
      <c r="Q72" s="2170"/>
      <c r="R72" s="2172"/>
    </row>
    <row r="73" spans="2:18" s="2142" customFormat="1">
      <c r="B73" s="2170"/>
      <c r="C73" s="2170"/>
      <c r="D73" s="2170"/>
      <c r="E73" s="2170"/>
      <c r="F73" s="2170"/>
      <c r="G73" s="2171"/>
      <c r="H73" s="2170"/>
      <c r="I73" s="2171"/>
      <c r="J73" s="2170"/>
      <c r="K73" s="2170"/>
      <c r="L73" s="2171"/>
      <c r="M73" s="2170"/>
      <c r="N73" s="2170"/>
      <c r="O73" s="2171"/>
      <c r="P73" s="2170"/>
      <c r="Q73" s="2170"/>
      <c r="R73" s="2172"/>
    </row>
    <row r="74" spans="2:18" s="2142" customFormat="1">
      <c r="B74" s="2170"/>
      <c r="C74" s="2170"/>
      <c r="D74" s="2170"/>
      <c r="E74" s="2170"/>
      <c r="F74" s="2170"/>
      <c r="G74" s="2171"/>
      <c r="H74" s="2170"/>
      <c r="I74" s="2171"/>
      <c r="J74" s="2170"/>
      <c r="K74" s="2170"/>
      <c r="L74" s="2171"/>
      <c r="M74" s="2170"/>
      <c r="N74" s="2170"/>
      <c r="O74" s="2171"/>
      <c r="P74" s="2170"/>
      <c r="Q74" s="2170"/>
      <c r="R74" s="2172"/>
    </row>
    <row r="75" spans="2:18" s="2142" customFormat="1">
      <c r="B75" s="2170"/>
      <c r="C75" s="2170"/>
      <c r="D75" s="2170"/>
      <c r="E75" s="2170"/>
      <c r="F75" s="2170"/>
      <c r="G75" s="2171"/>
      <c r="H75" s="2170"/>
      <c r="I75" s="2171"/>
      <c r="J75" s="2170"/>
      <c r="K75" s="2170"/>
      <c r="L75" s="2171"/>
      <c r="M75" s="2170"/>
      <c r="N75" s="2170"/>
      <c r="O75" s="2171"/>
      <c r="P75" s="2170"/>
      <c r="Q75" s="2170"/>
      <c r="R75" s="2172"/>
    </row>
    <row r="76" spans="2:18" s="2142" customFormat="1">
      <c r="B76" s="2170"/>
      <c r="C76" s="2170"/>
      <c r="D76" s="2170"/>
      <c r="E76" s="2170"/>
      <c r="F76" s="2170"/>
      <c r="G76" s="2171"/>
      <c r="H76" s="2170"/>
      <c r="I76" s="2171"/>
      <c r="J76" s="2170"/>
      <c r="K76" s="2170"/>
      <c r="L76" s="2171"/>
      <c r="M76" s="2170"/>
      <c r="N76" s="2170"/>
      <c r="O76" s="2171"/>
      <c r="P76" s="2170"/>
      <c r="Q76" s="2170"/>
      <c r="R76" s="2172"/>
    </row>
    <row r="77" spans="2:18" s="2142" customFormat="1">
      <c r="B77" s="2170"/>
      <c r="C77" s="2170"/>
      <c r="D77" s="2170"/>
      <c r="E77" s="2170"/>
      <c r="F77" s="2170"/>
      <c r="G77" s="2171"/>
      <c r="H77" s="2170"/>
      <c r="I77" s="2171"/>
      <c r="J77" s="2170"/>
      <c r="K77" s="2170"/>
      <c r="L77" s="2171"/>
      <c r="M77" s="2170"/>
      <c r="N77" s="2170"/>
      <c r="O77" s="2171"/>
      <c r="P77" s="2170"/>
      <c r="Q77" s="2170"/>
      <c r="R77" s="2172"/>
    </row>
    <row r="78" spans="2:18" s="2142" customFormat="1">
      <c r="B78" s="2170"/>
      <c r="C78" s="2170"/>
      <c r="D78" s="2170"/>
      <c r="E78" s="2170"/>
      <c r="F78" s="2170"/>
      <c r="G78" s="2171"/>
      <c r="H78" s="2170"/>
      <c r="I78" s="2171"/>
      <c r="J78" s="2170"/>
      <c r="K78" s="2170"/>
      <c r="L78" s="2171"/>
      <c r="M78" s="2170"/>
      <c r="N78" s="2170"/>
      <c r="O78" s="2171"/>
      <c r="P78" s="2170"/>
      <c r="Q78" s="2170"/>
      <c r="R78" s="2172"/>
    </row>
    <row r="79" spans="2:18" s="2142" customFormat="1">
      <c r="B79" s="2170"/>
      <c r="C79" s="2170"/>
      <c r="D79" s="2170"/>
      <c r="E79" s="2170"/>
      <c r="F79" s="2170"/>
      <c r="G79" s="2171"/>
      <c r="H79" s="2170"/>
      <c r="I79" s="2171"/>
      <c r="J79" s="2170"/>
      <c r="K79" s="2170"/>
      <c r="L79" s="2171"/>
      <c r="M79" s="2170"/>
      <c r="N79" s="2170"/>
      <c r="O79" s="2171"/>
      <c r="P79" s="2170"/>
      <c r="Q79" s="2170"/>
      <c r="R79" s="2172"/>
    </row>
    <row r="80" spans="2:18" s="2142" customFormat="1">
      <c r="B80" s="2170"/>
      <c r="C80" s="2170"/>
      <c r="D80" s="2170"/>
      <c r="E80" s="2170"/>
      <c r="F80" s="2170"/>
      <c r="G80" s="2171"/>
      <c r="H80" s="2170"/>
      <c r="I80" s="2171"/>
      <c r="J80" s="2170"/>
      <c r="K80" s="2170"/>
      <c r="L80" s="2171"/>
      <c r="M80" s="2170"/>
      <c r="N80" s="2170"/>
      <c r="O80" s="2171"/>
      <c r="P80" s="2170"/>
      <c r="Q80" s="2170"/>
      <c r="R80" s="2172"/>
    </row>
    <row r="81" spans="2:18" s="2142" customFormat="1">
      <c r="B81" s="2170"/>
      <c r="C81" s="2170"/>
      <c r="D81" s="2170"/>
      <c r="E81" s="2170"/>
      <c r="F81" s="2170"/>
      <c r="G81" s="2171"/>
      <c r="H81" s="2170"/>
      <c r="I81" s="2171"/>
      <c r="J81" s="2170"/>
      <c r="K81" s="2170"/>
      <c r="L81" s="2171"/>
      <c r="M81" s="2170"/>
      <c r="N81" s="2170"/>
      <c r="O81" s="2171"/>
      <c r="P81" s="2170"/>
      <c r="Q81" s="2170"/>
      <c r="R81" s="2172"/>
    </row>
    <row r="82" spans="2:18" s="2142" customFormat="1">
      <c r="B82" s="2170"/>
      <c r="C82" s="2170"/>
      <c r="D82" s="2170"/>
      <c r="E82" s="2170"/>
      <c r="F82" s="2170"/>
      <c r="G82" s="2171"/>
      <c r="H82" s="2170"/>
      <c r="I82" s="2171"/>
      <c r="J82" s="2170"/>
      <c r="K82" s="2170"/>
      <c r="L82" s="2171"/>
      <c r="M82" s="2170"/>
      <c r="N82" s="2170"/>
      <c r="O82" s="2171"/>
      <c r="P82" s="2170"/>
      <c r="Q82" s="2170"/>
      <c r="R82" s="2172"/>
    </row>
    <row r="83" spans="2:18" s="2142" customFormat="1">
      <c r="B83" s="2170"/>
      <c r="C83" s="2170"/>
      <c r="D83" s="2170"/>
      <c r="E83" s="2170"/>
      <c r="F83" s="2170"/>
      <c r="G83" s="2171"/>
      <c r="H83" s="2170"/>
      <c r="I83" s="2171"/>
      <c r="J83" s="2170"/>
      <c r="K83" s="2170"/>
      <c r="L83" s="2171"/>
      <c r="M83" s="2170"/>
      <c r="N83" s="2170"/>
      <c r="O83" s="2171"/>
      <c r="P83" s="2170"/>
      <c r="Q83" s="2170"/>
      <c r="R83" s="2172"/>
    </row>
    <row r="84" spans="2:18" s="2142" customFormat="1">
      <c r="B84" s="2170"/>
      <c r="C84" s="2170"/>
      <c r="D84" s="2170"/>
      <c r="E84" s="2170"/>
      <c r="F84" s="2170"/>
      <c r="G84" s="2171"/>
      <c r="H84" s="2170"/>
      <c r="I84" s="2171"/>
      <c r="J84" s="2170"/>
      <c r="K84" s="2170"/>
      <c r="L84" s="2171"/>
      <c r="M84" s="2170"/>
      <c r="N84" s="2170"/>
      <c r="O84" s="2171"/>
      <c r="P84" s="2170"/>
      <c r="Q84" s="2170"/>
      <c r="R84" s="2172"/>
    </row>
    <row r="85" spans="2:18" s="2142" customFormat="1">
      <c r="B85" s="2170"/>
      <c r="C85" s="2170"/>
      <c r="D85" s="2170"/>
      <c r="E85" s="2170"/>
      <c r="F85" s="2170"/>
      <c r="G85" s="2171"/>
      <c r="H85" s="2170"/>
      <c r="I85" s="2171"/>
      <c r="J85" s="2170"/>
      <c r="K85" s="2170"/>
      <c r="L85" s="2171"/>
      <c r="M85" s="2170"/>
      <c r="N85" s="2170"/>
      <c r="O85" s="2171"/>
      <c r="P85" s="2170"/>
      <c r="Q85" s="2170"/>
      <c r="R85" s="2172"/>
    </row>
    <row r="86" spans="2:18" s="2142" customFormat="1">
      <c r="B86" s="2170"/>
      <c r="C86" s="2170"/>
      <c r="D86" s="2170"/>
      <c r="E86" s="2170"/>
      <c r="F86" s="2170"/>
      <c r="G86" s="2171"/>
      <c r="H86" s="2170"/>
      <c r="I86" s="2171"/>
      <c r="J86" s="2170"/>
      <c r="K86" s="2170"/>
      <c r="L86" s="2171"/>
      <c r="M86" s="2170"/>
      <c r="N86" s="2170"/>
      <c r="O86" s="2171"/>
      <c r="P86" s="2170"/>
      <c r="Q86" s="2170"/>
      <c r="R86" s="2172"/>
    </row>
    <row r="87" spans="2:18" s="2142" customFormat="1">
      <c r="B87" s="2170"/>
      <c r="C87" s="2170"/>
      <c r="D87" s="2170"/>
      <c r="E87" s="2170"/>
      <c r="F87" s="2170"/>
      <c r="G87" s="2171"/>
      <c r="H87" s="2170"/>
      <c r="I87" s="2171"/>
      <c r="J87" s="2170"/>
      <c r="K87" s="2170"/>
      <c r="L87" s="2171"/>
      <c r="M87" s="2170"/>
      <c r="N87" s="2170"/>
      <c r="O87" s="2171"/>
      <c r="P87" s="2170"/>
      <c r="Q87" s="2170"/>
      <c r="R87" s="2172"/>
    </row>
    <row r="88" spans="2:18" s="2142" customFormat="1">
      <c r="B88" s="2170"/>
      <c r="C88" s="2170"/>
      <c r="D88" s="2170"/>
      <c r="E88" s="2170"/>
      <c r="F88" s="2170"/>
      <c r="G88" s="2171"/>
      <c r="H88" s="2170"/>
      <c r="I88" s="2171"/>
      <c r="J88" s="2170"/>
      <c r="K88" s="2170"/>
      <c r="L88" s="2171"/>
      <c r="M88" s="2170"/>
      <c r="N88" s="2170"/>
      <c r="O88" s="2171"/>
      <c r="P88" s="2170"/>
      <c r="Q88" s="2170"/>
      <c r="R88" s="2172"/>
    </row>
    <row r="89" spans="2:18" s="2142" customFormat="1">
      <c r="B89" s="2170"/>
      <c r="C89" s="2170"/>
      <c r="D89" s="2170"/>
      <c r="E89" s="2170"/>
      <c r="F89" s="2170"/>
      <c r="G89" s="2171"/>
      <c r="H89" s="2170"/>
      <c r="I89" s="2171"/>
      <c r="J89" s="2170"/>
      <c r="K89" s="2170"/>
      <c r="L89" s="2171"/>
      <c r="M89" s="2170"/>
      <c r="N89" s="2170"/>
      <c r="O89" s="2171"/>
      <c r="P89" s="2170"/>
      <c r="Q89" s="2170"/>
      <c r="R89" s="2172"/>
    </row>
    <row r="90" spans="2:18" s="2142" customFormat="1">
      <c r="B90" s="2170"/>
      <c r="C90" s="2170"/>
      <c r="D90" s="2170"/>
      <c r="E90" s="2170"/>
      <c r="F90" s="2170"/>
      <c r="G90" s="2171"/>
      <c r="H90" s="2170"/>
      <c r="I90" s="2171"/>
      <c r="J90" s="2170"/>
      <c r="K90" s="2170"/>
      <c r="L90" s="2171"/>
      <c r="M90" s="2170"/>
      <c r="N90" s="2170"/>
      <c r="O90" s="2171"/>
      <c r="P90" s="2170"/>
      <c r="Q90" s="2170"/>
      <c r="R90" s="2172"/>
    </row>
    <row r="91" spans="2:18" s="2142" customFormat="1">
      <c r="B91" s="2170"/>
      <c r="C91" s="2170"/>
      <c r="D91" s="2170"/>
      <c r="E91" s="2170"/>
      <c r="F91" s="2170"/>
      <c r="G91" s="2171"/>
      <c r="H91" s="2170"/>
      <c r="I91" s="2171"/>
      <c r="J91" s="2170"/>
      <c r="K91" s="2170"/>
      <c r="L91" s="2171"/>
      <c r="M91" s="2170"/>
      <c r="N91" s="2170"/>
      <c r="O91" s="2171"/>
      <c r="P91" s="2170"/>
      <c r="Q91" s="2170"/>
      <c r="R91" s="2172"/>
    </row>
    <row r="92" spans="2:18" s="2142" customFormat="1">
      <c r="B92" s="2170"/>
      <c r="C92" s="2170"/>
      <c r="D92" s="2170"/>
      <c r="E92" s="2170"/>
      <c r="F92" s="2170"/>
      <c r="G92" s="2171"/>
      <c r="H92" s="2170"/>
      <c r="I92" s="2171"/>
      <c r="J92" s="2170"/>
      <c r="K92" s="2170"/>
      <c r="L92" s="2171"/>
      <c r="M92" s="2170"/>
      <c r="N92" s="2170"/>
      <c r="O92" s="2171"/>
      <c r="P92" s="2170"/>
      <c r="Q92" s="2170"/>
      <c r="R92" s="2172"/>
    </row>
    <row r="93" spans="2:18" s="2142" customFormat="1">
      <c r="B93" s="2170"/>
      <c r="C93" s="2170"/>
      <c r="D93" s="2170"/>
      <c r="E93" s="2170"/>
      <c r="F93" s="2170"/>
      <c r="G93" s="2171"/>
      <c r="H93" s="2170"/>
      <c r="I93" s="2171"/>
      <c r="J93" s="2170"/>
      <c r="K93" s="2170"/>
      <c r="L93" s="2171"/>
      <c r="M93" s="2170"/>
      <c r="N93" s="2170"/>
      <c r="O93" s="2171"/>
      <c r="P93" s="2170"/>
      <c r="Q93" s="2170"/>
      <c r="R93" s="2172"/>
    </row>
    <row r="94" spans="2:18" s="2142" customFormat="1">
      <c r="B94" s="2170"/>
      <c r="C94" s="2170"/>
      <c r="D94" s="2170"/>
      <c r="E94" s="2170"/>
      <c r="F94" s="2170"/>
      <c r="G94" s="2171"/>
      <c r="H94" s="2170"/>
      <c r="I94" s="2171"/>
      <c r="J94" s="2170"/>
      <c r="K94" s="2170"/>
      <c r="L94" s="2171"/>
      <c r="M94" s="2170"/>
      <c r="N94" s="2170"/>
      <c r="O94" s="2171"/>
      <c r="P94" s="2170"/>
      <c r="Q94" s="2170"/>
      <c r="R94" s="2172"/>
    </row>
    <row r="95" spans="2:18" s="2142" customFormat="1">
      <c r="B95" s="2170"/>
      <c r="C95" s="2170"/>
      <c r="D95" s="2170"/>
      <c r="E95" s="2170"/>
      <c r="F95" s="2170"/>
      <c r="G95" s="2171"/>
      <c r="H95" s="2170"/>
      <c r="I95" s="2171"/>
      <c r="J95" s="2170"/>
      <c r="K95" s="2170"/>
      <c r="L95" s="2171"/>
      <c r="M95" s="2170"/>
      <c r="N95" s="2170"/>
      <c r="O95" s="2171"/>
      <c r="P95" s="2170"/>
      <c r="Q95" s="2170"/>
      <c r="R95" s="2172"/>
    </row>
    <row r="96" spans="2:18" s="2142" customFormat="1">
      <c r="B96" s="2170"/>
      <c r="C96" s="2170"/>
      <c r="D96" s="2170"/>
      <c r="E96" s="2170"/>
      <c r="F96" s="2170"/>
      <c r="G96" s="2171"/>
      <c r="H96" s="2170"/>
      <c r="I96" s="2171"/>
      <c r="J96" s="2170"/>
      <c r="K96" s="2170"/>
      <c r="L96" s="2171"/>
      <c r="M96" s="2170"/>
      <c r="N96" s="2170"/>
      <c r="O96" s="2171"/>
      <c r="P96" s="2170"/>
      <c r="Q96" s="2170"/>
      <c r="R96" s="2172"/>
    </row>
    <row r="97" spans="2:18" s="2142" customFormat="1">
      <c r="B97" s="2170"/>
      <c r="C97" s="2170"/>
      <c r="D97" s="2170"/>
      <c r="E97" s="2170"/>
      <c r="F97" s="2170"/>
      <c r="G97" s="2171"/>
      <c r="H97" s="2170"/>
      <c r="I97" s="2171"/>
      <c r="J97" s="2170"/>
      <c r="K97" s="2170"/>
      <c r="L97" s="2171"/>
      <c r="M97" s="2170"/>
      <c r="N97" s="2170"/>
      <c r="O97" s="2171"/>
      <c r="P97" s="2170"/>
      <c r="Q97" s="2170"/>
      <c r="R97" s="2172"/>
    </row>
    <row r="98" spans="2:18" s="2142" customFormat="1">
      <c r="B98" s="2170"/>
      <c r="C98" s="2170"/>
      <c r="D98" s="2170"/>
      <c r="E98" s="2170"/>
      <c r="F98" s="2170"/>
      <c r="G98" s="2171"/>
      <c r="H98" s="2170"/>
      <c r="I98" s="2171"/>
      <c r="J98" s="2170"/>
      <c r="K98" s="2170"/>
      <c r="L98" s="2171"/>
      <c r="M98" s="2170"/>
      <c r="N98" s="2170"/>
      <c r="O98" s="2171"/>
      <c r="P98" s="2170"/>
      <c r="Q98" s="2170"/>
      <c r="R98" s="2172"/>
    </row>
    <row r="99" spans="2:18" s="2142" customFormat="1">
      <c r="B99" s="2170"/>
      <c r="C99" s="2170"/>
      <c r="D99" s="2170"/>
      <c r="E99" s="2170"/>
      <c r="F99" s="2170"/>
      <c r="G99" s="2171"/>
      <c r="H99" s="2170"/>
      <c r="I99" s="2171"/>
      <c r="J99" s="2170"/>
      <c r="K99" s="2170"/>
      <c r="L99" s="2171"/>
      <c r="M99" s="2170"/>
      <c r="N99" s="2170"/>
      <c r="O99" s="2171"/>
      <c r="P99" s="2170"/>
      <c r="Q99" s="2170"/>
      <c r="R99" s="2172"/>
    </row>
    <row r="100" spans="2:18" s="2142" customFormat="1">
      <c r="B100" s="2170"/>
      <c r="C100" s="2170"/>
      <c r="D100" s="2170"/>
      <c r="E100" s="2170"/>
      <c r="F100" s="2170"/>
      <c r="G100" s="2171"/>
      <c r="H100" s="2170"/>
      <c r="I100" s="2171"/>
      <c r="J100" s="2170"/>
      <c r="K100" s="2170"/>
      <c r="L100" s="2171"/>
      <c r="M100" s="2170"/>
      <c r="N100" s="2170"/>
      <c r="O100" s="2171"/>
      <c r="P100" s="2170"/>
      <c r="Q100" s="2170"/>
      <c r="R100" s="2172"/>
    </row>
    <row r="101" spans="2:18" s="2142" customFormat="1">
      <c r="B101" s="2170"/>
      <c r="C101" s="2170"/>
      <c r="D101" s="2170"/>
      <c r="E101" s="2170"/>
      <c r="F101" s="2170"/>
      <c r="G101" s="2171"/>
      <c r="H101" s="2170"/>
      <c r="I101" s="2171"/>
      <c r="J101" s="2170"/>
      <c r="K101" s="2170"/>
      <c r="L101" s="2171"/>
      <c r="M101" s="2170"/>
      <c r="N101" s="2170"/>
      <c r="O101" s="2171"/>
      <c r="P101" s="2170"/>
      <c r="Q101" s="2170"/>
      <c r="R101" s="2172"/>
    </row>
    <row r="102" spans="2:18" s="2142" customFormat="1">
      <c r="B102" s="2170"/>
      <c r="C102" s="2170"/>
      <c r="D102" s="2170"/>
      <c r="E102" s="2170"/>
      <c r="F102" s="2170"/>
      <c r="G102" s="2171"/>
      <c r="H102" s="2170"/>
      <c r="I102" s="2171"/>
      <c r="J102" s="2170"/>
      <c r="K102" s="2170"/>
      <c r="L102" s="2171"/>
      <c r="M102" s="2170"/>
      <c r="N102" s="2170"/>
      <c r="O102" s="2171"/>
      <c r="P102" s="2170"/>
      <c r="Q102" s="2170"/>
      <c r="R102" s="2172"/>
    </row>
    <row r="103" spans="2:18" s="2142" customFormat="1">
      <c r="B103" s="2170"/>
      <c r="C103" s="2170"/>
      <c r="D103" s="2170"/>
      <c r="E103" s="2170"/>
      <c r="F103" s="2170"/>
      <c r="G103" s="2171"/>
      <c r="H103" s="2170"/>
      <c r="I103" s="2171"/>
      <c r="J103" s="2170"/>
      <c r="K103" s="2170"/>
      <c r="L103" s="2171"/>
      <c r="M103" s="2170"/>
      <c r="N103" s="2170"/>
      <c r="O103" s="2171"/>
      <c r="P103" s="2170"/>
      <c r="Q103" s="2170"/>
      <c r="R103" s="2172"/>
    </row>
    <row r="104" spans="2:18" s="2142" customFormat="1">
      <c r="B104" s="2170"/>
      <c r="C104" s="2170"/>
      <c r="D104" s="2170"/>
      <c r="E104" s="2170"/>
      <c r="F104" s="2170"/>
      <c r="G104" s="2171"/>
      <c r="H104" s="2170"/>
      <c r="I104" s="2171"/>
      <c r="J104" s="2170"/>
      <c r="K104" s="2170"/>
      <c r="L104" s="2171"/>
      <c r="M104" s="2170"/>
      <c r="N104" s="2170"/>
      <c r="O104" s="2171"/>
      <c r="P104" s="2170"/>
      <c r="Q104" s="2170"/>
      <c r="R104" s="2172"/>
    </row>
    <row r="105" spans="2:18" s="2142" customFormat="1">
      <c r="B105" s="2170"/>
      <c r="C105" s="2170"/>
      <c r="D105" s="2170"/>
      <c r="E105" s="2170"/>
      <c r="F105" s="2170"/>
      <c r="G105" s="2171"/>
      <c r="H105" s="2170"/>
      <c r="I105" s="2171"/>
      <c r="J105" s="2170"/>
      <c r="K105" s="2170"/>
      <c r="L105" s="2171"/>
      <c r="M105" s="2170"/>
      <c r="N105" s="2170"/>
      <c r="O105" s="2171"/>
      <c r="P105" s="2170"/>
      <c r="Q105" s="2170"/>
      <c r="R105" s="2172"/>
    </row>
    <row r="106" spans="2:18" s="2142" customFormat="1">
      <c r="B106" s="2170"/>
      <c r="C106" s="2170"/>
      <c r="D106" s="2170"/>
      <c r="E106" s="2170"/>
      <c r="F106" s="2170"/>
      <c r="G106" s="2171"/>
      <c r="H106" s="2170"/>
      <c r="I106" s="2171"/>
      <c r="J106" s="2170"/>
      <c r="K106" s="2170"/>
      <c r="L106" s="2171"/>
      <c r="M106" s="2170"/>
      <c r="N106" s="2170"/>
      <c r="O106" s="2171"/>
      <c r="P106" s="2170"/>
      <c r="Q106" s="2170"/>
      <c r="R106" s="2172"/>
    </row>
    <row r="107" spans="2:18" s="2142" customFormat="1">
      <c r="B107" s="2170"/>
      <c r="C107" s="2170"/>
      <c r="D107" s="2170"/>
      <c r="E107" s="2170"/>
      <c r="F107" s="2170"/>
      <c r="G107" s="2171"/>
      <c r="H107" s="2170"/>
      <c r="I107" s="2171"/>
      <c r="J107" s="2170"/>
      <c r="K107" s="2170"/>
      <c r="L107" s="2171"/>
      <c r="M107" s="2170"/>
      <c r="N107" s="2170"/>
      <c r="O107" s="2171"/>
      <c r="P107" s="2170"/>
      <c r="Q107" s="2170"/>
      <c r="R107" s="2172"/>
    </row>
    <row r="108" spans="2:18" s="2142" customFormat="1">
      <c r="B108" s="2170"/>
      <c r="C108" s="2170"/>
      <c r="D108" s="2170"/>
      <c r="E108" s="2170"/>
      <c r="F108" s="2170"/>
      <c r="G108" s="2171"/>
      <c r="H108" s="2170"/>
      <c r="I108" s="2171"/>
      <c r="J108" s="2170"/>
      <c r="K108" s="2170"/>
      <c r="L108" s="2171"/>
      <c r="M108" s="2170"/>
      <c r="N108" s="2170"/>
      <c r="O108" s="2171"/>
      <c r="P108" s="2170"/>
      <c r="Q108" s="2170"/>
      <c r="R108" s="2172"/>
    </row>
    <row r="109" spans="2:18" s="2142" customFormat="1">
      <c r="B109" s="2170"/>
      <c r="C109" s="2170"/>
      <c r="D109" s="2170"/>
      <c r="E109" s="2170"/>
      <c r="F109" s="2170"/>
      <c r="G109" s="2171"/>
      <c r="H109" s="2170"/>
      <c r="I109" s="2171"/>
      <c r="J109" s="2170"/>
      <c r="K109" s="2170"/>
      <c r="L109" s="2171"/>
      <c r="M109" s="2170"/>
      <c r="N109" s="2170"/>
      <c r="O109" s="2171"/>
      <c r="P109" s="2170"/>
      <c r="Q109" s="2170"/>
      <c r="R109" s="2172"/>
    </row>
    <row r="110" spans="2:18" s="2142" customFormat="1">
      <c r="B110" s="2170"/>
      <c r="C110" s="2170"/>
      <c r="D110" s="2170"/>
      <c r="E110" s="2170"/>
      <c r="F110" s="2170"/>
      <c r="G110" s="2171"/>
      <c r="H110" s="2170"/>
      <c r="I110" s="2171"/>
      <c r="J110" s="2170"/>
      <c r="K110" s="2170"/>
      <c r="L110" s="2171"/>
      <c r="M110" s="2170"/>
      <c r="N110" s="2170"/>
      <c r="O110" s="2171"/>
      <c r="P110" s="2170"/>
      <c r="Q110" s="2170"/>
      <c r="R110" s="2172"/>
    </row>
    <row r="111" spans="2:18" s="2142" customFormat="1">
      <c r="B111" s="2170"/>
      <c r="C111" s="2170"/>
      <c r="D111" s="2170"/>
      <c r="E111" s="2170"/>
      <c r="F111" s="2170"/>
      <c r="G111" s="2171"/>
      <c r="H111" s="2170"/>
      <c r="I111" s="2171"/>
      <c r="J111" s="2170"/>
      <c r="K111" s="2170"/>
      <c r="L111" s="2171"/>
      <c r="M111" s="2170"/>
      <c r="N111" s="2170"/>
      <c r="O111" s="2171"/>
      <c r="P111" s="2170"/>
      <c r="Q111" s="2170"/>
      <c r="R111" s="2172"/>
    </row>
    <row r="112" spans="2:18" s="2142" customFormat="1">
      <c r="B112" s="2170"/>
      <c r="C112" s="2170"/>
      <c r="D112" s="2170"/>
      <c r="E112" s="2170"/>
      <c r="F112" s="2170"/>
      <c r="G112" s="2171"/>
      <c r="H112" s="2170"/>
      <c r="I112" s="2171"/>
      <c r="J112" s="2170"/>
      <c r="K112" s="2170"/>
      <c r="L112" s="2171"/>
      <c r="M112" s="2170"/>
      <c r="N112" s="2170"/>
      <c r="O112" s="2171"/>
      <c r="P112" s="2170"/>
      <c r="Q112" s="2170"/>
      <c r="R112" s="2172"/>
    </row>
    <row r="113" spans="2:18" s="2142" customFormat="1">
      <c r="B113" s="2170"/>
      <c r="C113" s="2170"/>
      <c r="D113" s="2170"/>
      <c r="E113" s="2170"/>
      <c r="F113" s="2170"/>
      <c r="G113" s="2171"/>
      <c r="H113" s="2170"/>
      <c r="I113" s="2171"/>
      <c r="J113" s="2170"/>
      <c r="K113" s="2170"/>
      <c r="L113" s="2171"/>
      <c r="M113" s="2170"/>
      <c r="N113" s="2170"/>
      <c r="O113" s="2171"/>
      <c r="P113" s="2170"/>
      <c r="Q113" s="2170"/>
      <c r="R113" s="2172"/>
    </row>
    <row r="114" spans="2:18" s="2142" customFormat="1">
      <c r="B114" s="2170"/>
      <c r="C114" s="2170"/>
      <c r="D114" s="2170"/>
      <c r="E114" s="2170"/>
      <c r="F114" s="2170"/>
      <c r="G114" s="2171"/>
      <c r="H114" s="2170"/>
      <c r="I114" s="2171"/>
      <c r="J114" s="2170"/>
      <c r="K114" s="2170"/>
      <c r="L114" s="2171"/>
      <c r="M114" s="2170"/>
      <c r="N114" s="2170"/>
      <c r="O114" s="2171"/>
      <c r="P114" s="2170"/>
      <c r="Q114" s="2170"/>
      <c r="R114" s="2172"/>
    </row>
    <row r="115" spans="2:18" s="2142" customFormat="1">
      <c r="B115" s="2170"/>
      <c r="C115" s="2170"/>
      <c r="D115" s="2170"/>
      <c r="E115" s="2170"/>
      <c r="F115" s="2170"/>
      <c r="G115" s="2171"/>
      <c r="H115" s="2170"/>
      <c r="I115" s="2171"/>
      <c r="J115" s="2170"/>
      <c r="K115" s="2170"/>
      <c r="L115" s="2171"/>
      <c r="M115" s="2170"/>
      <c r="N115" s="2170"/>
      <c r="O115" s="2171"/>
      <c r="P115" s="2170"/>
      <c r="Q115" s="2170"/>
      <c r="R115" s="2172"/>
    </row>
    <row r="116" spans="2:18" s="2142" customFormat="1">
      <c r="B116" s="2170"/>
      <c r="C116" s="2170"/>
      <c r="D116" s="2170"/>
      <c r="E116" s="2170"/>
      <c r="F116" s="2170"/>
      <c r="G116" s="2171"/>
      <c r="H116" s="2170"/>
      <c r="I116" s="2171"/>
      <c r="J116" s="2170"/>
      <c r="K116" s="2170"/>
      <c r="L116" s="2171"/>
      <c r="M116" s="2170"/>
      <c r="N116" s="2170"/>
      <c r="O116" s="2171"/>
      <c r="P116" s="2170"/>
      <c r="Q116" s="2170"/>
      <c r="R116" s="2172"/>
    </row>
    <row r="117" spans="2:18" s="2142" customFormat="1">
      <c r="B117" s="2170"/>
      <c r="C117" s="2170"/>
      <c r="D117" s="2170"/>
      <c r="E117" s="2170"/>
      <c r="F117" s="2170"/>
      <c r="G117" s="2171"/>
      <c r="H117" s="2170"/>
      <c r="I117" s="2171"/>
      <c r="J117" s="2170"/>
      <c r="K117" s="2170"/>
      <c r="L117" s="2171"/>
      <c r="M117" s="2170"/>
      <c r="N117" s="2170"/>
      <c r="O117" s="2171"/>
      <c r="P117" s="2170"/>
      <c r="Q117" s="2170"/>
      <c r="R117" s="2172"/>
    </row>
    <row r="118" spans="2:18" s="2142" customFormat="1">
      <c r="B118" s="2170"/>
      <c r="C118" s="2170"/>
      <c r="D118" s="2170"/>
      <c r="E118" s="2170"/>
      <c r="F118" s="2170"/>
      <c r="G118" s="2171"/>
      <c r="H118" s="2170"/>
      <c r="I118" s="2171"/>
      <c r="J118" s="2170"/>
      <c r="K118" s="2170"/>
      <c r="L118" s="2171"/>
      <c r="M118" s="2170"/>
      <c r="N118" s="2170"/>
      <c r="O118" s="2171"/>
      <c r="P118" s="2170"/>
      <c r="Q118" s="2170"/>
      <c r="R118" s="2172"/>
    </row>
    <row r="119" spans="2:18" s="2142" customFormat="1">
      <c r="B119" s="2170"/>
      <c r="C119" s="2170"/>
      <c r="D119" s="2170"/>
      <c r="E119" s="2170"/>
      <c r="F119" s="2170"/>
      <c r="G119" s="2171"/>
      <c r="H119" s="2170"/>
      <c r="I119" s="2171"/>
      <c r="J119" s="2170"/>
      <c r="K119" s="2170"/>
      <c r="L119" s="2171"/>
      <c r="M119" s="2170"/>
      <c r="N119" s="2170"/>
      <c r="O119" s="2171"/>
      <c r="P119" s="2170"/>
      <c r="Q119" s="2170"/>
      <c r="R119" s="2172"/>
    </row>
    <row r="120" spans="2:18" s="2142" customFormat="1">
      <c r="B120" s="2170"/>
      <c r="C120" s="2170"/>
      <c r="D120" s="2170"/>
      <c r="E120" s="2170"/>
      <c r="F120" s="2170"/>
      <c r="G120" s="2171"/>
      <c r="H120" s="2170"/>
      <c r="I120" s="2171"/>
      <c r="J120" s="2170"/>
      <c r="K120" s="2170"/>
      <c r="L120" s="2171"/>
      <c r="M120" s="2170"/>
      <c r="N120" s="2170"/>
      <c r="O120" s="2171"/>
      <c r="P120" s="2170"/>
      <c r="Q120" s="2170"/>
      <c r="R120" s="2172"/>
    </row>
    <row r="121" spans="2:18" s="2142" customFormat="1">
      <c r="B121" s="2170"/>
      <c r="C121" s="2170"/>
      <c r="D121" s="2170"/>
      <c r="E121" s="2170"/>
      <c r="F121" s="2170"/>
      <c r="G121" s="2171"/>
      <c r="H121" s="2170"/>
      <c r="I121" s="2171"/>
      <c r="J121" s="2170"/>
      <c r="K121" s="2170"/>
      <c r="L121" s="2171"/>
      <c r="M121" s="2170"/>
      <c r="N121" s="2170"/>
      <c r="O121" s="2171"/>
      <c r="P121" s="2170"/>
      <c r="Q121" s="2170"/>
      <c r="R121" s="2172"/>
    </row>
    <row r="122" spans="2:18" s="2142" customFormat="1">
      <c r="B122" s="2170"/>
      <c r="C122" s="2170"/>
      <c r="D122" s="2170"/>
      <c r="E122" s="2170"/>
      <c r="F122" s="2170"/>
      <c r="G122" s="2171"/>
      <c r="H122" s="2170"/>
      <c r="I122" s="2171"/>
      <c r="J122" s="2170"/>
      <c r="K122" s="2170"/>
      <c r="L122" s="2171"/>
      <c r="M122" s="2170"/>
      <c r="N122" s="2170"/>
      <c r="O122" s="2171"/>
      <c r="P122" s="2170"/>
      <c r="Q122" s="2170"/>
      <c r="R122" s="2172"/>
    </row>
    <row r="123" spans="2:18" s="2142" customFormat="1">
      <c r="B123" s="2170"/>
      <c r="C123" s="2170"/>
      <c r="D123" s="2170"/>
      <c r="E123" s="2170"/>
      <c r="F123" s="2170"/>
      <c r="G123" s="2171"/>
      <c r="H123" s="2170"/>
      <c r="I123" s="2171"/>
      <c r="J123" s="2170"/>
      <c r="K123" s="2170"/>
      <c r="L123" s="2171"/>
      <c r="M123" s="2170"/>
      <c r="N123" s="2170"/>
      <c r="O123" s="2171"/>
      <c r="P123" s="2170"/>
      <c r="Q123" s="2170"/>
      <c r="R123" s="2172"/>
    </row>
    <row r="124" spans="2:18" s="2142" customFormat="1">
      <c r="B124" s="2170"/>
      <c r="C124" s="2170"/>
      <c r="D124" s="2170"/>
      <c r="E124" s="2170"/>
      <c r="F124" s="2170"/>
      <c r="G124" s="2171"/>
      <c r="H124" s="2170"/>
      <c r="I124" s="2171"/>
      <c r="J124" s="2170"/>
      <c r="K124" s="2170"/>
      <c r="L124" s="2171"/>
      <c r="M124" s="2170"/>
      <c r="N124" s="2170"/>
      <c r="O124" s="2171"/>
      <c r="P124" s="2170"/>
      <c r="Q124" s="2170"/>
      <c r="R124" s="2172"/>
    </row>
    <row r="125" spans="2:18" s="2142" customFormat="1">
      <c r="B125" s="2170"/>
      <c r="C125" s="2170"/>
      <c r="D125" s="2170"/>
      <c r="E125" s="2170"/>
      <c r="F125" s="2170"/>
      <c r="G125" s="2171"/>
      <c r="H125" s="2170"/>
      <c r="I125" s="2171"/>
      <c r="J125" s="2170"/>
      <c r="K125" s="2170"/>
      <c r="L125" s="2171"/>
      <c r="M125" s="2170"/>
      <c r="N125" s="2170"/>
      <c r="O125" s="2171"/>
      <c r="P125" s="2170"/>
      <c r="Q125" s="2170"/>
      <c r="R125" s="2172"/>
    </row>
    <row r="126" spans="2:18" s="2142" customFormat="1">
      <c r="B126" s="2170"/>
      <c r="C126" s="2170"/>
      <c r="D126" s="2170"/>
      <c r="E126" s="2170"/>
      <c r="F126" s="2170"/>
      <c r="G126" s="2171"/>
      <c r="H126" s="2170"/>
      <c r="I126" s="2171"/>
      <c r="J126" s="2170"/>
      <c r="K126" s="2170"/>
      <c r="L126" s="2171"/>
      <c r="M126" s="2170"/>
      <c r="N126" s="2170"/>
      <c r="O126" s="2171"/>
      <c r="P126" s="2170"/>
      <c r="Q126" s="2170"/>
      <c r="R126" s="2172"/>
    </row>
    <row r="127" spans="2:18" s="2142" customFormat="1">
      <c r="B127" s="2170"/>
      <c r="C127" s="2170"/>
      <c r="D127" s="2170"/>
      <c r="E127" s="2170"/>
      <c r="F127" s="2170"/>
      <c r="G127" s="2171"/>
      <c r="H127" s="2170"/>
      <c r="I127" s="2171"/>
      <c r="J127" s="2170"/>
      <c r="K127" s="2170"/>
      <c r="L127" s="2171"/>
      <c r="M127" s="2170"/>
      <c r="N127" s="2170"/>
      <c r="O127" s="2171"/>
      <c r="P127" s="2170"/>
      <c r="Q127" s="2170"/>
      <c r="R127" s="2172"/>
    </row>
    <row r="128" spans="2:18" s="2142" customFormat="1">
      <c r="B128" s="2170"/>
      <c r="C128" s="2170"/>
      <c r="D128" s="2170"/>
      <c r="E128" s="2170"/>
      <c r="F128" s="2170"/>
      <c r="G128" s="2171"/>
      <c r="H128" s="2170"/>
      <c r="I128" s="2171"/>
      <c r="J128" s="2170"/>
      <c r="K128" s="2170"/>
      <c r="L128" s="2171"/>
      <c r="M128" s="2170"/>
      <c r="N128" s="2170"/>
      <c r="O128" s="2171"/>
      <c r="P128" s="2170"/>
      <c r="Q128" s="2170"/>
      <c r="R128" s="2172"/>
    </row>
    <row r="129" spans="2:18" s="2142" customFormat="1">
      <c r="B129" s="2170"/>
      <c r="C129" s="2170"/>
      <c r="D129" s="2170"/>
      <c r="E129" s="2170"/>
      <c r="F129" s="2170"/>
      <c r="G129" s="2171"/>
      <c r="H129" s="2170"/>
      <c r="I129" s="2171"/>
      <c r="J129" s="2170"/>
      <c r="K129" s="2170"/>
      <c r="L129" s="2171"/>
      <c r="M129" s="2170"/>
      <c r="N129" s="2170"/>
      <c r="O129" s="2171"/>
      <c r="P129" s="2170"/>
      <c r="Q129" s="2170"/>
      <c r="R129" s="2172"/>
    </row>
    <row r="130" spans="2:18" s="2142" customFormat="1">
      <c r="B130" s="2170"/>
      <c r="C130" s="2170"/>
      <c r="D130" s="2170"/>
      <c r="E130" s="2170"/>
      <c r="F130" s="2170"/>
      <c r="G130" s="2171"/>
      <c r="H130" s="2170"/>
      <c r="I130" s="2171"/>
      <c r="J130" s="2170"/>
      <c r="K130" s="2170"/>
      <c r="L130" s="2171"/>
      <c r="M130" s="2170"/>
      <c r="N130" s="2170"/>
      <c r="O130" s="2171"/>
      <c r="P130" s="2170"/>
      <c r="Q130" s="2170"/>
      <c r="R130" s="2172"/>
    </row>
    <row r="131" spans="2:18" s="2142" customFormat="1">
      <c r="B131" s="2170"/>
      <c r="C131" s="2170"/>
      <c r="D131" s="2170"/>
      <c r="E131" s="2170"/>
      <c r="F131" s="2170"/>
      <c r="G131" s="2171"/>
      <c r="H131" s="2170"/>
      <c r="I131" s="2171"/>
      <c r="J131" s="2170"/>
      <c r="K131" s="2170"/>
      <c r="L131" s="2171"/>
      <c r="M131" s="2170"/>
      <c r="N131" s="2170"/>
      <c r="O131" s="2171"/>
      <c r="P131" s="2170"/>
      <c r="Q131" s="2170"/>
      <c r="R131" s="2172"/>
    </row>
    <row r="132" spans="2:18" s="2142" customFormat="1">
      <c r="B132" s="2170"/>
      <c r="C132" s="2170"/>
      <c r="D132" s="2170"/>
      <c r="E132" s="2170"/>
      <c r="F132" s="2170"/>
      <c r="G132" s="2171"/>
      <c r="H132" s="2170"/>
      <c r="I132" s="2171"/>
      <c r="J132" s="2170"/>
      <c r="K132" s="2170"/>
      <c r="L132" s="2171"/>
      <c r="M132" s="2170"/>
      <c r="N132" s="2170"/>
      <c r="O132" s="2171"/>
      <c r="P132" s="2170"/>
      <c r="Q132" s="2170"/>
      <c r="R132" s="2172"/>
    </row>
    <row r="133" spans="2:18" s="2142" customFormat="1">
      <c r="B133" s="2170"/>
      <c r="C133" s="2170"/>
      <c r="D133" s="2170"/>
      <c r="E133" s="2170"/>
      <c r="F133" s="2170"/>
      <c r="G133" s="2171"/>
      <c r="H133" s="2170"/>
      <c r="I133" s="2171"/>
      <c r="J133" s="2170"/>
      <c r="K133" s="2170"/>
      <c r="L133" s="2171"/>
      <c r="M133" s="2170"/>
      <c r="N133" s="2170"/>
      <c r="O133" s="2171"/>
      <c r="P133" s="2170"/>
      <c r="Q133" s="2170"/>
      <c r="R133" s="2172"/>
    </row>
    <row r="134" spans="2:18" s="2142" customFormat="1">
      <c r="B134" s="2170"/>
      <c r="C134" s="2170"/>
      <c r="D134" s="2170"/>
      <c r="E134" s="2170"/>
      <c r="F134" s="2170"/>
      <c r="G134" s="2171"/>
      <c r="H134" s="2170"/>
      <c r="I134" s="2171"/>
      <c r="J134" s="2170"/>
      <c r="K134" s="2170"/>
      <c r="L134" s="2171"/>
      <c r="M134" s="2170"/>
      <c r="N134" s="2170"/>
      <c r="O134" s="2171"/>
      <c r="P134" s="2170"/>
      <c r="Q134" s="2170"/>
      <c r="R134" s="2172"/>
    </row>
    <row r="135" spans="2:18" s="2142" customFormat="1">
      <c r="B135" s="2170"/>
      <c r="C135" s="2170"/>
      <c r="D135" s="2170"/>
      <c r="E135" s="2170"/>
      <c r="F135" s="2170"/>
      <c r="G135" s="2171"/>
      <c r="H135" s="2170"/>
      <c r="I135" s="2171"/>
      <c r="J135" s="2170"/>
      <c r="K135" s="2170"/>
      <c r="L135" s="2171"/>
      <c r="M135" s="2170"/>
      <c r="N135" s="2170"/>
      <c r="O135" s="2171"/>
      <c r="P135" s="2170"/>
      <c r="Q135" s="2170"/>
      <c r="R135" s="2172"/>
    </row>
    <row r="136" spans="2:18" s="2142" customFormat="1">
      <c r="B136" s="2170"/>
      <c r="C136" s="2170"/>
      <c r="D136" s="2170"/>
      <c r="E136" s="2170"/>
      <c r="F136" s="2170"/>
      <c r="G136" s="2171"/>
      <c r="H136" s="2170"/>
      <c r="I136" s="2171"/>
      <c r="J136" s="2170"/>
      <c r="K136" s="2170"/>
      <c r="L136" s="2171"/>
      <c r="M136" s="2170"/>
      <c r="N136" s="2170"/>
      <c r="O136" s="2171"/>
      <c r="P136" s="2170"/>
      <c r="Q136" s="2170"/>
      <c r="R136" s="2172"/>
    </row>
    <row r="137" spans="2:18" s="2142" customFormat="1">
      <c r="B137" s="2170"/>
      <c r="C137" s="2170"/>
      <c r="D137" s="2170"/>
      <c r="E137" s="2170"/>
      <c r="F137" s="2170"/>
      <c r="G137" s="2171"/>
      <c r="H137" s="2170"/>
      <c r="I137" s="2171"/>
      <c r="J137" s="2170"/>
      <c r="K137" s="2170"/>
      <c r="L137" s="2171"/>
      <c r="M137" s="2170"/>
      <c r="N137" s="2170"/>
      <c r="O137" s="2171"/>
      <c r="P137" s="2170"/>
      <c r="Q137" s="2170"/>
      <c r="R137" s="2172"/>
    </row>
    <row r="138" spans="2:18" s="2142" customFormat="1">
      <c r="B138" s="2170"/>
      <c r="C138" s="2170"/>
      <c r="D138" s="2170"/>
      <c r="E138" s="2170"/>
      <c r="F138" s="2170"/>
      <c r="G138" s="2171"/>
      <c r="H138" s="2170"/>
      <c r="I138" s="2171"/>
      <c r="J138" s="2170"/>
      <c r="K138" s="2170"/>
      <c r="L138" s="2171"/>
      <c r="M138" s="2170"/>
      <c r="N138" s="2170"/>
      <c r="O138" s="2171"/>
      <c r="P138" s="2170"/>
      <c r="Q138" s="2170"/>
      <c r="R138" s="2172"/>
    </row>
    <row r="139" spans="2:18" s="2142" customFormat="1">
      <c r="B139" s="2170"/>
      <c r="C139" s="2170"/>
      <c r="D139" s="2170"/>
      <c r="E139" s="2170"/>
      <c r="F139" s="2170"/>
      <c r="G139" s="2171"/>
      <c r="H139" s="2170"/>
      <c r="I139" s="2171"/>
      <c r="J139" s="2170"/>
      <c r="K139" s="2170"/>
      <c r="L139" s="2171"/>
      <c r="M139" s="2170"/>
      <c r="N139" s="2170"/>
      <c r="O139" s="2171"/>
      <c r="P139" s="2170"/>
      <c r="Q139" s="2170"/>
      <c r="R139" s="2172"/>
    </row>
    <row r="140" spans="2:18" s="2142" customFormat="1">
      <c r="B140" s="2170"/>
      <c r="C140" s="2170"/>
      <c r="D140" s="2170"/>
      <c r="E140" s="2170"/>
      <c r="F140" s="2170"/>
      <c r="G140" s="2171"/>
      <c r="H140" s="2170"/>
      <c r="I140" s="2171"/>
      <c r="J140" s="2170"/>
      <c r="K140" s="2170"/>
      <c r="L140" s="2171"/>
      <c r="M140" s="2170"/>
      <c r="N140" s="2170"/>
      <c r="O140" s="2171"/>
      <c r="P140" s="2170"/>
      <c r="Q140" s="2170"/>
      <c r="R140" s="2172"/>
    </row>
    <row r="141" spans="2:18" s="2142" customFormat="1">
      <c r="B141" s="2170"/>
      <c r="C141" s="2170"/>
      <c r="D141" s="2170"/>
      <c r="E141" s="2170"/>
      <c r="F141" s="2170"/>
      <c r="G141" s="2171"/>
      <c r="H141" s="2170"/>
      <c r="I141" s="2171"/>
      <c r="J141" s="2170"/>
      <c r="K141" s="2170"/>
      <c r="L141" s="2171"/>
      <c r="M141" s="2170"/>
      <c r="N141" s="2170"/>
      <c r="O141" s="2171"/>
      <c r="P141" s="2170"/>
      <c r="Q141" s="2170"/>
      <c r="R141" s="2172"/>
    </row>
    <row r="142" spans="2:18" s="2142" customFormat="1">
      <c r="B142" s="2170"/>
      <c r="C142" s="2170"/>
      <c r="D142" s="2170"/>
      <c r="E142" s="2170"/>
      <c r="F142" s="2170"/>
      <c r="G142" s="2171"/>
      <c r="H142" s="2170"/>
      <c r="I142" s="2171"/>
      <c r="J142" s="2170"/>
      <c r="K142" s="2170"/>
      <c r="L142" s="2171"/>
      <c r="M142" s="2170"/>
      <c r="N142" s="2170"/>
      <c r="O142" s="2171"/>
      <c r="P142" s="2170"/>
      <c r="Q142" s="2170"/>
      <c r="R142" s="2172"/>
    </row>
    <row r="143" spans="2:18" s="2142" customFormat="1">
      <c r="B143" s="2170"/>
      <c r="C143" s="2170"/>
      <c r="D143" s="2170"/>
      <c r="E143" s="2170"/>
      <c r="F143" s="2170"/>
      <c r="G143" s="2171"/>
      <c r="H143" s="2170"/>
      <c r="I143" s="2171"/>
      <c r="J143" s="2170"/>
      <c r="K143" s="2170"/>
      <c r="L143" s="2171"/>
      <c r="M143" s="2170"/>
      <c r="N143" s="2170"/>
      <c r="O143" s="2171"/>
      <c r="P143" s="2170"/>
      <c r="Q143" s="2170"/>
      <c r="R143" s="2172"/>
    </row>
    <row r="144" spans="2:18" s="2142" customFormat="1">
      <c r="B144" s="2170"/>
      <c r="C144" s="2170"/>
      <c r="D144" s="2170"/>
      <c r="E144" s="2170"/>
      <c r="F144" s="2170"/>
      <c r="G144" s="2171"/>
      <c r="H144" s="2170"/>
      <c r="I144" s="2171"/>
      <c r="J144" s="2170"/>
      <c r="K144" s="2170"/>
      <c r="L144" s="2171"/>
      <c r="M144" s="2170"/>
      <c r="N144" s="2170"/>
      <c r="O144" s="2171"/>
      <c r="P144" s="2170"/>
      <c r="Q144" s="2170"/>
      <c r="R144" s="2172"/>
    </row>
    <row r="145" spans="2:18" s="2142" customFormat="1">
      <c r="B145" s="2170"/>
      <c r="C145" s="2170"/>
      <c r="D145" s="2170"/>
      <c r="E145" s="2170"/>
      <c r="F145" s="2170"/>
      <c r="G145" s="2171"/>
      <c r="H145" s="2170"/>
      <c r="I145" s="2171"/>
      <c r="J145" s="2170"/>
      <c r="K145" s="2170"/>
      <c r="L145" s="2171"/>
      <c r="M145" s="2170"/>
      <c r="N145" s="2170"/>
      <c r="O145" s="2171"/>
      <c r="P145" s="2170"/>
      <c r="Q145" s="2170"/>
      <c r="R145" s="2172"/>
    </row>
    <row r="146" spans="2:18" s="2142" customFormat="1">
      <c r="B146" s="2170"/>
      <c r="C146" s="2170"/>
      <c r="D146" s="2170"/>
      <c r="E146" s="2170"/>
      <c r="F146" s="2170"/>
      <c r="G146" s="2171"/>
      <c r="H146" s="2170"/>
      <c r="I146" s="2171"/>
      <c r="J146" s="2170"/>
      <c r="K146" s="2170"/>
      <c r="L146" s="2171"/>
      <c r="M146" s="2170"/>
      <c r="N146" s="2170"/>
      <c r="O146" s="2171"/>
      <c r="P146" s="2170"/>
      <c r="Q146" s="2170"/>
      <c r="R146" s="2172"/>
    </row>
    <row r="147" spans="2:18" s="2142" customFormat="1">
      <c r="B147" s="2170"/>
      <c r="C147" s="2170"/>
      <c r="D147" s="2170"/>
      <c r="E147" s="2170"/>
      <c r="F147" s="2170"/>
      <c r="G147" s="2171"/>
      <c r="H147" s="2170"/>
      <c r="I147" s="2171"/>
      <c r="J147" s="2170"/>
      <c r="K147" s="2170"/>
      <c r="L147" s="2171"/>
      <c r="M147" s="2170"/>
      <c r="N147" s="2170"/>
      <c r="O147" s="2171"/>
      <c r="P147" s="2170"/>
      <c r="Q147" s="2170"/>
      <c r="R147" s="2172"/>
    </row>
    <row r="148" spans="2:18" s="2142" customFormat="1">
      <c r="B148" s="2170"/>
      <c r="C148" s="2170"/>
      <c r="D148" s="2170"/>
      <c r="E148" s="2170"/>
      <c r="F148" s="2170"/>
      <c r="G148" s="2171"/>
      <c r="H148" s="2170"/>
      <c r="I148" s="2171"/>
      <c r="J148" s="2170"/>
      <c r="K148" s="2170"/>
      <c r="L148" s="2171"/>
      <c r="M148" s="2170"/>
      <c r="N148" s="2170"/>
      <c r="O148" s="2171"/>
      <c r="P148" s="2170"/>
      <c r="Q148" s="2170"/>
      <c r="R148" s="2172"/>
    </row>
    <row r="149" spans="2:18" s="2142" customFormat="1">
      <c r="B149" s="2170"/>
      <c r="C149" s="2170"/>
      <c r="D149" s="2170"/>
      <c r="E149" s="2170"/>
      <c r="F149" s="2170"/>
      <c r="G149" s="2171"/>
      <c r="H149" s="2170"/>
      <c r="I149" s="2171"/>
      <c r="J149" s="2170"/>
      <c r="K149" s="2170"/>
      <c r="L149" s="2171"/>
      <c r="M149" s="2170"/>
      <c r="N149" s="2170"/>
      <c r="O149" s="2171"/>
      <c r="P149" s="2170"/>
      <c r="Q149" s="2170"/>
      <c r="R149" s="2172"/>
    </row>
    <row r="150" spans="2:18" s="2142" customFormat="1">
      <c r="B150" s="2170"/>
      <c r="C150" s="2170"/>
      <c r="D150" s="2170"/>
      <c r="E150" s="2170"/>
      <c r="F150" s="2170"/>
      <c r="G150" s="2171"/>
      <c r="H150" s="2170"/>
      <c r="I150" s="2171"/>
      <c r="J150" s="2170"/>
      <c r="K150" s="2170"/>
      <c r="L150" s="2171"/>
      <c r="M150" s="2170"/>
      <c r="N150" s="2170"/>
      <c r="O150" s="2171"/>
      <c r="P150" s="2170"/>
      <c r="Q150" s="2170"/>
      <c r="R150" s="2172"/>
    </row>
    <row r="151" spans="2:18" s="2142" customFormat="1">
      <c r="B151" s="2170"/>
      <c r="C151" s="2170"/>
      <c r="D151" s="2170"/>
      <c r="E151" s="2170"/>
      <c r="F151" s="2170"/>
      <c r="G151" s="2171"/>
      <c r="H151" s="2170"/>
      <c r="I151" s="2171"/>
      <c r="J151" s="2170"/>
      <c r="K151" s="2170"/>
      <c r="L151" s="2171"/>
      <c r="M151" s="2170"/>
      <c r="N151" s="2170"/>
      <c r="O151" s="2171"/>
      <c r="P151" s="2170"/>
      <c r="Q151" s="2170"/>
      <c r="R151" s="2172"/>
    </row>
    <row r="152" spans="2:18" s="2142" customFormat="1">
      <c r="B152" s="2170"/>
      <c r="C152" s="2170"/>
      <c r="D152" s="2170"/>
      <c r="E152" s="2170"/>
      <c r="F152" s="2170"/>
      <c r="G152" s="2171"/>
      <c r="H152" s="2170"/>
      <c r="I152" s="2171"/>
      <c r="J152" s="2170"/>
      <c r="K152" s="2170"/>
      <c r="L152" s="2171"/>
      <c r="M152" s="2170"/>
      <c r="N152" s="2170"/>
      <c r="O152" s="2171"/>
      <c r="P152" s="2170"/>
      <c r="Q152" s="2170"/>
      <c r="R152" s="2172"/>
    </row>
    <row r="153" spans="2:18" s="2142" customFormat="1">
      <c r="B153" s="2170"/>
      <c r="C153" s="2170"/>
      <c r="D153" s="2170"/>
      <c r="E153" s="2170"/>
      <c r="F153" s="2170"/>
      <c r="G153" s="2171"/>
      <c r="H153" s="2170"/>
      <c r="I153" s="2171"/>
      <c r="J153" s="2170"/>
      <c r="K153" s="2170"/>
      <c r="L153" s="2171"/>
      <c r="M153" s="2170"/>
      <c r="N153" s="2170"/>
      <c r="O153" s="2171"/>
      <c r="P153" s="2170"/>
      <c r="Q153" s="2170"/>
      <c r="R153" s="2172"/>
    </row>
    <row r="154" spans="2:18" s="2142" customFormat="1">
      <c r="B154" s="2170"/>
      <c r="C154" s="2170"/>
      <c r="D154" s="2170"/>
      <c r="E154" s="2170"/>
      <c r="F154" s="2170"/>
      <c r="G154" s="2171"/>
      <c r="H154" s="2170"/>
      <c r="I154" s="2171"/>
      <c r="J154" s="2170"/>
      <c r="K154" s="2170"/>
      <c r="L154" s="2171"/>
      <c r="M154" s="2170"/>
      <c r="N154" s="2170"/>
      <c r="O154" s="2171"/>
      <c r="P154" s="2170"/>
      <c r="Q154" s="2170"/>
      <c r="R154" s="2172"/>
    </row>
    <row r="155" spans="2:18" s="2142" customFormat="1">
      <c r="B155" s="2170"/>
      <c r="C155" s="2170"/>
      <c r="D155" s="2170"/>
      <c r="E155" s="2170"/>
      <c r="F155" s="2170"/>
      <c r="G155" s="2171"/>
      <c r="H155" s="2170"/>
      <c r="I155" s="2171"/>
      <c r="J155" s="2170"/>
      <c r="K155" s="2170"/>
      <c r="L155" s="2171"/>
      <c r="M155" s="2170"/>
      <c r="N155" s="2170"/>
      <c r="O155" s="2171"/>
      <c r="P155" s="2170"/>
      <c r="Q155" s="2170"/>
      <c r="R155" s="2172"/>
    </row>
    <row r="156" spans="2:18" s="2142" customFormat="1">
      <c r="B156" s="2170"/>
      <c r="C156" s="2170"/>
      <c r="D156" s="2170"/>
      <c r="E156" s="2170"/>
      <c r="F156" s="2170"/>
      <c r="G156" s="2171"/>
      <c r="H156" s="2170"/>
      <c r="I156" s="2171"/>
      <c r="J156" s="2170"/>
      <c r="K156" s="2170"/>
      <c r="L156" s="2171"/>
      <c r="M156" s="2170"/>
      <c r="N156" s="2170"/>
      <c r="O156" s="2171"/>
      <c r="P156" s="2170"/>
      <c r="Q156" s="2170"/>
      <c r="R156" s="2172"/>
    </row>
    <row r="157" spans="2:18" s="2142" customFormat="1">
      <c r="B157" s="2170"/>
      <c r="C157" s="2170"/>
      <c r="D157" s="2170"/>
      <c r="E157" s="2170"/>
      <c r="F157" s="2170"/>
      <c r="G157" s="2171"/>
      <c r="H157" s="2170"/>
      <c r="I157" s="2171"/>
      <c r="J157" s="2170"/>
      <c r="K157" s="2170"/>
      <c r="L157" s="2171"/>
      <c r="M157" s="2170"/>
      <c r="N157" s="2170"/>
      <c r="O157" s="2171"/>
      <c r="P157" s="2170"/>
      <c r="Q157" s="2170"/>
      <c r="R157" s="2172"/>
    </row>
    <row r="158" spans="2:18" s="2142" customFormat="1">
      <c r="B158" s="2170"/>
      <c r="C158" s="2170"/>
      <c r="D158" s="2170"/>
      <c r="E158" s="2170"/>
      <c r="F158" s="2170"/>
      <c r="G158" s="2171"/>
      <c r="H158" s="2170"/>
      <c r="I158" s="2171"/>
      <c r="J158" s="2170"/>
      <c r="K158" s="2170"/>
      <c r="L158" s="2171"/>
      <c r="M158" s="2170"/>
      <c r="N158" s="2170"/>
      <c r="O158" s="2171"/>
      <c r="P158" s="2170"/>
      <c r="Q158" s="2170"/>
      <c r="R158" s="2172"/>
    </row>
    <row r="159" spans="2:18" s="2142" customFormat="1">
      <c r="B159" s="2170"/>
      <c r="C159" s="2170"/>
      <c r="D159" s="2170"/>
      <c r="E159" s="2170"/>
      <c r="F159" s="2170"/>
      <c r="G159" s="2171"/>
      <c r="H159" s="2170"/>
      <c r="I159" s="2171"/>
      <c r="J159" s="2170"/>
      <c r="K159" s="2170"/>
      <c r="L159" s="2171"/>
      <c r="M159" s="2170"/>
      <c r="N159" s="2170"/>
      <c r="O159" s="2171"/>
      <c r="P159" s="2170"/>
      <c r="Q159" s="2170"/>
      <c r="R159" s="2172"/>
    </row>
    <row r="160" spans="2:18" s="2142" customFormat="1">
      <c r="B160" s="2170"/>
      <c r="C160" s="2170"/>
      <c r="D160" s="2170"/>
      <c r="E160" s="2170"/>
      <c r="F160" s="2170"/>
      <c r="G160" s="2171"/>
      <c r="H160" s="2170"/>
      <c r="I160" s="2171"/>
      <c r="J160" s="2170"/>
      <c r="K160" s="2170"/>
      <c r="L160" s="2171"/>
      <c r="M160" s="2170"/>
      <c r="N160" s="2170"/>
      <c r="O160" s="2171"/>
      <c r="P160" s="2170"/>
      <c r="Q160" s="2170"/>
      <c r="R160" s="2172"/>
    </row>
    <row r="161" spans="2:18" s="2142" customFormat="1">
      <c r="B161" s="2170"/>
      <c r="C161" s="2170"/>
      <c r="D161" s="2170"/>
      <c r="E161" s="2170"/>
      <c r="F161" s="2170"/>
      <c r="G161" s="2171"/>
      <c r="H161" s="2170"/>
      <c r="I161" s="2171"/>
      <c r="J161" s="2170"/>
      <c r="K161" s="2170"/>
      <c r="L161" s="2171"/>
      <c r="M161" s="2170"/>
      <c r="N161" s="2170"/>
      <c r="O161" s="2171"/>
      <c r="P161" s="2170"/>
      <c r="Q161" s="2170"/>
      <c r="R161" s="2172"/>
    </row>
    <row r="162" spans="2:18" s="2142" customFormat="1">
      <c r="B162" s="2170"/>
      <c r="C162" s="2170"/>
      <c r="D162" s="2170"/>
      <c r="E162" s="2170"/>
      <c r="F162" s="2170"/>
      <c r="G162" s="2171"/>
      <c r="H162" s="2170"/>
      <c r="I162" s="2171"/>
      <c r="J162" s="2170"/>
      <c r="K162" s="2170"/>
      <c r="L162" s="2171"/>
      <c r="M162" s="2170"/>
      <c r="N162" s="2170"/>
      <c r="O162" s="2171"/>
      <c r="P162" s="2170"/>
      <c r="Q162" s="2170"/>
      <c r="R162" s="2172"/>
    </row>
    <row r="163" spans="2:18" s="2142" customFormat="1">
      <c r="B163" s="2170"/>
      <c r="C163" s="2170"/>
      <c r="D163" s="2170"/>
      <c r="E163" s="2170"/>
      <c r="F163" s="2170"/>
      <c r="G163" s="2171"/>
      <c r="H163" s="2170"/>
      <c r="I163" s="2171"/>
      <c r="J163" s="2170"/>
      <c r="K163" s="2170"/>
      <c r="L163" s="2171"/>
      <c r="M163" s="2170"/>
      <c r="N163" s="2170"/>
      <c r="O163" s="2171"/>
      <c r="P163" s="2170"/>
      <c r="Q163" s="2170"/>
      <c r="R163" s="2172"/>
    </row>
    <row r="164" spans="2:18" s="2142" customFormat="1">
      <c r="B164" s="2170"/>
      <c r="C164" s="2170"/>
      <c r="D164" s="2170"/>
      <c r="E164" s="2170"/>
      <c r="F164" s="2170"/>
      <c r="G164" s="2171"/>
      <c r="H164" s="2170"/>
      <c r="I164" s="2171"/>
      <c r="J164" s="2170"/>
      <c r="K164" s="2170"/>
      <c r="L164" s="2171"/>
      <c r="M164" s="2170"/>
      <c r="N164" s="2170"/>
      <c r="O164" s="2171"/>
      <c r="P164" s="2170"/>
      <c r="Q164" s="2170"/>
      <c r="R164" s="2172"/>
    </row>
    <row r="165" spans="2:18" s="2142" customFormat="1">
      <c r="B165" s="2170"/>
      <c r="C165" s="2170"/>
      <c r="D165" s="2170"/>
      <c r="E165" s="2170"/>
      <c r="F165" s="2170"/>
      <c r="G165" s="2171"/>
      <c r="H165" s="2170"/>
      <c r="I165" s="2171"/>
      <c r="J165" s="2170"/>
      <c r="K165" s="2170"/>
      <c r="L165" s="2171"/>
      <c r="M165" s="2170"/>
      <c r="N165" s="2170"/>
      <c r="O165" s="2171"/>
      <c r="P165" s="2170"/>
      <c r="Q165" s="2170"/>
      <c r="R165" s="2172"/>
    </row>
    <row r="166" spans="2:18" s="2142" customFormat="1">
      <c r="B166" s="2170"/>
      <c r="C166" s="2170"/>
      <c r="D166" s="2170"/>
      <c r="E166" s="2170"/>
      <c r="F166" s="2170"/>
      <c r="G166" s="2171"/>
      <c r="H166" s="2170"/>
      <c r="I166" s="2171"/>
      <c r="J166" s="2170"/>
      <c r="K166" s="2170"/>
      <c r="L166" s="2171"/>
      <c r="M166" s="2170"/>
      <c r="N166" s="2170"/>
      <c r="O166" s="2171"/>
      <c r="P166" s="2170"/>
      <c r="Q166" s="2170"/>
      <c r="R166" s="2172"/>
    </row>
    <row r="167" spans="2:18" s="2142" customFormat="1">
      <c r="B167" s="2170"/>
      <c r="C167" s="2170"/>
      <c r="D167" s="2170"/>
      <c r="E167" s="2170"/>
      <c r="F167" s="2170"/>
      <c r="G167" s="2171"/>
      <c r="H167" s="2170"/>
      <c r="I167" s="2171"/>
      <c r="J167" s="2170"/>
      <c r="K167" s="2170"/>
      <c r="L167" s="2171"/>
      <c r="M167" s="2170"/>
      <c r="N167" s="2170"/>
      <c r="O167" s="2171"/>
      <c r="P167" s="2170"/>
      <c r="Q167" s="2170"/>
      <c r="R167" s="2172"/>
    </row>
    <row r="168" spans="2:18" s="2142" customFormat="1">
      <c r="B168" s="2170"/>
      <c r="C168" s="2170"/>
      <c r="D168" s="2170"/>
      <c r="E168" s="2170"/>
      <c r="F168" s="2170"/>
      <c r="G168" s="2171"/>
      <c r="H168" s="2170"/>
      <c r="I168" s="2171"/>
      <c r="J168" s="2170"/>
      <c r="K168" s="2170"/>
      <c r="L168" s="2171"/>
      <c r="M168" s="2170"/>
      <c r="N168" s="2170"/>
      <c r="O168" s="2171"/>
      <c r="P168" s="2170"/>
      <c r="Q168" s="2170"/>
      <c r="R168" s="2172"/>
    </row>
    <row r="169" spans="2:18" s="2142" customFormat="1">
      <c r="B169" s="2170"/>
      <c r="C169" s="2170"/>
      <c r="D169" s="2170"/>
      <c r="E169" s="2170"/>
      <c r="F169" s="2170"/>
      <c r="G169" s="2171"/>
      <c r="H169" s="2170"/>
      <c r="I169" s="2171"/>
      <c r="J169" s="2170"/>
      <c r="K169" s="2170"/>
      <c r="L169" s="2171"/>
      <c r="M169" s="2170"/>
      <c r="N169" s="2170"/>
      <c r="O169" s="2171"/>
      <c r="P169" s="2170"/>
      <c r="Q169" s="2170"/>
      <c r="R169" s="2172"/>
    </row>
    <row r="170" spans="2:18" s="2142" customFormat="1">
      <c r="B170" s="2170"/>
      <c r="C170" s="2170"/>
      <c r="D170" s="2170"/>
      <c r="E170" s="2170"/>
      <c r="F170" s="2170"/>
      <c r="G170" s="2171"/>
      <c r="H170" s="2170"/>
      <c r="I170" s="2171"/>
      <c r="J170" s="2170"/>
      <c r="K170" s="2170"/>
      <c r="L170" s="2171"/>
      <c r="M170" s="2170"/>
      <c r="N170" s="2170"/>
      <c r="O170" s="2171"/>
      <c r="P170" s="2170"/>
      <c r="Q170" s="2170"/>
      <c r="R170" s="2172"/>
    </row>
    <row r="171" spans="2:18" s="2142" customFormat="1">
      <c r="B171" s="2170"/>
      <c r="C171" s="2170"/>
      <c r="D171" s="2170"/>
      <c r="E171" s="2170"/>
      <c r="F171" s="2170"/>
      <c r="G171" s="2171"/>
      <c r="H171" s="2170"/>
      <c r="I171" s="2171"/>
      <c r="J171" s="2170"/>
      <c r="K171" s="2170"/>
      <c r="L171" s="2171"/>
      <c r="M171" s="2170"/>
      <c r="N171" s="2170"/>
      <c r="O171" s="2171"/>
      <c r="P171" s="2170"/>
      <c r="Q171" s="2170"/>
      <c r="R171" s="2172"/>
    </row>
    <row r="172" spans="2:18" s="2142" customFormat="1">
      <c r="B172" s="2170"/>
      <c r="C172" s="2170"/>
      <c r="D172" s="2170"/>
      <c r="E172" s="2170"/>
      <c r="F172" s="2170"/>
      <c r="G172" s="2171"/>
      <c r="H172" s="2170"/>
      <c r="I172" s="2171"/>
      <c r="J172" s="2170"/>
      <c r="K172" s="2170"/>
      <c r="L172" s="2171"/>
      <c r="M172" s="2170"/>
      <c r="N172" s="2170"/>
      <c r="O172" s="2171"/>
      <c r="P172" s="2170"/>
      <c r="Q172" s="2170"/>
      <c r="R172" s="2172"/>
    </row>
    <row r="173" spans="2:18" s="2142" customFormat="1">
      <c r="B173" s="2170"/>
      <c r="C173" s="2170"/>
      <c r="D173" s="2170"/>
      <c r="E173" s="2170"/>
      <c r="F173" s="2170"/>
      <c r="G173" s="2171"/>
      <c r="H173" s="2170"/>
      <c r="I173" s="2171"/>
      <c r="J173" s="2170"/>
      <c r="K173" s="2170"/>
      <c r="L173" s="2171"/>
      <c r="M173" s="2170"/>
      <c r="N173" s="2170"/>
      <c r="O173" s="2171"/>
      <c r="P173" s="2170"/>
      <c r="Q173" s="2170"/>
      <c r="R173" s="2172"/>
    </row>
    <row r="174" spans="2:18" s="2142" customFormat="1">
      <c r="B174" s="2170"/>
      <c r="C174" s="2170"/>
      <c r="D174" s="2170"/>
      <c r="E174" s="2170"/>
      <c r="F174" s="2170"/>
      <c r="G174" s="2171"/>
      <c r="H174" s="2170"/>
      <c r="I174" s="2171"/>
      <c r="J174" s="2170"/>
      <c r="K174" s="2170"/>
      <c r="L174" s="2171"/>
      <c r="M174" s="2170"/>
      <c r="N174" s="2170"/>
      <c r="O174" s="2171"/>
      <c r="P174" s="2170"/>
      <c r="Q174" s="2170"/>
      <c r="R174" s="2172"/>
    </row>
    <row r="175" spans="2:18" s="2142" customFormat="1">
      <c r="B175" s="2170"/>
      <c r="C175" s="2170"/>
      <c r="D175" s="2170"/>
      <c r="E175" s="2170"/>
      <c r="F175" s="2170"/>
      <c r="G175" s="2171"/>
      <c r="H175" s="2170"/>
      <c r="I175" s="2171"/>
      <c r="J175" s="2170"/>
      <c r="K175" s="2170"/>
      <c r="L175" s="2171"/>
      <c r="M175" s="2170"/>
      <c r="N175" s="2170"/>
      <c r="O175" s="2171"/>
      <c r="P175" s="2170"/>
      <c r="Q175" s="2170"/>
      <c r="R175" s="2172"/>
    </row>
    <row r="176" spans="2:18" s="2142" customFormat="1">
      <c r="B176" s="2170"/>
      <c r="C176" s="2170"/>
      <c r="D176" s="2170"/>
      <c r="E176" s="2170"/>
      <c r="F176" s="2170"/>
      <c r="G176" s="2171"/>
      <c r="H176" s="2170"/>
      <c r="I176" s="2171"/>
      <c r="J176" s="2170"/>
      <c r="K176" s="2170"/>
      <c r="L176" s="2171"/>
      <c r="M176" s="2170"/>
      <c r="N176" s="2170"/>
      <c r="O176" s="2171"/>
      <c r="P176" s="2170"/>
      <c r="Q176" s="2170"/>
      <c r="R176" s="2172"/>
    </row>
    <row r="177" spans="1:18" s="2142" customFormat="1">
      <c r="B177" s="2170"/>
      <c r="C177" s="2170"/>
      <c r="D177" s="2170"/>
      <c r="E177" s="2170"/>
      <c r="F177" s="2170"/>
      <c r="G177" s="2171"/>
      <c r="H177" s="2170"/>
      <c r="I177" s="2171"/>
      <c r="J177" s="2170"/>
      <c r="K177" s="2170"/>
      <c r="L177" s="2171"/>
      <c r="M177" s="2170"/>
      <c r="N177" s="2170"/>
      <c r="O177" s="2171"/>
      <c r="P177" s="2170"/>
      <c r="Q177" s="2170"/>
      <c r="R177" s="2172"/>
    </row>
    <row r="178" spans="1:18" s="2142" customFormat="1">
      <c r="B178" s="2170"/>
      <c r="C178" s="2170"/>
      <c r="D178" s="2170"/>
      <c r="E178" s="2170"/>
      <c r="F178" s="2170"/>
      <c r="G178" s="2171"/>
      <c r="H178" s="2170"/>
      <c r="I178" s="2171"/>
      <c r="J178" s="2170"/>
      <c r="K178" s="2170"/>
      <c r="L178" s="2171"/>
      <c r="M178" s="2170"/>
      <c r="N178" s="2170"/>
      <c r="O178" s="2171"/>
      <c r="P178" s="2170"/>
      <c r="Q178" s="2170"/>
      <c r="R178" s="2172"/>
    </row>
    <row r="179" spans="1:18" s="2142" customFormat="1">
      <c r="B179" s="2170"/>
      <c r="C179" s="2170"/>
      <c r="D179" s="2170"/>
      <c r="E179" s="2170"/>
      <c r="F179" s="2170"/>
      <c r="G179" s="2171"/>
      <c r="H179" s="2170"/>
      <c r="I179" s="2171"/>
      <c r="J179" s="2170"/>
      <c r="K179" s="2170"/>
      <c r="L179" s="2171"/>
      <c r="M179" s="2170"/>
      <c r="N179" s="2170"/>
      <c r="O179" s="2171"/>
      <c r="P179" s="2170"/>
      <c r="Q179" s="2170"/>
      <c r="R179" s="2172"/>
    </row>
    <row r="180" spans="1:18" s="2142" customFormat="1">
      <c r="B180" s="2170"/>
      <c r="C180" s="2170"/>
      <c r="D180" s="2170"/>
      <c r="E180" s="2170"/>
      <c r="F180" s="2170"/>
      <c r="G180" s="2171"/>
      <c r="H180" s="2170"/>
      <c r="I180" s="2171"/>
      <c r="J180" s="2170"/>
      <c r="K180" s="2170"/>
      <c r="L180" s="2171"/>
      <c r="M180" s="2170"/>
      <c r="N180" s="2170"/>
      <c r="O180" s="2171"/>
      <c r="P180" s="2170"/>
      <c r="Q180" s="2170"/>
      <c r="R180" s="2172"/>
    </row>
    <row r="181" spans="1:18" s="2142" customFormat="1">
      <c r="B181" s="2170"/>
      <c r="C181" s="2170"/>
      <c r="D181" s="2170"/>
      <c r="E181" s="2170"/>
      <c r="F181" s="2170"/>
      <c r="G181" s="2171"/>
      <c r="H181" s="2170"/>
      <c r="I181" s="2171"/>
      <c r="J181" s="2170"/>
      <c r="K181" s="2170"/>
      <c r="L181" s="2171"/>
      <c r="M181" s="2170"/>
      <c r="N181" s="2170"/>
      <c r="O181" s="2171"/>
      <c r="P181" s="2170"/>
      <c r="Q181" s="2170"/>
      <c r="R181" s="2172"/>
    </row>
    <row r="182" spans="1:18" s="2142" customFormat="1">
      <c r="B182" s="2170"/>
      <c r="C182" s="2170"/>
      <c r="D182" s="2170"/>
      <c r="E182" s="2170"/>
      <c r="F182" s="2170"/>
      <c r="G182" s="2171"/>
      <c r="H182" s="2170"/>
      <c r="I182" s="2171"/>
      <c r="J182" s="2170"/>
      <c r="K182" s="2170"/>
      <c r="L182" s="2171"/>
      <c r="M182" s="2170"/>
      <c r="N182" s="2170"/>
      <c r="O182" s="2171"/>
      <c r="P182" s="2170"/>
      <c r="Q182" s="2170"/>
      <c r="R182" s="2172"/>
    </row>
    <row r="183" spans="1:18" s="2142" customFormat="1">
      <c r="B183" s="2170"/>
      <c r="C183" s="2170"/>
      <c r="D183" s="2170"/>
      <c r="E183" s="2170"/>
      <c r="F183" s="2170"/>
      <c r="G183" s="2171"/>
      <c r="H183" s="2170"/>
      <c r="I183" s="2171"/>
      <c r="J183" s="2170"/>
      <c r="K183" s="2170"/>
      <c r="L183" s="2171"/>
      <c r="M183" s="2170"/>
      <c r="N183" s="2170"/>
      <c r="O183" s="2171"/>
      <c r="P183" s="2170"/>
      <c r="Q183" s="2170"/>
      <c r="R183" s="2172"/>
    </row>
    <row r="184" spans="1:18" s="2142" customFormat="1">
      <c r="B184" s="2170"/>
      <c r="C184" s="2170"/>
      <c r="D184" s="2170"/>
      <c r="E184" s="2170"/>
      <c r="F184" s="2170"/>
      <c r="G184" s="2171"/>
      <c r="H184" s="2170"/>
      <c r="I184" s="2171"/>
      <c r="J184" s="2170"/>
      <c r="K184" s="2170"/>
      <c r="L184" s="2171"/>
      <c r="M184" s="2170"/>
      <c r="N184" s="2170"/>
      <c r="O184" s="2171"/>
      <c r="P184" s="2170"/>
      <c r="Q184" s="2170"/>
      <c r="R184" s="2172"/>
    </row>
    <row r="185" spans="1:18" s="214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2"/>
      <c r="B186" s="2170"/>
      <c r="C186" s="2170"/>
      <c r="E186" s="2170"/>
      <c r="F186" s="2170"/>
      <c r="G186" s="2171"/>
    </row>
    <row r="187" spans="1:18">
      <c r="A187" s="2142"/>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0" sqref="B20"/>
    </sheetView>
  </sheetViews>
  <sheetFormatPr defaultColWidth="14.625" defaultRowHeight="13.5"/>
  <cols>
    <col min="1" max="1" width="24.375" customWidth="1"/>
  </cols>
  <sheetData>
    <row r="1" spans="1:9" ht="16.5">
      <c r="A1" s="1830" t="s">
        <v>1225</v>
      </c>
      <c r="B1" s="1830">
        <f>SUM(B14:B23)</f>
        <v>66.209999999999994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43339</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666.36389999999994</v>
      </c>
      <c r="C5" s="1830">
        <f ca="1">ROUND(B5*10000/$B$1,0)</f>
        <v>100644</v>
      </c>
      <c r="D5" s="1830" t="e">
        <f ca="1">ROUND(B5*10000/$B$2,0)</f>
        <v>#DIV/0!</v>
      </c>
      <c r="E5" s="1831"/>
      <c r="F5" s="1835"/>
      <c r="G5" s="1835"/>
    </row>
    <row r="6" spans="1:9" ht="16.5">
      <c r="A6" s="1830" t="s">
        <v>1233</v>
      </c>
      <c r="B6" s="1830">
        <f ca="1">SUM(G14:G23)</f>
        <v>666.26059999999995</v>
      </c>
      <c r="C6" s="1830">
        <f ca="1">ROUND(B6*10000/$B$1,0)</f>
        <v>100628</v>
      </c>
      <c r="D6" s="1830" t="e">
        <f ca="1">ROUND(B6*10000/$B$2,0)</f>
        <v>#DIV/0!</v>
      </c>
      <c r="E6" s="1831"/>
      <c r="F6" s="1835"/>
      <c r="G6" s="1835"/>
    </row>
    <row r="7" spans="1:9" ht="16.5">
      <c r="A7" s="1830" t="s">
        <v>1234</v>
      </c>
      <c r="B7" s="1830" t="e">
        <f>SUM(H14:H23)</f>
        <v>#VALUE!</v>
      </c>
      <c r="C7" s="1830" t="e">
        <f>ROUND(B7*10000/$B$1,0)</f>
        <v>#VALUE!</v>
      </c>
      <c r="D7" s="1830" t="e">
        <f>ROUND(B7*10000/$B$2,0)</f>
        <v>#VALUE!</v>
      </c>
      <c r="E7" s="1831"/>
      <c r="F7" s="1835"/>
      <c r="G7" s="1835"/>
    </row>
    <row r="8" spans="1:9" ht="16.5">
      <c r="A8" s="1830" t="s">
        <v>1235</v>
      </c>
      <c r="B8" s="1830" t="e">
        <f>SUM(I14:I23)</f>
        <v>#VALUE!</v>
      </c>
      <c r="C8" s="1830" t="e">
        <f>ROUND(B8*10000/$B$1,0)</f>
        <v>#VALUE!</v>
      </c>
      <c r="D8" s="1830" t="e">
        <f>ROUND(B8*10000/$B$2,0)</f>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2822</v>
      </c>
      <c r="B14" s="1834">
        <f>项目基本情况!C12</f>
        <v>66.209999999999994</v>
      </c>
      <c r="C14" s="1834">
        <f>项目基本情况!C13</f>
        <v>0</v>
      </c>
      <c r="D14" s="1834">
        <f ca="1">IF('数据-取费表'!B3="万元",IF(A14="估价对象1（结果表）",结果表!H121,'结果表 (1修多)'!H124),IF(A14="估价对象1（结果表）",结果表!H121,'结果表 (1修多)'!H124)/10000)</f>
        <v>666.36389999999994</v>
      </c>
      <c r="E14" s="1834">
        <f ca="1">ROUND(D14*10000/B14,0)</f>
        <v>100644</v>
      </c>
      <c r="F14" s="1834" t="e">
        <f ca="1">ROUND(D14*10000/C14,0)</f>
        <v>#DIV/0!</v>
      </c>
      <c r="G14" s="1834">
        <f ca="1">IF('数据-取费表'!B3="万元",IF(A14="估价对象1（结果表）",结果表!D125,'结果表 (1修多)'!D128),IF(A14="估价对象1（结果表）",结果表!D125,'结果表 (1修多)'!D128)/10000)</f>
        <v>666.26059999999995</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0">ROUND(D15*10000/B15,0)</f>
        <v>#DIV/0!</v>
      </c>
      <c r="F15" s="1834" t="e">
        <f t="shared" ref="F15:F23" si="1">ROUND(D15*10000/C15,0)</f>
        <v>#DIV/0!</v>
      </c>
      <c r="G15" s="1839"/>
      <c r="H15" s="1839"/>
      <c r="I15" s="1838"/>
    </row>
    <row r="16" spans="1:9" ht="16.5">
      <c r="A16" s="1832" t="s">
        <v>1243</v>
      </c>
      <c r="B16" s="1838"/>
      <c r="C16" s="1838"/>
      <c r="D16" s="1838"/>
      <c r="E16" s="1834" t="e">
        <f t="shared" si="0"/>
        <v>#DIV/0!</v>
      </c>
      <c r="F16" s="1834" t="e">
        <f t="shared" si="1"/>
        <v>#DIV/0!</v>
      </c>
      <c r="G16" s="1839"/>
      <c r="H16" s="1839"/>
      <c r="I16" s="1838"/>
    </row>
    <row r="17" spans="1:9" ht="16.5">
      <c r="A17" s="1832" t="s">
        <v>1244</v>
      </c>
      <c r="B17" s="1838"/>
      <c r="C17" s="1838"/>
      <c r="D17" s="1838"/>
      <c r="E17" s="1834" t="e">
        <f t="shared" si="0"/>
        <v>#DIV/0!</v>
      </c>
      <c r="F17" s="1834" t="e">
        <f t="shared" si="1"/>
        <v>#DIV/0!</v>
      </c>
      <c r="G17" s="1839"/>
      <c r="H17" s="1839"/>
      <c r="I17" s="1838"/>
    </row>
    <row r="18" spans="1:9" ht="16.5">
      <c r="A18" s="1832" t="s">
        <v>1245</v>
      </c>
      <c r="B18" s="1838"/>
      <c r="C18" s="1838"/>
      <c r="D18" s="1838"/>
      <c r="E18" s="1834" t="e">
        <f t="shared" si="0"/>
        <v>#DIV/0!</v>
      </c>
      <c r="F18" s="1834" t="e">
        <f t="shared" si="1"/>
        <v>#DIV/0!</v>
      </c>
      <c r="G18" s="1838"/>
      <c r="H18" s="1838"/>
      <c r="I18" s="1838"/>
    </row>
    <row r="19" spans="1:9" ht="16.5">
      <c r="A19" s="1832" t="s">
        <v>1246</v>
      </c>
      <c r="B19" s="1838"/>
      <c r="C19" s="1838"/>
      <c r="D19" s="1838"/>
      <c r="E19" s="1834" t="e">
        <f t="shared" si="0"/>
        <v>#DIV/0!</v>
      </c>
      <c r="F19" s="1834" t="e">
        <f t="shared" si="1"/>
        <v>#DIV/0!</v>
      </c>
      <c r="G19" s="1838"/>
      <c r="H19" s="1838"/>
      <c r="I19" s="1838"/>
    </row>
    <row r="20" spans="1:9" ht="16.5">
      <c r="A20" s="1832" t="s">
        <v>1247</v>
      </c>
      <c r="B20" s="1838"/>
      <c r="C20" s="1838"/>
      <c r="D20" s="1838"/>
      <c r="E20" s="1834" t="e">
        <f t="shared" si="0"/>
        <v>#DIV/0!</v>
      </c>
      <c r="F20" s="1834" t="e">
        <f t="shared" si="1"/>
        <v>#DIV/0!</v>
      </c>
      <c r="G20" s="1838"/>
      <c r="H20" s="1838"/>
      <c r="I20" s="1838"/>
    </row>
    <row r="21" spans="1:9" ht="16.5">
      <c r="A21" s="1832" t="s">
        <v>1248</v>
      </c>
      <c r="B21" s="1838"/>
      <c r="C21" s="1838"/>
      <c r="D21" s="1838"/>
      <c r="E21" s="1834" t="e">
        <f t="shared" si="0"/>
        <v>#DIV/0!</v>
      </c>
      <c r="F21" s="1834" t="e">
        <f t="shared" si="1"/>
        <v>#DIV/0!</v>
      </c>
      <c r="G21" s="1838"/>
      <c r="H21" s="1838"/>
      <c r="I21" s="1838"/>
    </row>
    <row r="22" spans="1:9" ht="16.5">
      <c r="A22" s="1832" t="s">
        <v>1249</v>
      </c>
      <c r="B22" s="1838"/>
      <c r="C22" s="1838"/>
      <c r="D22" s="1838"/>
      <c r="E22" s="1834" t="e">
        <f t="shared" si="0"/>
        <v>#DIV/0!</v>
      </c>
      <c r="F22" s="1834" t="e">
        <f t="shared" si="1"/>
        <v>#DIV/0!</v>
      </c>
      <c r="G22" s="1838"/>
      <c r="H22" s="1838"/>
      <c r="I22" s="1838"/>
    </row>
    <row r="23" spans="1:9" ht="16.5">
      <c r="A23" s="1832" t="s">
        <v>1250</v>
      </c>
      <c r="B23" s="1838"/>
      <c r="C23" s="1838"/>
      <c r="D23" s="1838"/>
      <c r="E23" s="1830" t="e">
        <f t="shared" si="0"/>
        <v>#DIV/0!</v>
      </c>
      <c r="F23" s="1830" t="e">
        <f t="shared" si="1"/>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34" sqref="H34"/>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1771</v>
      </c>
      <c r="B1" s="2196"/>
      <c r="C1" s="2196"/>
      <c r="D1" s="2196"/>
      <c r="E1" s="2196"/>
      <c r="F1" s="2196"/>
      <c r="G1" s="2196"/>
      <c r="H1" s="2196"/>
      <c r="I1" s="2196"/>
    </row>
    <row r="2" spans="1:12" ht="21.75" customHeight="1">
      <c r="A2" s="2947" t="str">
        <f>项目基本情况!B1</f>
        <v>北京市预评估</v>
      </c>
      <c r="B2" s="2947"/>
      <c r="C2" s="2947"/>
      <c r="D2" s="2947"/>
      <c r="E2" s="2947"/>
      <c r="F2" s="2947"/>
      <c r="G2" s="2947"/>
      <c r="H2" s="2947"/>
      <c r="I2" s="2947"/>
    </row>
    <row r="3" spans="1:12" ht="12.75">
      <c r="A3" s="2953" t="s">
        <v>1772</v>
      </c>
      <c r="B3" s="2954"/>
      <c r="C3" s="2954"/>
      <c r="D3" s="2954"/>
      <c r="E3" s="2954"/>
      <c r="F3" s="2954"/>
      <c r="G3" s="2954"/>
      <c r="H3" s="2954"/>
      <c r="I3" s="2954"/>
    </row>
    <row r="4" spans="1:12" ht="14.25">
      <c r="A4" s="2198" t="s">
        <v>1773</v>
      </c>
      <c r="B4" s="2199" t="s">
        <v>1774</v>
      </c>
      <c r="C4" s="2200" t="s">
        <v>2851</v>
      </c>
      <c r="D4" s="2200" t="s">
        <v>2852</v>
      </c>
      <c r="E4" s="2958" t="s">
        <v>1775</v>
      </c>
      <c r="F4" s="2959"/>
      <c r="G4" s="2959"/>
      <c r="H4" s="2959"/>
      <c r="I4" s="2960"/>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48" t="s">
        <v>1776</v>
      </c>
      <c r="B5" s="2893">
        <v>25</v>
      </c>
      <c r="C5" s="2955">
        <v>2</v>
      </c>
      <c r="D5" s="2952">
        <v>8</v>
      </c>
      <c r="E5" s="56" t="s">
        <v>1777</v>
      </c>
      <c r="F5" s="2201"/>
      <c r="G5" s="2201"/>
      <c r="H5" s="2201"/>
      <c r="I5" s="2202"/>
    </row>
    <row r="6" spans="1:12" ht="12.75">
      <c r="A6" s="2948"/>
      <c r="B6" s="2893"/>
      <c r="C6" s="2956"/>
      <c r="D6" s="2952"/>
      <c r="E6" s="56" t="s">
        <v>1778</v>
      </c>
      <c r="F6" s="2201"/>
      <c r="G6" s="2201"/>
      <c r="H6" s="2201"/>
      <c r="I6" s="2202"/>
    </row>
    <row r="7" spans="1:12" ht="12.75">
      <c r="A7" s="2948"/>
      <c r="B7" s="2893"/>
      <c r="C7" s="2957"/>
      <c r="D7" s="2952"/>
      <c r="E7" s="56" t="s">
        <v>1779</v>
      </c>
      <c r="F7" s="2201"/>
      <c r="G7" s="2201"/>
      <c r="H7" s="2201"/>
      <c r="I7" s="2202"/>
    </row>
    <row r="8" spans="1:12" ht="12.75">
      <c r="A8" s="2948" t="s">
        <v>1780</v>
      </c>
      <c r="B8" s="2893">
        <v>15</v>
      </c>
      <c r="C8" s="2955"/>
      <c r="D8" s="2952"/>
      <c r="E8" s="56" t="s">
        <v>1781</v>
      </c>
      <c r="F8" s="2201"/>
      <c r="G8" s="2201"/>
      <c r="H8" s="2201"/>
      <c r="I8" s="2202"/>
    </row>
    <row r="9" spans="1:12" ht="12.75">
      <c r="A9" s="2948"/>
      <c r="B9" s="2893"/>
      <c r="C9" s="2957"/>
      <c r="D9" s="2952"/>
      <c r="E9" s="56" t="s">
        <v>1782</v>
      </c>
      <c r="F9" s="2201"/>
      <c r="G9" s="2201"/>
      <c r="H9" s="2201"/>
      <c r="I9" s="2202"/>
    </row>
    <row r="10" spans="1:12" ht="12.75">
      <c r="A10" s="2948" t="s">
        <v>1783</v>
      </c>
      <c r="B10" s="2893">
        <v>15</v>
      </c>
      <c r="C10" s="2955"/>
      <c r="D10" s="2952"/>
      <c r="E10" s="56" t="s">
        <v>1784</v>
      </c>
      <c r="F10" s="2201"/>
      <c r="G10" s="2201"/>
      <c r="H10" s="2201"/>
      <c r="I10" s="2202"/>
    </row>
    <row r="11" spans="1:12" ht="12.75">
      <c r="A11" s="2948"/>
      <c r="B11" s="2893"/>
      <c r="C11" s="2957"/>
      <c r="D11" s="2952"/>
      <c r="E11" s="56" t="s">
        <v>1785</v>
      </c>
      <c r="F11" s="2201"/>
      <c r="G11" s="2201"/>
      <c r="H11" s="2201"/>
      <c r="I11" s="2202"/>
    </row>
    <row r="12" spans="1:12" ht="12.75">
      <c r="A12" s="2948" t="s">
        <v>1786</v>
      </c>
      <c r="B12" s="2893">
        <v>15</v>
      </c>
      <c r="C12" s="2955"/>
      <c r="D12" s="2952"/>
      <c r="E12" s="56" t="s">
        <v>1787</v>
      </c>
      <c r="F12" s="2201"/>
      <c r="G12" s="2201"/>
      <c r="H12" s="2201"/>
      <c r="I12" s="2202"/>
    </row>
    <row r="13" spans="1:12" ht="12.75">
      <c r="A13" s="2948"/>
      <c r="B13" s="2893"/>
      <c r="C13" s="2957"/>
      <c r="D13" s="2952"/>
      <c r="E13" s="56" t="s">
        <v>1788</v>
      </c>
      <c r="F13" s="2201"/>
      <c r="G13" s="2201"/>
      <c r="H13" s="2201"/>
      <c r="I13" s="2202"/>
    </row>
    <row r="14" spans="1:12" ht="12.75">
      <c r="A14" s="2948" t="s">
        <v>1789</v>
      </c>
      <c r="B14" s="2893">
        <v>30</v>
      </c>
      <c r="C14" s="2955"/>
      <c r="D14" s="2952"/>
      <c r="E14" s="56" t="s">
        <v>1790</v>
      </c>
      <c r="F14" s="2201"/>
      <c r="G14" s="2201"/>
      <c r="H14" s="2201"/>
      <c r="I14" s="2202"/>
    </row>
    <row r="15" spans="1:12" ht="12.75">
      <c r="A15" s="2948"/>
      <c r="B15" s="2893"/>
      <c r="C15" s="2956"/>
      <c r="D15" s="2952"/>
      <c r="E15" s="56" t="s">
        <v>1791</v>
      </c>
      <c r="F15" s="2201"/>
      <c r="G15" s="2201"/>
      <c r="H15" s="2201"/>
      <c r="I15" s="2202"/>
    </row>
    <row r="16" spans="1:12" ht="12.75">
      <c r="A16" s="2948"/>
      <c r="B16" s="2893"/>
      <c r="C16" s="2957"/>
      <c r="D16" s="2952"/>
      <c r="E16" s="56" t="s">
        <v>1792</v>
      </c>
      <c r="F16" s="2201"/>
      <c r="G16" s="2201"/>
      <c r="H16" s="2201"/>
      <c r="I16" s="2202"/>
    </row>
    <row r="17" spans="1:35" ht="15">
      <c r="A17" s="2203" t="s">
        <v>1793</v>
      </c>
      <c r="B17" s="2204"/>
      <c r="C17" s="57">
        <f>SUM(C5:C16)</f>
        <v>2</v>
      </c>
      <c r="D17" s="57">
        <f>SUM(D5:D16)</f>
        <v>8</v>
      </c>
      <c r="E17" s="2196"/>
      <c r="F17" s="2196"/>
      <c r="G17" s="2196"/>
      <c r="H17" s="2196"/>
      <c r="I17" s="2196"/>
    </row>
    <row r="18" spans="1:35" ht="15.75" thickBot="1">
      <c r="A18" s="2205" t="s">
        <v>1794</v>
      </c>
      <c r="B18" s="2206"/>
      <c r="C18" s="58">
        <f>ROUND(C17/SUM(C17:D17),2)</f>
        <v>0.2</v>
      </c>
      <c r="D18" s="58">
        <f>1-C18</f>
        <v>0.8</v>
      </c>
      <c r="E18" s="2196"/>
      <c r="F18" s="2196"/>
      <c r="G18" s="2196"/>
      <c r="H18" s="2196"/>
      <c r="I18" s="2196"/>
    </row>
    <row r="19" spans="1:35" ht="15">
      <c r="A19" s="2207" t="s">
        <v>1795</v>
      </c>
      <c r="B19" s="2208" t="s">
        <v>1796</v>
      </c>
      <c r="C19" s="59">
        <f ca="1">SUMIF(INDIRECT("'"&amp;C4&amp;"'"&amp;"!A:A"),结果表!B19,INDIRECT("'"&amp;C4&amp;"'"&amp;"!B:B"))</f>
        <v>4990459</v>
      </c>
      <c r="D19" s="60">
        <f ca="1">SUMIF(INDIRECT("'"&amp;D4&amp;"'"&amp;"!A:A"),结果表!B19,INDIRECT("'"&amp;D4&amp;"'"&amp;"!B:B"))</f>
        <v>7081954</v>
      </c>
      <c r="E19" s="2207" t="s">
        <v>1797</v>
      </c>
      <c r="F19" s="2208" t="s">
        <v>1796</v>
      </c>
      <c r="G19" s="61">
        <f ca="1">ROUND(C19*$C$18+D19*$D$18,0)</f>
        <v>6663655</v>
      </c>
      <c r="H19" s="2209" t="str">
        <f>'数据-取费表'!B3</f>
        <v>元</v>
      </c>
      <c r="I19" s="2196"/>
      <c r="J19" s="798">
        <f ca="1">ROUND(J20*项目基本情况!C12,0)</f>
        <v>6662580</v>
      </c>
    </row>
    <row r="20" spans="1:35" ht="15">
      <c r="A20" s="2210"/>
      <c r="B20" s="2211" t="s">
        <v>1798</v>
      </c>
      <c r="C20" s="62">
        <f ca="1">SUMIF(INDIRECT("'"&amp;C4&amp;"'"&amp;"!A:A"),结果表!B20,INDIRECT("'"&amp;C4&amp;"'"&amp;"!B:B"))</f>
        <v>75373</v>
      </c>
      <c r="D20" s="63">
        <f ca="1">SUMIF(INDIRECT("'"&amp;D4&amp;"'"&amp;"!A:A"),结果表!B20,INDIRECT("'"&amp;D4&amp;"'"&amp;"!B:B"))</f>
        <v>106962</v>
      </c>
      <c r="E20" s="2210"/>
      <c r="F20" s="2211" t="s">
        <v>1798</v>
      </c>
      <c r="G20" s="64">
        <f ca="1">ROUND(C20*$C$18+D20*$D$18,0)</f>
        <v>100644</v>
      </c>
      <c r="H20" s="2212" t="s">
        <v>1799</v>
      </c>
      <c r="I20" s="2196"/>
      <c r="J20" s="798">
        <f ca="1">ROUND(G20-15.6,0)</f>
        <v>100628</v>
      </c>
    </row>
    <row r="21" spans="1:35" ht="15" customHeight="1" thickBot="1">
      <c r="A21" s="2213"/>
      <c r="B21" s="2214"/>
      <c r="C21" s="770"/>
      <c r="D21" s="771"/>
      <c r="E21" s="2213"/>
      <c r="F21" s="2214"/>
      <c r="G21" s="65"/>
      <c r="H21" s="2215"/>
      <c r="I21" s="2196"/>
    </row>
    <row r="22" spans="1:35" ht="15" thickBot="1">
      <c r="A22" s="2216" t="s">
        <v>1800</v>
      </c>
      <c r="B22" s="2217"/>
      <c r="C22" s="2218"/>
      <c r="D22" s="772">
        <f ca="1">IF(C19&lt;D19,D19/C19-1,C19/D19-1)</f>
        <v>0.41909872418549066</v>
      </c>
      <c r="E22" s="2196"/>
      <c r="F22" s="2196"/>
      <c r="G22" s="2196"/>
      <c r="H22" s="2196"/>
      <c r="I22" s="2196"/>
    </row>
    <row r="23" spans="1:35" ht="13.5" thickBot="1">
      <c r="A23" s="2196"/>
      <c r="B23" s="2196"/>
      <c r="C23" s="2196"/>
      <c r="D23" s="2196"/>
      <c r="E23" s="2196"/>
      <c r="F23" s="2196"/>
      <c r="G23" s="2196"/>
      <c r="H23" s="2196"/>
      <c r="I23" s="2196"/>
    </row>
    <row r="24" spans="1:35" ht="21.75" customHeight="1">
      <c r="A24" s="2961" t="s">
        <v>1801</v>
      </c>
      <c r="B24" s="2208" t="s">
        <v>1796</v>
      </c>
      <c r="C24" s="61">
        <f>D30</f>
        <v>1033</v>
      </c>
      <c r="D24" s="994"/>
      <c r="E24" s="2196"/>
      <c r="F24" s="2196"/>
      <c r="G24" s="2196"/>
      <c r="H24" s="2196"/>
      <c r="I24" s="2196"/>
    </row>
    <row r="25" spans="1:35" ht="21.75" customHeight="1">
      <c r="A25" s="2962"/>
      <c r="B25" s="2211" t="s">
        <v>1798</v>
      </c>
      <c r="C25" s="66">
        <f>IF(B30=0,0,C30)</f>
        <v>0</v>
      </c>
      <c r="D25" s="2219"/>
      <c r="E25" s="2196"/>
      <c r="F25" s="2196"/>
      <c r="G25" s="2196"/>
      <c r="H25" s="2196"/>
      <c r="I25" s="2196"/>
    </row>
    <row r="26" spans="1:35" ht="13.5" customHeight="1">
      <c r="A26" s="2220" t="s">
        <v>1802</v>
      </c>
      <c r="B26" s="67" t="s">
        <v>1803</v>
      </c>
      <c r="C26" s="67" t="s">
        <v>1804</v>
      </c>
      <c r="D26" s="68" t="s">
        <v>1805</v>
      </c>
      <c r="E26" s="2196"/>
      <c r="F26" s="2196"/>
      <c r="G26" s="2196"/>
      <c r="H26" s="2196"/>
      <c r="I26" s="2196"/>
    </row>
    <row r="27" spans="1:35" ht="14.25">
      <c r="A27" s="2221" t="s">
        <v>2908</v>
      </c>
      <c r="B27" s="67">
        <f>项目基本情况!C12</f>
        <v>66.209999999999994</v>
      </c>
      <c r="C27" s="67">
        <v>15.6</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4.25">
      <c r="A30" s="67" t="s">
        <v>1806</v>
      </c>
      <c r="B30" s="67"/>
      <c r="C30" s="67"/>
      <c r="D30" s="67">
        <f>ROUND(B27*C27,0)</f>
        <v>1033</v>
      </c>
      <c r="E30" s="2714" t="s">
        <v>2808</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1807</v>
      </c>
      <c r="B32" s="2225" t="str">
        <f>'数据-取费表'!B4</f>
        <v>楼面单价</v>
      </c>
      <c r="C32" s="1145">
        <f ca="1">IF(B32="总价",G19-C24,G20-C25)</f>
        <v>100644</v>
      </c>
      <c r="D32" s="2196" t="str">
        <f>IF(B32="楼面单价","元/平方米",H19)</f>
        <v>元/平方米</v>
      </c>
      <c r="E32" s="2196"/>
      <c r="F32" s="2196"/>
      <c r="G32" s="2196"/>
      <c r="H32" s="2196"/>
      <c r="I32" s="2196"/>
    </row>
    <row r="33" spans="1:16" ht="15">
      <c r="A33" s="2226" t="s">
        <v>1808</v>
      </c>
      <c r="B33" s="2227"/>
      <c r="C33" s="2228"/>
      <c r="D33" s="2229"/>
      <c r="E33" s="2230" t="s">
        <v>1809</v>
      </c>
      <c r="F33" s="2231" t="str">
        <f>IF(B32="楼面单价","取值（单价）","取值（总价）")</f>
        <v>取值（单价）</v>
      </c>
      <c r="G33" s="2196"/>
      <c r="H33" s="2196"/>
      <c r="I33" s="2196"/>
    </row>
    <row r="34" spans="1:16" ht="15">
      <c r="A34" s="2232"/>
      <c r="B34" s="2233" t="s">
        <v>1810</v>
      </c>
      <c r="C34" s="72">
        <f ca="1">IF(D33="自定义",F34,C32-C35)</f>
        <v>97524</v>
      </c>
      <c r="D34" s="1091">
        <f ca="1">IF(D33="自定义",ROUND(C34/C32,3),1-D35)</f>
        <v>0.96899999999999997</v>
      </c>
      <c r="E34" s="2234" t="s">
        <v>1811</v>
      </c>
      <c r="F34" s="1828">
        <v>2000</v>
      </c>
      <c r="G34" s="2196"/>
      <c r="H34" s="2196"/>
      <c r="I34" s="2196"/>
    </row>
    <row r="35" spans="1:16" ht="15.75" thickBot="1">
      <c r="A35" s="2235"/>
      <c r="B35" s="2236" t="s">
        <v>1812</v>
      </c>
      <c r="C35" s="73">
        <f ca="1">IF(D33="自定义",F35,ROUND(C32*D35,0))</f>
        <v>3120</v>
      </c>
      <c r="D35" s="1090">
        <f ca="1">IF(D33="自定义",ROUND(C35/C32,3),IF(D33="成本法成本比率",成本法!C56,IF(D33="收益法收益比率",收益法!J38,收益法!J41)))</f>
        <v>3.1E-2</v>
      </c>
      <c r="E35" s="2237" t="s">
        <v>1813</v>
      </c>
      <c r="F35" s="79">
        <v>4460</v>
      </c>
      <c r="G35" s="2196"/>
      <c r="H35" s="2196"/>
      <c r="I35" s="2196"/>
    </row>
    <row r="36" spans="1:16" ht="15.75" thickBot="1">
      <c r="A36" s="2966" t="s">
        <v>1814</v>
      </c>
      <c r="B36" s="2238" t="s">
        <v>1815</v>
      </c>
      <c r="C36" s="69">
        <v>0</v>
      </c>
      <c r="D36" s="2239"/>
      <c r="E36" s="2240"/>
      <c r="F36" s="2240"/>
      <c r="G36" s="2196"/>
      <c r="H36" s="2196"/>
      <c r="I36" s="2196"/>
    </row>
    <row r="37" spans="1:16" ht="15.75" thickBot="1">
      <c r="A37" s="2967"/>
      <c r="B37" s="2241" t="s">
        <v>1816</v>
      </c>
      <c r="C37" s="71">
        <v>0</v>
      </c>
      <c r="D37" s="2206"/>
      <c r="E37" s="2206"/>
      <c r="F37" s="2240"/>
      <c r="G37" s="2206"/>
      <c r="H37" s="2206"/>
      <c r="I37" s="2206"/>
    </row>
    <row r="38" spans="1:16" ht="15.75" thickBot="1">
      <c r="A38" s="2968"/>
      <c r="B38" s="2242" t="s">
        <v>1817</v>
      </c>
      <c r="C38" s="712">
        <f>D30</f>
        <v>1033</v>
      </c>
      <c r="D38" s="2243" t="s">
        <v>1818</v>
      </c>
      <c r="E38" s="2206"/>
      <c r="F38" s="2240"/>
      <c r="G38" s="2206"/>
      <c r="H38" s="2206"/>
      <c r="I38" s="2206"/>
    </row>
    <row r="39" spans="1:16" ht="15" hidden="1">
      <c r="A39" s="2210" t="s">
        <v>1819</v>
      </c>
      <c r="B39" s="2244" t="s">
        <v>1803</v>
      </c>
      <c r="C39" s="2245" t="s">
        <v>1804</v>
      </c>
      <c r="D39" s="2245" t="s">
        <v>1820</v>
      </c>
      <c r="E39" s="2246" t="s">
        <v>1805</v>
      </c>
      <c r="F39" s="2240"/>
      <c r="G39" s="2206"/>
      <c r="H39" s="2206"/>
      <c r="I39" s="2206"/>
    </row>
    <row r="40" spans="1:16" ht="14.25" hidden="1">
      <c r="A40" s="2247" t="s">
        <v>1821</v>
      </c>
      <c r="B40" s="74"/>
      <c r="C40" s="75"/>
      <c r="D40" s="75"/>
      <c r="E40" s="76"/>
      <c r="F40" s="2240"/>
      <c r="G40" s="2206"/>
      <c r="H40" s="2206"/>
      <c r="I40" s="2206"/>
    </row>
    <row r="41" spans="1:16" ht="14.25" hidden="1">
      <c r="A41" s="2247" t="s">
        <v>1822</v>
      </c>
      <c r="B41" s="74"/>
      <c r="C41" s="75"/>
      <c r="D41" s="75"/>
      <c r="E41" s="76"/>
      <c r="F41" s="2240"/>
      <c r="G41" s="2206"/>
      <c r="H41" s="2206"/>
      <c r="I41" s="2206"/>
    </row>
    <row r="42" spans="1:16" ht="15" hidden="1"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hidden="1">
      <c r="A44" s="2252" t="s">
        <v>1823</v>
      </c>
      <c r="B44" s="2253"/>
      <c r="C44" s="2253"/>
      <c r="D44" s="2254"/>
      <c r="E44" s="2254"/>
      <c r="F44" s="2255"/>
      <c r="G44" s="2255"/>
      <c r="H44" s="2255"/>
      <c r="I44" s="2255"/>
      <c r="J44" s="2256" t="s">
        <v>1824</v>
      </c>
      <c r="K44" s="2257"/>
      <c r="L44" s="2257"/>
      <c r="M44" s="2257"/>
      <c r="N44" s="2257"/>
      <c r="O44" s="2257"/>
      <c r="P44" s="1845"/>
    </row>
    <row r="45" spans="1:16" ht="14.25" hidden="1" customHeight="1" thickBot="1">
      <c r="A45" s="2971" t="s">
        <v>1825</v>
      </c>
      <c r="B45" s="2972"/>
      <c r="C45" s="2973"/>
      <c r="D45" s="80">
        <f ca="1">ROUND(I102*F45,0)</f>
        <v>6663639</v>
      </c>
      <c r="E45" s="81" t="s">
        <v>1826</v>
      </c>
      <c r="F45" s="82">
        <v>1</v>
      </c>
      <c r="G45" s="83" t="s">
        <v>1827</v>
      </c>
      <c r="H45" s="2196"/>
      <c r="I45" s="2196"/>
      <c r="J45" s="2883" t="s">
        <v>1828</v>
      </c>
      <c r="K45" s="2883"/>
      <c r="L45" s="2883"/>
      <c r="M45" s="2883"/>
      <c r="N45" s="2883"/>
      <c r="O45" s="2883"/>
      <c r="P45" s="1845"/>
    </row>
    <row r="46" spans="1:16" ht="14.25" hidden="1" customHeight="1">
      <c r="A46" s="2963" t="s">
        <v>1829</v>
      </c>
      <c r="B46" s="2964"/>
      <c r="C46" s="2964"/>
      <c r="D46" s="2964"/>
      <c r="E46" s="2964"/>
      <c r="F46" s="2964"/>
      <c r="G46" s="2965"/>
      <c r="H46" s="2258"/>
      <c r="I46" s="1144"/>
      <c r="J46" s="1883">
        <v>1</v>
      </c>
      <c r="K46" s="2883" t="s">
        <v>1830</v>
      </c>
      <c r="L46" s="2883"/>
      <c r="M46" s="2884" t="str">
        <f>项目基本情况!B1</f>
        <v>北京市预评估</v>
      </c>
      <c r="N46" s="2884"/>
      <c r="O46" s="2884"/>
      <c r="P46" s="1845"/>
    </row>
    <row r="47" spans="1:16" ht="12" hidden="1" customHeight="1">
      <c r="A47" s="85" t="s">
        <v>1831</v>
      </c>
      <c r="B47" s="86"/>
      <c r="C47" s="87"/>
      <c r="D47" s="88" t="s">
        <v>1832</v>
      </c>
      <c r="E47" s="14" t="s">
        <v>1833</v>
      </c>
      <c r="F47" s="89" t="s">
        <v>1834</v>
      </c>
      <c r="G47" s="90" t="s">
        <v>1835</v>
      </c>
      <c r="H47" s="2258"/>
      <c r="I47" s="1144"/>
      <c r="J47" s="1883">
        <v>2</v>
      </c>
      <c r="K47" s="2883" t="s">
        <v>1836</v>
      </c>
      <c r="L47" s="2883"/>
      <c r="M47" s="2885">
        <f>'数据-取费表'!B2</f>
        <v>43339</v>
      </c>
      <c r="N47" s="2885"/>
      <c r="O47" s="2885"/>
      <c r="P47" s="1845"/>
    </row>
    <row r="48" spans="1:16" ht="25.5" hidden="1">
      <c r="A48" s="2969" t="s">
        <v>1837</v>
      </c>
      <c r="B48" s="2970"/>
      <c r="C48" s="2970"/>
      <c r="D48" s="56">
        <f ca="1">IF(H48="情况1",0,IF(H48="情况2",D52,IF(H48="情况3",D53,IF(H48="情况4",D54))))</f>
        <v>355394</v>
      </c>
      <c r="E48" s="1893" t="str">
        <f>IF(H48="情况4","(销售额-原购置价)×税（费）率","销售额×税（费）率")</f>
        <v>销售额×税（费）率</v>
      </c>
      <c r="F48" s="91">
        <f>IF(H48="情况1","免征",'数据-取费表'!E29)</f>
        <v>5.6000000000000001E-2</v>
      </c>
      <c r="G48" s="2259" t="s">
        <v>1838</v>
      </c>
      <c r="H48" s="2260" t="s">
        <v>1839</v>
      </c>
      <c r="I48" s="2258"/>
      <c r="J48" s="1883">
        <v>3</v>
      </c>
      <c r="K48" s="2883" t="s">
        <v>1840</v>
      </c>
      <c r="L48" s="2883"/>
      <c r="M48" s="2884">
        <f ca="1">I102</f>
        <v>6663639</v>
      </c>
      <c r="N48" s="2884"/>
      <c r="O48" s="2884"/>
      <c r="P48" s="1845"/>
    </row>
    <row r="49" spans="1:16" ht="25.5" hidden="1" customHeight="1">
      <c r="A49" s="92" t="s">
        <v>1841</v>
      </c>
      <c r="B49" s="2950" t="s">
        <v>1842</v>
      </c>
      <c r="C49" s="2950"/>
      <c r="D49" s="93">
        <v>0</v>
      </c>
      <c r="E49" s="13" t="s">
        <v>1843</v>
      </c>
      <c r="F49" s="18" t="s">
        <v>48</v>
      </c>
      <c r="G49" s="2874"/>
      <c r="H49" s="2196"/>
      <c r="I49" s="2261"/>
      <c r="J49" s="1883">
        <v>4</v>
      </c>
      <c r="K49" s="2883" t="str">
        <f>IF(项目基本情况!F5="房地产抵押价值","房地产抵押价值","抵押担保权已注销时的房地产抵押价值")</f>
        <v>抵押担保权已注销时的房地产抵押价值</v>
      </c>
      <c r="L49" s="2883"/>
      <c r="M49" s="2884" t="str">
        <f>IF(项目基本情况!F5="房地产抵押价值",I110,I112)</f>
        <v>——</v>
      </c>
      <c r="N49" s="2884"/>
      <c r="O49" s="2884"/>
      <c r="P49" s="1845"/>
    </row>
    <row r="50" spans="1:16" ht="25.5" hidden="1" customHeight="1">
      <c r="A50" s="94"/>
      <c r="B50" s="2950" t="s">
        <v>1844</v>
      </c>
      <c r="C50" s="2950"/>
      <c r="D50" s="95"/>
      <c r="E50" s="21"/>
      <c r="F50" s="96"/>
      <c r="G50" s="2875"/>
      <c r="H50" s="2196"/>
      <c r="I50" s="2261"/>
      <c r="J50" s="2883" t="s">
        <v>1845</v>
      </c>
      <c r="K50" s="2883"/>
      <c r="L50" s="2883"/>
      <c r="M50" s="2883"/>
      <c r="N50" s="2883"/>
      <c r="O50" s="2883"/>
      <c r="P50" s="1845"/>
    </row>
    <row r="51" spans="1:16" ht="12" hidden="1" customHeight="1">
      <c r="A51" s="97"/>
      <c r="B51" s="2950" t="s">
        <v>1846</v>
      </c>
      <c r="C51" s="2950"/>
      <c r="D51" s="98"/>
      <c r="E51" s="20"/>
      <c r="F51" s="96"/>
      <c r="G51" s="2876"/>
      <c r="H51" s="2196"/>
      <c r="I51" s="2261"/>
      <c r="J51" s="2262" t="s">
        <v>1847</v>
      </c>
      <c r="K51" s="2883" t="s">
        <v>1848</v>
      </c>
      <c r="L51" s="2883"/>
      <c r="M51" s="2262" t="s">
        <v>1849</v>
      </c>
      <c r="N51" s="2262" t="s">
        <v>1850</v>
      </c>
      <c r="O51" s="2262" t="s">
        <v>1851</v>
      </c>
      <c r="P51" s="1845"/>
    </row>
    <row r="52" spans="1:16" ht="24" hidden="1" customHeight="1">
      <c r="A52" s="99" t="s">
        <v>1852</v>
      </c>
      <c r="B52" s="2950" t="s">
        <v>1853</v>
      </c>
      <c r="C52" s="2950"/>
      <c r="D52" s="98">
        <f ca="1">ROUND(D45*'数据-取费表'!E29/(1+'数据-取费表'!F30),0)</f>
        <v>355394</v>
      </c>
      <c r="E52" s="10" t="s">
        <v>1854</v>
      </c>
      <c r="F52" s="100">
        <f>'数据-取费表'!E29</f>
        <v>5.6000000000000001E-2</v>
      </c>
      <c r="G52" s="2263"/>
      <c r="H52" s="2196"/>
      <c r="I52" s="2261"/>
      <c r="J52" s="1883">
        <v>1</v>
      </c>
      <c r="K52" s="2873" t="s">
        <v>1855</v>
      </c>
      <c r="L52" s="2873"/>
      <c r="M52" s="778">
        <f ca="1">D48</f>
        <v>355394</v>
      </c>
      <c r="N52" s="1883" t="str">
        <f>E48</f>
        <v>销售额×税（费）率</v>
      </c>
      <c r="O52" s="779">
        <f>F48</f>
        <v>5.6000000000000001E-2</v>
      </c>
      <c r="P52" s="1845"/>
    </row>
    <row r="53" spans="1:16" ht="12" hidden="1" customHeight="1">
      <c r="A53" s="99" t="s">
        <v>1856</v>
      </c>
      <c r="B53" s="2949" t="s">
        <v>1857</v>
      </c>
      <c r="C53" s="2838"/>
      <c r="D53" s="98">
        <f ca="1">ROUND(D45*'数据-取费表'!E29/(1+'数据-取费表'!F30),0)</f>
        <v>355394</v>
      </c>
      <c r="E53" s="10" t="s">
        <v>1854</v>
      </c>
      <c r="F53" s="100">
        <f>'数据-取费表'!E29</f>
        <v>5.6000000000000001E-2</v>
      </c>
      <c r="G53" s="2263"/>
      <c r="H53" s="2196"/>
      <c r="I53" s="2261"/>
      <c r="J53" s="1883">
        <v>2</v>
      </c>
      <c r="K53" s="2873" t="s">
        <v>1858</v>
      </c>
      <c r="L53" s="2873"/>
      <c r="M53" s="778">
        <f t="shared" ref="M53:O54" ca="1" si="0">D55</f>
        <v>3332</v>
      </c>
      <c r="N53" s="1883" t="str">
        <f t="shared" si="0"/>
        <v>销售额×税（费）率</v>
      </c>
      <c r="O53" s="779">
        <f t="shared" si="0"/>
        <v>5.0000000000000001E-4</v>
      </c>
      <c r="P53" s="1845"/>
    </row>
    <row r="54" spans="1:16" ht="12" hidden="1" customHeight="1">
      <c r="A54" s="99" t="s">
        <v>1859</v>
      </c>
      <c r="B54" s="2949" t="s">
        <v>1860</v>
      </c>
      <c r="C54" s="2838"/>
      <c r="D54" s="98">
        <f ca="1">C68</f>
        <v>355394</v>
      </c>
      <c r="E54" s="20" t="s">
        <v>1861</v>
      </c>
      <c r="F54" s="100">
        <f>'数据-取费表'!E29</f>
        <v>5.6000000000000001E-2</v>
      </c>
      <c r="G54" s="2263"/>
      <c r="H54" s="2264"/>
      <c r="I54" s="2261"/>
      <c r="J54" s="1883">
        <v>3</v>
      </c>
      <c r="K54" s="2873" t="s">
        <v>1862</v>
      </c>
      <c r="L54" s="2873"/>
      <c r="M54" s="778">
        <f t="shared" ca="1" si="0"/>
        <v>3771620</v>
      </c>
      <c r="N54" s="1883" t="str">
        <f t="shared" si="0"/>
        <v>增值额×税（费）率</v>
      </c>
      <c r="O54" s="780" t="str">
        <f t="shared" si="0"/>
        <v>——</v>
      </c>
      <c r="P54" s="1845"/>
    </row>
    <row r="55" spans="1:16" ht="24" hidden="1" customHeight="1">
      <c r="A55" s="2830" t="s">
        <v>1863</v>
      </c>
      <c r="B55" s="2970"/>
      <c r="C55" s="2970"/>
      <c r="D55" s="101">
        <f ca="1">IF(H55="个人住宅",0,ROUND(D45*I55,0))</f>
        <v>3332</v>
      </c>
      <c r="E55" s="10" t="s">
        <v>1864</v>
      </c>
      <c r="F55" s="100">
        <f>IF(H55="正常",I55,"免征")</f>
        <v>5.0000000000000001E-4</v>
      </c>
      <c r="G55" s="2263"/>
      <c r="H55" s="2260" t="s">
        <v>1865</v>
      </c>
      <c r="I55" s="102">
        <f>'数据-取费表'!E37</f>
        <v>5.0000000000000001E-4</v>
      </c>
      <c r="J55" s="1883">
        <f>IF(H59="非个人房产","",4)</f>
        <v>4</v>
      </c>
      <c r="K55" s="2873" t="str">
        <f>IF(H59="非个人房产","——","个人所得税")</f>
        <v>个人所得税</v>
      </c>
      <c r="L55" s="2873"/>
      <c r="M55" s="781">
        <f ca="1">D59</f>
        <v>66636</v>
      </c>
      <c r="N55" s="1886" t="str">
        <f>E59</f>
        <v>销售额×税（费）率</v>
      </c>
      <c r="O55" s="782">
        <f>F59</f>
        <v>0.01</v>
      </c>
      <c r="P55" s="1845"/>
    </row>
    <row r="56" spans="1:16" ht="24.75" hidden="1">
      <c r="A56" s="2830" t="s">
        <v>1866</v>
      </c>
      <c r="B56" s="2970"/>
      <c r="C56" s="2970"/>
      <c r="D56" s="101">
        <f ca="1">IF(H56="个人住宅",D57,D58)</f>
        <v>3771620</v>
      </c>
      <c r="E56" s="10" t="s">
        <v>1867</v>
      </c>
      <c r="F56" s="100" t="str">
        <f>IF(H56="正常",F58,"免征")</f>
        <v>——</v>
      </c>
      <c r="G56" s="2265" t="s">
        <v>1868</v>
      </c>
      <c r="H56" s="2266" t="s">
        <v>1865</v>
      </c>
      <c r="I56" s="1022"/>
      <c r="J56" s="1883" t="str">
        <f>IF(项目基本情况!I6="上海银行",IF(J55="",4,J55+1),"")</f>
        <v/>
      </c>
      <c r="K56" s="2890" t="str">
        <f>IF(项目基本情况!I6="上海银行","其他处置费用","")</f>
        <v/>
      </c>
      <c r="L56" s="2891"/>
      <c r="M56" s="778" t="str">
        <f>IF(项目基本情况!I6="上海银行",M69,"")</f>
        <v/>
      </c>
      <c r="N56" s="2871" t="str">
        <f>IF(项目基本情况!I6="上海银行","包含处置中涉及的律师、诉讼、拍卖、评估等费用","")</f>
        <v/>
      </c>
      <c r="O56" s="2872"/>
      <c r="P56" s="1845"/>
    </row>
    <row r="57" spans="1:16" ht="12.75" hidden="1">
      <c r="A57" s="99" t="s">
        <v>1841</v>
      </c>
      <c r="B57" s="2958" t="s">
        <v>1869</v>
      </c>
      <c r="C57" s="2960"/>
      <c r="D57" s="103">
        <v>0</v>
      </c>
      <c r="E57" s="13" t="s">
        <v>1843</v>
      </c>
      <c r="F57" s="70"/>
      <c r="G57" s="2263"/>
      <c r="H57" s="1022"/>
      <c r="I57" s="1022"/>
      <c r="J57" s="2873">
        <f>IF(AND(J55="",J56=""),4,IF(项目基本情况!I6="上海银行",J56+1,J55+1))</f>
        <v>5</v>
      </c>
      <c r="K57" s="2873" t="s">
        <v>1870</v>
      </c>
      <c r="L57" s="2267" t="s">
        <v>1871</v>
      </c>
      <c r="M57" s="783"/>
      <c r="N57" s="784">
        <f ca="1">SUMIF(M52:M56,"&lt;9e307")</f>
        <v>4196982</v>
      </c>
      <c r="O57" s="2268"/>
      <c r="P57" s="1841" t="e">
        <f ca="1">N57/M49</f>
        <v>#VALUE!</v>
      </c>
    </row>
    <row r="58" spans="1:16" ht="24.75" hidden="1">
      <c r="A58" s="99" t="s">
        <v>1852</v>
      </c>
      <c r="B58" s="2958" t="s">
        <v>1872</v>
      </c>
      <c r="C58" s="2959"/>
      <c r="D58" s="101">
        <f ca="1">IF(H58="转让取得",C81,C97)</f>
        <v>3771620</v>
      </c>
      <c r="E58" s="10" t="s">
        <v>1867</v>
      </c>
      <c r="F58" s="14" t="s">
        <v>48</v>
      </c>
      <c r="G58" s="2263"/>
      <c r="H58" s="2266" t="s">
        <v>1873</v>
      </c>
      <c r="I58" s="1022"/>
      <c r="J58" s="2873"/>
      <c r="K58" s="2873"/>
      <c r="L58" s="2267" t="s">
        <v>1874</v>
      </c>
      <c r="M58" s="785"/>
      <c r="N58" s="2269" t="str">
        <f ca="1">IF(H19="元",NUMBERSTRING(INT(N57),2)&amp;"元整",NUMBERSTRING(INT(N57*10000),2)&amp;"元整")</f>
        <v>肆佰壹拾玖万陆仟玖佰捌拾贰元整</v>
      </c>
      <c r="O58" s="2270"/>
      <c r="P58" s="1845"/>
    </row>
    <row r="59" spans="1:16" ht="26.25" hidden="1" thickBot="1">
      <c r="A59" s="2831" t="s">
        <v>1875</v>
      </c>
      <c r="B59" s="2834"/>
      <c r="C59" s="2834"/>
      <c r="D59" s="104">
        <f ca="1">IF(H59="非个人房产","——",IF(H59="个人住宅",0,ROUND(D45*I59,0)))</f>
        <v>66636</v>
      </c>
      <c r="E59" s="105" t="str">
        <f>IF(H59="非个人房产","——","销售额×税（费）率")</f>
        <v>销售额×税（费）率</v>
      </c>
      <c r="F59" s="106">
        <f>IF(H59="非个人房产","——",IF(H59="个人住宅","免征",I59))</f>
        <v>0.01</v>
      </c>
      <c r="G59" s="2271" t="s">
        <v>1868</v>
      </c>
      <c r="H59" s="2266" t="s">
        <v>1876</v>
      </c>
      <c r="I59" s="107">
        <v>0.01</v>
      </c>
      <c r="J59" s="2927">
        <f>J57+1</f>
        <v>6</v>
      </c>
      <c r="K59" s="2873" t="s">
        <v>1877</v>
      </c>
      <c r="L59" s="1883" t="s">
        <v>1871</v>
      </c>
      <c r="M59" s="786"/>
      <c r="N59" s="787" t="e">
        <f ca="1">M49-N57</f>
        <v>#VALUE!</v>
      </c>
      <c r="O59" s="2272"/>
      <c r="P59" s="1845"/>
    </row>
    <row r="60" spans="1:16" ht="12" hidden="1" customHeight="1">
      <c r="A60" s="2068"/>
      <c r="B60" s="2196"/>
      <c r="C60" s="2196"/>
      <c r="D60" s="2196"/>
      <c r="E60" s="1022"/>
      <c r="F60" s="1022"/>
      <c r="G60" s="1022"/>
      <c r="H60" s="2249"/>
      <c r="I60" s="2196"/>
      <c r="J60" s="2928"/>
      <c r="K60" s="2873"/>
      <c r="L60" s="2267" t="s">
        <v>1874</v>
      </c>
      <c r="M60" s="785"/>
      <c r="N60" s="2269" t="e">
        <f ca="1">IF(H19="元",NUMBERSTRING(INT(N59),2)&amp;"元整",NUMBERSTRING(INT(N59*10000),2)&amp;"元整")</f>
        <v>#VALUE!</v>
      </c>
      <c r="O60" s="2270"/>
      <c r="P60" s="1845"/>
    </row>
    <row r="61" spans="1:16" ht="13.5" hidden="1" thickBot="1">
      <c r="A61" s="2974" t="s">
        <v>1878</v>
      </c>
      <c r="B61" s="2974"/>
      <c r="C61" s="2974"/>
      <c r="D61" s="2974"/>
      <c r="E61" s="2974"/>
      <c r="F61" s="1022"/>
      <c r="G61" s="1022"/>
      <c r="H61" s="2249"/>
      <c r="I61" s="2196"/>
      <c r="J61" s="1883">
        <f>J59+1</f>
        <v>7</v>
      </c>
      <c r="K61" s="2873" t="s">
        <v>1879</v>
      </c>
      <c r="L61" s="2873"/>
      <c r="M61" s="788"/>
      <c r="N61" s="789" t="e">
        <f ca="1">IF(H19="元",ROUND(N59/项目基本情况!C12,0),ROUND(N59*10000/项目基本情况!C12,0))</f>
        <v>#VALUE!</v>
      </c>
      <c r="O61" s="2273"/>
      <c r="P61" s="1845"/>
    </row>
    <row r="62" spans="1:16" ht="12.75" hidden="1">
      <c r="A62" s="2911" t="s">
        <v>1880</v>
      </c>
      <c r="B62" s="2912"/>
      <c r="C62" s="1885"/>
      <c r="D62" s="1885" t="s">
        <v>1881</v>
      </c>
      <c r="E62" s="108" t="s">
        <v>1882</v>
      </c>
      <c r="F62" s="1022"/>
      <c r="G62" s="1022"/>
      <c r="H62" s="2249"/>
      <c r="I62" s="2196"/>
      <c r="J62" s="1845"/>
      <c r="K62" s="1845"/>
      <c r="L62" s="1845"/>
      <c r="M62" s="1845"/>
      <c r="N62" s="1845"/>
      <c r="O62" s="1845"/>
      <c r="P62" s="1845"/>
    </row>
    <row r="63" spans="1:16" ht="12.75" hidden="1">
      <c r="A63" s="109">
        <v>1</v>
      </c>
      <c r="B63" s="110" t="s">
        <v>1883</v>
      </c>
      <c r="C63" s="111">
        <f ca="1">ROUND((C64+C65)/(1+'数据-取费表'!F30),0)</f>
        <v>6346323</v>
      </c>
      <c r="D63" s="112"/>
      <c r="E63" s="113"/>
      <c r="F63" s="1022"/>
      <c r="G63" s="1022"/>
      <c r="H63" s="2249"/>
      <c r="I63" s="2196"/>
      <c r="J63" s="2892" t="s">
        <v>1884</v>
      </c>
      <c r="K63" s="2274" t="s">
        <v>1885</v>
      </c>
      <c r="L63" s="1844" t="e">
        <f>IF(M49&gt;10000,M49*0.5%,IF(AND(M49&gt;1000,M49&lt;=10000),M49*1%,IF(AND(M49&gt;100,M49&lt;=1000),M49*3%,IF(AND(M49&gt;10,M49&lt;=100),M49*5%,M49*8%))))</f>
        <v>#VALUE!</v>
      </c>
      <c r="M63" s="14" t="e">
        <f>ROUND(L63,1)</f>
        <v>#VALUE!</v>
      </c>
      <c r="N63" s="1845"/>
      <c r="O63" s="1845"/>
      <c r="P63" s="1845"/>
    </row>
    <row r="64" spans="1:16" ht="12.75" hidden="1">
      <c r="A64" s="114" t="s">
        <v>71</v>
      </c>
      <c r="B64" s="115" t="s">
        <v>1886</v>
      </c>
      <c r="C64" s="116">
        <f ca="1">D45</f>
        <v>6663639</v>
      </c>
      <c r="D64" s="117" t="s">
        <v>41</v>
      </c>
      <c r="E64" s="118"/>
      <c r="F64" s="1022"/>
      <c r="G64" s="1022"/>
      <c r="H64" s="2249"/>
      <c r="I64" s="2196"/>
      <c r="J64" s="2892"/>
      <c r="K64" s="2274" t="s">
        <v>1887</v>
      </c>
      <c r="L64" s="1844"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5" t="s">
        <v>1888</v>
      </c>
      <c r="O64" s="1845"/>
      <c r="P64" s="1845"/>
    </row>
    <row r="65" spans="1:35" ht="12.75" hidden="1">
      <c r="A65" s="114" t="s">
        <v>72</v>
      </c>
      <c r="B65" s="115" t="s">
        <v>1889</v>
      </c>
      <c r="C65" s="119"/>
      <c r="D65" s="117"/>
      <c r="E65" s="118"/>
      <c r="F65" s="1022"/>
      <c r="G65" s="1022"/>
      <c r="H65" s="2249"/>
      <c r="I65" s="2196"/>
      <c r="J65" s="2892"/>
      <c r="K65" s="2274" t="s">
        <v>1890</v>
      </c>
      <c r="L65" s="1844" t="e">
        <f>IF(M49&gt;1000,M49*0.1%,IF(AND(M49&gt;500,M49&lt;=1000),M49*0.5%,IF(AND(M49&gt;50,M49&lt;=500),M49*1%,IF(AND(M49&gt;1,M49&lt;=50),M49*1.5%))))</f>
        <v>#VALUE!</v>
      </c>
      <c r="M65" s="14" t="e">
        <f>ROUND(L65,1)</f>
        <v>#VALUE!</v>
      </c>
      <c r="N65" s="1845" t="s">
        <v>1888</v>
      </c>
      <c r="O65" s="1845"/>
      <c r="P65" s="1845"/>
    </row>
    <row r="66" spans="1:35" ht="12.75" hidden="1">
      <c r="A66" s="120" t="s">
        <v>47</v>
      </c>
      <c r="B66" s="121" t="s">
        <v>1891</v>
      </c>
      <c r="C66" s="122"/>
      <c r="D66" s="123" t="s">
        <v>41</v>
      </c>
      <c r="E66" s="1861" t="s">
        <v>1892</v>
      </c>
      <c r="F66" s="1022"/>
      <c r="G66" s="1022"/>
      <c r="H66" s="2249"/>
      <c r="I66" s="2196"/>
      <c r="J66" s="2892"/>
      <c r="K66" s="2274" t="s">
        <v>1893</v>
      </c>
      <c r="L66" s="1844" t="e">
        <f>M49*0.5%</f>
        <v>#VALUE!</v>
      </c>
      <c r="M66" s="14" t="e">
        <f>IF(L66&gt;0.5,0.5,ROUND(L66,0))</f>
        <v>#VALUE!</v>
      </c>
      <c r="N66" s="1845" t="s">
        <v>1894</v>
      </c>
      <c r="O66" s="1845"/>
      <c r="P66" s="1845"/>
    </row>
    <row r="67" spans="1:35" ht="12.75" hidden="1">
      <c r="A67" s="120" t="s">
        <v>42</v>
      </c>
      <c r="B67" s="121" t="s">
        <v>1895</v>
      </c>
      <c r="C67" s="124">
        <f ca="1">C63-C66</f>
        <v>6346323</v>
      </c>
      <c r="D67" s="117" t="s">
        <v>41</v>
      </c>
      <c r="E67" s="118"/>
      <c r="F67" s="1022"/>
      <c r="G67" s="1022"/>
      <c r="H67" s="2249"/>
      <c r="I67" s="2196"/>
      <c r="J67" s="2892"/>
      <c r="K67" s="2274"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hidden="1" thickBot="1">
      <c r="A68" s="125" t="s">
        <v>46</v>
      </c>
      <c r="B68" s="126" t="s">
        <v>1897</v>
      </c>
      <c r="C68" s="127">
        <f ca="1">IF(C67&lt;=0,0,ROUND(C67*D68,0))</f>
        <v>355394</v>
      </c>
      <c r="D68" s="128">
        <f>'数据-取费表'!E29</f>
        <v>5.6000000000000001E-2</v>
      </c>
      <c r="E68" s="129"/>
      <c r="F68" s="1022"/>
      <c r="G68" s="1022"/>
      <c r="H68" s="2249"/>
      <c r="I68" s="2196"/>
      <c r="J68" s="2892"/>
      <c r="K68" s="2274" t="s">
        <v>1898</v>
      </c>
      <c r="L68" s="1844" t="e">
        <f>IF(M49&gt;10000,M49*0.5%,IF(AND(M49&gt;5000,M49&lt;=10000),M49*1%,IF(AND(M49&gt;1000,M49&lt;=5000),M49*2%,IF(AND(M49&gt;200,M49&lt;=1000),M49*3%,M49*5%))))</f>
        <v>#VALUE!</v>
      </c>
      <c r="M68" s="14" t="e">
        <f>ROUND(L68,1)</f>
        <v>#VALUE!</v>
      </c>
      <c r="N68" s="1845"/>
      <c r="O68" s="1845"/>
      <c r="P68" s="1845"/>
    </row>
    <row r="69" spans="1:35" s="2223" customFormat="1" ht="7.5" hidden="1" customHeight="1">
      <c r="A69" s="2275"/>
      <c r="B69" s="2276"/>
      <c r="C69" s="2277"/>
      <c r="D69" s="2278"/>
      <c r="E69" s="2279"/>
      <c r="F69" s="1022"/>
      <c r="G69" s="1022"/>
      <c r="H69" s="2249"/>
      <c r="I69" s="2196"/>
      <c r="J69" s="2892"/>
      <c r="K69" s="2274" t="s">
        <v>1899</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hidden="1" thickBot="1">
      <c r="A70" s="2913" t="s">
        <v>1900</v>
      </c>
      <c r="B70" s="2914"/>
      <c r="C70" s="2914"/>
      <c r="D70" s="2914"/>
      <c r="E70" s="2914"/>
      <c r="F70" s="2914"/>
      <c r="G70" s="2914"/>
      <c r="H70" s="2914"/>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hidden="1">
      <c r="A71" s="2911" t="s">
        <v>1880</v>
      </c>
      <c r="B71" s="2912"/>
      <c r="C71" s="1885"/>
      <c r="D71" s="1885" t="s">
        <v>1881</v>
      </c>
      <c r="E71" s="130" t="s">
        <v>1882</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hidden="1">
      <c r="A72" s="133">
        <v>1</v>
      </c>
      <c r="B72" s="121" t="s">
        <v>1901</v>
      </c>
      <c r="C72" s="124">
        <f ca="1">ROUND(D45/(1+'数据-取费表'!F30),0)</f>
        <v>6346323</v>
      </c>
      <c r="D72" s="117" t="s">
        <v>41</v>
      </c>
      <c r="E72" s="12" t="s">
        <v>1902</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hidden="1">
      <c r="A73" s="135">
        <v>2</v>
      </c>
      <c r="B73" s="89" t="s">
        <v>1903</v>
      </c>
      <c r="C73" s="124">
        <f ca="1">C74+C78</f>
        <v>38078</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hidden="1">
      <c r="A74" s="136" t="s">
        <v>73</v>
      </c>
      <c r="B74" s="115" t="s">
        <v>1904</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hidden="1">
      <c r="A75" s="136" t="s">
        <v>74</v>
      </c>
      <c r="B75" s="115" t="s">
        <v>1905</v>
      </c>
      <c r="C75" s="137"/>
      <c r="D75" s="117" t="s">
        <v>41</v>
      </c>
      <c r="E75" s="138" t="s">
        <v>1906</v>
      </c>
      <c r="F75" s="2285" t="s">
        <v>1907</v>
      </c>
      <c r="G75" s="138" t="s">
        <v>1908</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hidden="1" customHeight="1">
      <c r="A76" s="136" t="s">
        <v>75</v>
      </c>
      <c r="B76" s="140" t="s">
        <v>1909</v>
      </c>
      <c r="C76" s="117">
        <f>IF(F75="购房发票",ROUND(C75*H75*D76,0),0)</f>
        <v>0</v>
      </c>
      <c r="D76" s="141">
        <v>0.05</v>
      </c>
      <c r="E76" s="2949" t="s">
        <v>1910</v>
      </c>
      <c r="F76" s="2950"/>
      <c r="G76" s="2950"/>
      <c r="H76" s="2951"/>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hidden="1"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6" t="s">
        <v>1913</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hidden="1" customHeight="1">
      <c r="A78" s="136" t="s">
        <v>77</v>
      </c>
      <c r="B78" s="115" t="s">
        <v>1914</v>
      </c>
      <c r="C78" s="144">
        <f ca="1">ROUND(D45*D78/(1+'数据-取费表'!F30),0)</f>
        <v>38078</v>
      </c>
      <c r="D78" s="145">
        <f>'数据-取费表'!E31</f>
        <v>6.000000000000001E-3</v>
      </c>
      <c r="E78" s="2880" t="s">
        <v>1915</v>
      </c>
      <c r="F78" s="2881"/>
      <c r="G78" s="2881"/>
      <c r="H78" s="2901"/>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hidden="1">
      <c r="A79" s="146" t="s">
        <v>42</v>
      </c>
      <c r="B79" s="121" t="s">
        <v>1916</v>
      </c>
      <c r="C79" s="124">
        <f ca="1">C72-C73</f>
        <v>6308245</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hidden="1">
      <c r="A80" s="146" t="s">
        <v>43</v>
      </c>
      <c r="B80" s="121" t="s">
        <v>1917</v>
      </c>
      <c r="C80" s="147">
        <f ca="1">IF(C79&lt;=0,0,C79/C73)</f>
        <v>165.66639529387047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hidden="1" thickBot="1">
      <c r="A81" s="148" t="s">
        <v>44</v>
      </c>
      <c r="B81" s="126" t="s">
        <v>1918</v>
      </c>
      <c r="C81" s="149">
        <f ca="1">ROUND(IF(C79&lt;=0,0,IF(C80&gt;=200%,C79*60%-C73*35%,IF(C80&gt;=100%,C79*50%-C73*15%,IF(C80&gt;=50%,C79*40%-C73*5%,IF(C80&lt;50%,C79*30%,0))))),0)</f>
        <v>3771620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hidden="1"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hidden="1" thickBot="1">
      <c r="A83" s="2913" t="s">
        <v>1919</v>
      </c>
      <c r="B83" s="2914"/>
      <c r="C83" s="2914"/>
      <c r="D83" s="2914"/>
      <c r="E83" s="2914"/>
      <c r="F83" s="2914"/>
      <c r="G83" s="2914"/>
      <c r="H83" s="2914"/>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hidden="1">
      <c r="A84" s="2911" t="s">
        <v>1880</v>
      </c>
      <c r="B84" s="2912"/>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hidden="1">
      <c r="A85" s="133">
        <v>1</v>
      </c>
      <c r="B85" s="121" t="s">
        <v>1901</v>
      </c>
      <c r="C85" s="124">
        <f ca="1">ROUND(D45/(1+'数据-取费表'!F30),0)</f>
        <v>6346323</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hidden="1">
      <c r="A86" s="135">
        <v>2</v>
      </c>
      <c r="B86" s="89" t="s">
        <v>1903</v>
      </c>
      <c r="C86" s="124">
        <f ca="1">IF(H88="仅含出让金",C87+C90+C91+C92+C93+C94,C87+C91+C92+C93+C94)</f>
        <v>38078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hidden="1">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hidden="1">
      <c r="A88" s="136" t="s">
        <v>74</v>
      </c>
      <c r="B88" s="115" t="s">
        <v>1921</v>
      </c>
      <c r="C88" s="157"/>
      <c r="D88" s="145"/>
      <c r="E88" s="158" t="s">
        <v>1922</v>
      </c>
      <c r="F88" s="1882"/>
      <c r="G88" s="159" t="s">
        <v>1923</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hidden="1">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hidden="1">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hidden="1" customHeight="1">
      <c r="A91" s="136" t="s">
        <v>78</v>
      </c>
      <c r="B91" s="115" t="s">
        <v>1926</v>
      </c>
      <c r="C91" s="144">
        <f>IF(H91="——",成本法!C33,I91)</f>
        <v>0</v>
      </c>
      <c r="D91" s="145"/>
      <c r="E91" s="2880" t="s">
        <v>1927</v>
      </c>
      <c r="F91" s="2881"/>
      <c r="G91" s="2881"/>
      <c r="H91" s="2289" t="s">
        <v>1928</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hidden="1" customHeight="1">
      <c r="A92" s="136" t="s">
        <v>79</v>
      </c>
      <c r="B92" s="115" t="s">
        <v>1929</v>
      </c>
      <c r="C92" s="144">
        <f>ROUND((C87+C90+C91)*D92,0)</f>
        <v>0</v>
      </c>
      <c r="D92" s="145">
        <v>0.1</v>
      </c>
      <c r="E92" s="2880" t="s">
        <v>1930</v>
      </c>
      <c r="F92" s="2881"/>
      <c r="G92" s="2881"/>
      <c r="H92" s="2901"/>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hidden="1" customHeight="1">
      <c r="A93" s="136" t="s">
        <v>80</v>
      </c>
      <c r="B93" s="115" t="s">
        <v>1914</v>
      </c>
      <c r="C93" s="144">
        <f ca="1">ROUND(D45*D93/(1+'数据-取费表'!F30),0)</f>
        <v>38078</v>
      </c>
      <c r="D93" s="145">
        <f>'数据-取费表'!E31</f>
        <v>6.000000000000001E-3</v>
      </c>
      <c r="E93" s="2880" t="s">
        <v>1915</v>
      </c>
      <c r="F93" s="2881"/>
      <c r="G93" s="2881"/>
      <c r="H93" s="2901"/>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hidden="1" customHeight="1">
      <c r="A94" s="136" t="s">
        <v>81</v>
      </c>
      <c r="B94" s="115" t="s">
        <v>1931</v>
      </c>
      <c r="C94" s="144">
        <f>ROUND((C87+C90+C91)*D94,0)</f>
        <v>0</v>
      </c>
      <c r="D94" s="145">
        <v>0.2</v>
      </c>
      <c r="E94" s="2880" t="s">
        <v>1932</v>
      </c>
      <c r="F94" s="2881"/>
      <c r="G94" s="2881"/>
      <c r="H94" s="2901"/>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hidden="1">
      <c r="A95" s="146" t="s">
        <v>42</v>
      </c>
      <c r="B95" s="121" t="s">
        <v>1916</v>
      </c>
      <c r="C95" s="124">
        <f ca="1">ROUND(C85-C86,0)</f>
        <v>6308245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hidden="1">
      <c r="A96" s="146" t="s">
        <v>43</v>
      </c>
      <c r="B96" s="121" t="s">
        <v>1917</v>
      </c>
      <c r="C96" s="147">
        <f ca="1">IF(C95&lt;=0,0,C95/C86)</f>
        <v>165.66639529387047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hidden="1" thickBot="1">
      <c r="A97" s="148" t="s">
        <v>44</v>
      </c>
      <c r="B97" s="126" t="s">
        <v>1918</v>
      </c>
      <c r="C97" s="149">
        <f ca="1">ROUND(IF(C95&lt;=0,0,IF(C96&gt;=200%,C95*60%-C86*35%,IF(C96&gt;=100%,C95*50%-C86*15%,IF(C96&gt;=50%,C95*40%-C86*5%,IF(C96&lt;50%,C95*30%,0))))),0)</f>
        <v>3771620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1933</v>
      </c>
      <c r="B98" s="2196"/>
      <c r="C98" s="2196"/>
      <c r="D98" s="2196"/>
      <c r="E98" s="1022"/>
      <c r="F98" s="1022"/>
      <c r="G98" s="1022"/>
      <c r="H98" s="2249"/>
      <c r="I98" s="2196"/>
    </row>
    <row r="99" spans="1:35" ht="15.75">
      <c r="A99" s="2898" t="s">
        <v>1934</v>
      </c>
      <c r="B99" s="2899"/>
      <c r="C99" s="2899"/>
      <c r="D99" s="2900"/>
      <c r="E99" s="2196"/>
      <c r="F99" s="2908" t="s">
        <v>1935</v>
      </c>
      <c r="G99" s="2909"/>
      <c r="H99" s="2909"/>
      <c r="I99" s="2910"/>
    </row>
    <row r="100" spans="1:35" ht="15.75">
      <c r="A100" s="2915" t="s">
        <v>1936</v>
      </c>
      <c r="B100" s="2916"/>
      <c r="C100" s="720" t="str">
        <f>C4</f>
        <v>收益法</v>
      </c>
      <c r="D100" s="721" t="str">
        <f>D4</f>
        <v>比较法-住宅</v>
      </c>
      <c r="E100" s="2196"/>
      <c r="F100" s="2917" t="s">
        <v>1937</v>
      </c>
      <c r="G100" s="2919"/>
      <c r="H100" s="2917" t="s">
        <v>1938</v>
      </c>
      <c r="I100" s="2918"/>
    </row>
    <row r="101" spans="1:35" ht="15.75">
      <c r="A101" s="2937" t="s">
        <v>1939</v>
      </c>
      <c r="B101" s="2291" t="str">
        <f>IF(H19="元","总价（元）","总价（万元）")</f>
        <v>总价（元）</v>
      </c>
      <c r="C101" s="720">
        <f ca="1">C19</f>
        <v>4990459</v>
      </c>
      <c r="D101" s="721">
        <f ca="1">D19</f>
        <v>7081954</v>
      </c>
      <c r="E101" s="2196"/>
      <c r="F101" s="2917" t="str">
        <f>项目基本情况!I1</f>
        <v>北京市房地产</v>
      </c>
      <c r="G101" s="2919"/>
      <c r="H101" s="2978">
        <f>项目基本情况!C12</f>
        <v>66.209999999999994</v>
      </c>
      <c r="I101" s="2918"/>
    </row>
    <row r="102" spans="1:35" ht="15.75">
      <c r="A102" s="2937"/>
      <c r="B102" s="2291" t="s">
        <v>1940</v>
      </c>
      <c r="C102" s="722">
        <f ca="1">C20</f>
        <v>75373</v>
      </c>
      <c r="D102" s="723">
        <f ca="1">D20</f>
        <v>106962</v>
      </c>
      <c r="E102" s="2196"/>
      <c r="F102" s="2992" t="s">
        <v>1941</v>
      </c>
      <c r="G102" s="2993"/>
      <c r="H102" s="2292" t="str">
        <f>C106</f>
        <v>总价（元）</v>
      </c>
      <c r="I102" s="1862">
        <f ca="1">H121</f>
        <v>6663639</v>
      </c>
    </row>
    <row r="103" spans="1:35" ht="15">
      <c r="A103" s="2937" t="s">
        <v>1942</v>
      </c>
      <c r="B103" s="2293" t="str">
        <f>B101</f>
        <v>总价（元）</v>
      </c>
      <c r="C103" s="724">
        <f ca="1">H121</f>
        <v>6663639</v>
      </c>
      <c r="D103" s="725"/>
      <c r="E103" s="2196"/>
      <c r="F103" s="2992"/>
      <c r="G103" s="2993"/>
      <c r="H103" s="2292" t="s">
        <v>1940</v>
      </c>
      <c r="I103" s="1050">
        <f ca="1">I121</f>
        <v>100644</v>
      </c>
    </row>
    <row r="104" spans="1:35" ht="16.5" thickBot="1">
      <c r="A104" s="2938"/>
      <c r="B104" s="2294" t="s">
        <v>1940</v>
      </c>
      <c r="C104" s="726">
        <f ca="1">I121</f>
        <v>100644</v>
      </c>
      <c r="D104" s="727"/>
      <c r="E104" s="2196"/>
      <c r="F104" s="2904"/>
      <c r="G104" s="2905"/>
      <c r="H104" s="2939"/>
      <c r="I104" s="2940"/>
    </row>
    <row r="105" spans="1:35" ht="15.75">
      <c r="A105" s="2898" t="s">
        <v>1943</v>
      </c>
      <c r="B105" s="2899"/>
      <c r="C105" s="2899"/>
      <c r="D105" s="2900"/>
      <c r="E105" s="2196"/>
      <c r="F105" s="2943" t="s">
        <v>1944</v>
      </c>
      <c r="G105" s="2944"/>
      <c r="H105" s="2295" t="str">
        <f>C108</f>
        <v>总额（元）</v>
      </c>
      <c r="I105" s="1862">
        <f>SUMIF(I106:I108,"&lt;9E307")</f>
        <v>1033</v>
      </c>
    </row>
    <row r="106" spans="1:35" ht="15">
      <c r="A106" s="2945" t="s">
        <v>1945</v>
      </c>
      <c r="B106" s="2946"/>
      <c r="C106" s="2292" t="str">
        <f>B101</f>
        <v>总价（元）</v>
      </c>
      <c r="D106" s="1051">
        <f ca="1">H121</f>
        <v>6663639</v>
      </c>
      <c r="E106" s="2196"/>
      <c r="F106" s="2906" t="s">
        <v>1946</v>
      </c>
      <c r="G106" s="2907"/>
      <c r="H106" s="2295" t="str">
        <f>C109</f>
        <v>总额（元）</v>
      </c>
      <c r="I106" s="1050">
        <f>IF(D36="同一抵押权人同一抵押物续贷",C36&amp;"（未扣减，详见特别提示）",C36)</f>
        <v>0</v>
      </c>
      <c r="K106" s="2206" t="str">
        <f>IF(D123=0,"本次评估不存在"&amp;A123&amp;"。","本次评估"&amp;A123&amp;"为"&amp;D123&amp;"元人民币。")</f>
        <v>本次评估估价师所知悉的法定优先受偿款为1033元人民币。</v>
      </c>
    </row>
    <row r="107" spans="1:35" ht="15">
      <c r="A107" s="2945"/>
      <c r="B107" s="2946"/>
      <c r="C107" s="2292" t="s">
        <v>1940</v>
      </c>
      <c r="D107" s="1052">
        <f ca="1">I121</f>
        <v>100644</v>
      </c>
      <c r="E107" s="2196"/>
      <c r="F107" s="2906" t="s">
        <v>1947</v>
      </c>
      <c r="G107" s="2907"/>
      <c r="H107" s="2295" t="str">
        <f>C110</f>
        <v>总额（元）</v>
      </c>
      <c r="I107" s="1050">
        <f>C37</f>
        <v>0</v>
      </c>
      <c r="K107" s="2296"/>
    </row>
    <row r="108" spans="1:35" ht="15">
      <c r="A108" s="2988" t="s">
        <v>1948</v>
      </c>
      <c r="B108" s="2989"/>
      <c r="C108" s="2295" t="str">
        <f>IF(H19="元","总额（元）","总额（万元）")</f>
        <v>总额（元）</v>
      </c>
      <c r="D108" s="1051">
        <f>IF(D36="正常操作",I106+I107+I108,I107+I108)</f>
        <v>1033</v>
      </c>
      <c r="E108" s="2196"/>
      <c r="F108" s="2906" t="s">
        <v>1949</v>
      </c>
      <c r="G108" s="2907"/>
      <c r="H108" s="2295" t="str">
        <f>C111</f>
        <v>总额（元）</v>
      </c>
      <c r="I108" s="1050">
        <f>C38</f>
        <v>1033</v>
      </c>
    </row>
    <row r="109" spans="1:35" ht="15.75">
      <c r="A109" s="2906" t="s">
        <v>1946</v>
      </c>
      <c r="B109" s="2907"/>
      <c r="C109" s="2295" t="str">
        <f>C108</f>
        <v>总额（元）</v>
      </c>
      <c r="D109" s="637">
        <f>IF(D36="同一抵押权人同一抵押物续贷",C36&amp;"（未扣减，详见特别提示）",C36)</f>
        <v>0</v>
      </c>
      <c r="E109" s="2196"/>
      <c r="F109" s="2904"/>
      <c r="G109" s="2905"/>
      <c r="H109" s="2941"/>
      <c r="I109" s="2942"/>
    </row>
    <row r="110" spans="1:35" ht="28.5" customHeight="1">
      <c r="A110" s="2906" t="s">
        <v>1947</v>
      </c>
      <c r="B110" s="2907"/>
      <c r="C110" s="2295" t="str">
        <f>C108</f>
        <v>总额（元）</v>
      </c>
      <c r="D110" s="637">
        <f>C37</f>
        <v>0</v>
      </c>
      <c r="E110" s="2196"/>
      <c r="F110" s="2886" t="str">
        <f>IF(项目基本情况!F5="已注销","——","3.房地产抵押价值")</f>
        <v>3.房地产抵押价值</v>
      </c>
      <c r="G110" s="2887"/>
      <c r="H110" s="2297" t="str">
        <f>C112</f>
        <v>总价（元）</v>
      </c>
      <c r="I110" s="1863">
        <f ca="1">IF(F110="——","——",I102-I105)</f>
        <v>6662606</v>
      </c>
    </row>
    <row r="111" spans="1:35" ht="15">
      <c r="A111" s="2906" t="s">
        <v>1949</v>
      </c>
      <c r="B111" s="2907"/>
      <c r="C111" s="2295" t="str">
        <f>C108</f>
        <v>总额（元）</v>
      </c>
      <c r="D111" s="637">
        <f>C38</f>
        <v>1033</v>
      </c>
      <c r="E111" s="2196"/>
      <c r="F111" s="2888"/>
      <c r="G111" s="2889"/>
      <c r="H111" s="2292" t="s">
        <v>1940</v>
      </c>
      <c r="I111" s="2298">
        <f ca="1">D113</f>
        <v>100628</v>
      </c>
    </row>
    <row r="112" spans="1:35" ht="26.25" customHeight="1">
      <c r="A112" s="2945" t="str">
        <f>IF(项目基本情况!F5="已注销","——","3.房地产抵押价值")</f>
        <v>3.房地产抵押价值</v>
      </c>
      <c r="B112" s="2946"/>
      <c r="C112" s="2292" t="str">
        <f>B101</f>
        <v>总价（元）</v>
      </c>
      <c r="D112" s="1051">
        <f ca="1">IF(A112="——","——",D106-D108)</f>
        <v>6662606</v>
      </c>
      <c r="E112" s="2196"/>
      <c r="F112" s="2886" t="str">
        <f>IF(项目基本情况!F5="已注销及未注销","4.抵押担保权已注销时的房地产抵押价值",IF(项目基本情况!F5="已注销","3.抵押担保权已注销时的房地产抵押价值","——"))</f>
        <v>——</v>
      </c>
      <c r="G112" s="2887"/>
      <c r="H112" s="2297" t="str">
        <f>C114</f>
        <v>总价（元）</v>
      </c>
      <c r="I112" s="1863" t="str">
        <f>IF(F112="——","——",I102-I107-I108)</f>
        <v>——</v>
      </c>
    </row>
    <row r="113" spans="1:15" ht="15">
      <c r="A113" s="2945"/>
      <c r="B113" s="2946"/>
      <c r="C113" s="2292" t="s">
        <v>1940</v>
      </c>
      <c r="D113" s="1052">
        <f ca="1">ROUND(IF(D112=D106,D107,IF(H19="元",D112/项目基本情况!C12,D112*10000/项目基本情况!C12)),0)</f>
        <v>100628</v>
      </c>
      <c r="E113" s="2196"/>
      <c r="F113" s="2888"/>
      <c r="G113" s="2889"/>
      <c r="H113" s="2292" t="s">
        <v>1940</v>
      </c>
      <c r="I113" s="2299" t="str">
        <f>D115</f>
        <v>——</v>
      </c>
    </row>
    <row r="114" spans="1:15" ht="15.75">
      <c r="A114" s="2945" t="str">
        <f>IF(项目基本情况!F5="已注销及未注销","4.抵押担保权已注销时的房地产抵押价值",IF(项目基本情况!F5="已注销","3.抵押担保权已注销时的房地产抵押价值","——"))</f>
        <v>——</v>
      </c>
      <c r="B114" s="2946"/>
      <c r="C114" s="2292" t="str">
        <f>B101</f>
        <v>总价（元）</v>
      </c>
      <c r="D114" s="1051" t="str">
        <f>IF(A114="——","——",D106-D110-D111)</f>
        <v>——</v>
      </c>
      <c r="E114" s="2196"/>
      <c r="F114" s="2886" t="str">
        <f>IF(项目基本情况!G5="抵押净值",IF(OR(项目基本情况!F5="已注销",项目基本情况!F5="房地产抵押价值"),"4.抵押净值","5.抵押净值"),"——")</f>
        <v>——</v>
      </c>
      <c r="G114" s="2887"/>
      <c r="H114" s="2292" t="str">
        <f>C116</f>
        <v>总价（元）</v>
      </c>
      <c r="I114" s="1862" t="str">
        <f>IF(F114="——","——",N59)</f>
        <v>——</v>
      </c>
    </row>
    <row r="115" spans="1:15" ht="15.75" thickBot="1">
      <c r="A115" s="2945"/>
      <c r="B115" s="2946"/>
      <c r="C115" s="2292" t="s">
        <v>1940</v>
      </c>
      <c r="D115" s="1052" t="str">
        <f>IF(A114="——","——",ROUND(IF(D114=D106,D107,IF(H19="元",D114/项目基本情况!C12,D114*10000/项目基本情况!C12)),0))</f>
        <v>——</v>
      </c>
      <c r="E115" s="2196"/>
      <c r="F115" s="2979"/>
      <c r="G115" s="2980"/>
      <c r="H115" s="2300" t="s">
        <v>1940</v>
      </c>
      <c r="I115" s="1864" t="str">
        <f ca="1">D117</f>
        <v>——</v>
      </c>
    </row>
    <row r="116" spans="1:15" ht="15.75">
      <c r="A116" s="2945" t="str">
        <f>IF(项目基本情况!G5="抵押净值",IF(OR(项目基本情况!F5="已注销",项目基本情况!F5="房地产抵押价值"),"4.抵押净值","5.抵押净值"),"——")</f>
        <v>——</v>
      </c>
      <c r="B116" s="2946"/>
      <c r="C116" s="2292" t="str">
        <f>B101</f>
        <v>总价（元）</v>
      </c>
      <c r="D116" s="1051" t="str">
        <f>IF(A116="——","——",N59)</f>
        <v>——</v>
      </c>
      <c r="E116" s="2196"/>
      <c r="F116" s="2882"/>
      <c r="G116" s="2882"/>
      <c r="H116" s="2924"/>
      <c r="I116" s="2924"/>
      <c r="N116" s="55"/>
      <c r="O116" s="55"/>
    </row>
    <row r="117" spans="1:15" ht="15.75" thickBot="1">
      <c r="A117" s="2986"/>
      <c r="B117" s="2987"/>
      <c r="C117" s="2300" t="s">
        <v>1940</v>
      </c>
      <c r="D117" s="1053" t="str">
        <f ca="1">IF(D116=D112,D113,IF(A116="——","——",N61))</f>
        <v>——</v>
      </c>
      <c r="E117" s="2196"/>
      <c r="F117" s="2976" t="str">
        <f>IF(B32="总价","（以上估价结果中单价为总价除以建筑面积得出）","（以上估价结果中总价为楼面单价乘以建筑面积得出）")</f>
        <v>（以上估价结果中总价为楼面单价乘以建筑面积得出）</v>
      </c>
      <c r="G117" s="2976"/>
      <c r="H117" s="2976"/>
      <c r="I117" s="2976"/>
      <c r="N117" s="55"/>
      <c r="O117" s="55"/>
    </row>
    <row r="118" spans="1:15" ht="15">
      <c r="A118" s="2925" t="s">
        <v>1950</v>
      </c>
      <c r="B118" s="2926"/>
      <c r="C118" s="2926"/>
      <c r="D118" s="2926"/>
      <c r="E118" s="2926"/>
      <c r="F118" s="2926"/>
      <c r="G118" s="2926"/>
      <c r="H118" s="2926"/>
      <c r="I118" s="2926"/>
    </row>
    <row r="119" spans="1:15" ht="14.25">
      <c r="A119" s="2897" t="s">
        <v>1951</v>
      </c>
      <c r="B119" s="2895" t="s">
        <v>1952</v>
      </c>
      <c r="C119" s="2895" t="s">
        <v>1953</v>
      </c>
      <c r="D119" s="2902" t="s">
        <v>1954</v>
      </c>
      <c r="E119" s="2903"/>
      <c r="F119" s="2893" t="s">
        <v>1812</v>
      </c>
      <c r="G119" s="2893"/>
      <c r="H119" s="2893" t="s">
        <v>1955</v>
      </c>
      <c r="I119" s="2894"/>
    </row>
    <row r="120" spans="1:15" ht="14.25">
      <c r="A120" s="2897"/>
      <c r="B120" s="2896"/>
      <c r="C120" s="2896"/>
      <c r="D120" s="1887" t="s">
        <v>1956</v>
      </c>
      <c r="E120" s="1887" t="s">
        <v>1957</v>
      </c>
      <c r="F120" s="1887" t="s">
        <v>1956</v>
      </c>
      <c r="G120" s="1887" t="s">
        <v>1958</v>
      </c>
      <c r="H120" s="1887" t="s">
        <v>1956</v>
      </c>
      <c r="I120" s="637" t="s">
        <v>1958</v>
      </c>
    </row>
    <row r="121" spans="1:15" ht="14.25">
      <c r="A121" s="2182" t="str">
        <f>项目基本情况!I1</f>
        <v>北京市房地产</v>
      </c>
      <c r="B121" s="1887">
        <f>项目基本情况!C12</f>
        <v>66.209999999999994</v>
      </c>
      <c r="C121" s="1887">
        <f>项目基本情况!C13</f>
        <v>0</v>
      </c>
      <c r="D121" s="1887">
        <f ca="1">ROUND(IF(B32="总价",C34,IF('数据-取费表'!B3="万元",E121*B121/10000,E121*B121)),0)</f>
        <v>6457064</v>
      </c>
      <c r="E121" s="1887">
        <f ca="1">ROUND(IF(B32="楼面单价",C34,IF(H19="元",D121/B121,D121*10000/B121)),0)</f>
        <v>97524</v>
      </c>
      <c r="F121" s="1887">
        <f ca="1">ROUND(IF(B32="总价",C35,IF('数据-取费表'!B3="万元",G121*B121/10000,G121*B121)),0)</f>
        <v>206575</v>
      </c>
      <c r="G121" s="1887">
        <f ca="1">ROUND(IF(B32="楼面单价",C35,IF(H19="元",F121/B121,F121*10000/B121)),0)</f>
        <v>3120</v>
      </c>
      <c r="H121" s="1887">
        <f ca="1">ROUND(IF(B32="总价",C32,IF('数据-取费表'!B3="万元",I121*B121/10000,I121*B121)),0)</f>
        <v>6663639</v>
      </c>
      <c r="I121" s="637">
        <f ca="1">ROUND(IF(B32="楼面单价",C32,IF(H19="元",H121/B121,H121*10000/B121)),0)</f>
        <v>100644</v>
      </c>
    </row>
    <row r="122" spans="1:15" ht="14.25">
      <c r="A122" s="2897" t="s">
        <v>1959</v>
      </c>
      <c r="B122" s="2893"/>
      <c r="C122" s="2893"/>
      <c r="D122" s="2929" t="str">
        <f ca="1">IF(H19="元",NUMBERSTRING(INT(D121),2)&amp;"元整",NUMBERSTRING(INT(D121*10000),2)&amp;"元整")</f>
        <v>陆佰肆拾伍万柒仟零陆拾肆元整</v>
      </c>
      <c r="E122" s="2930"/>
      <c r="F122" s="2929" t="str">
        <f ca="1">IF(H19="元",NUMBERSTRING(INT(F121),2)&amp;"元整",NUMBERSTRING(INT(F121*10000),2)&amp;"元整")</f>
        <v>贰拾万陆仟伍佰柒拾伍元整</v>
      </c>
      <c r="G122" s="2930"/>
      <c r="H122" s="2929" t="str">
        <f ca="1">IF(H19="元",NUMBERSTRING(INT(H121),2)&amp;"元整",NUMBERSTRING(INT(H121*10000),2)&amp;"元整")</f>
        <v>陆佰陆拾陆万叁仟陆佰叁拾玖元整</v>
      </c>
      <c r="I122" s="2994"/>
    </row>
    <row r="123" spans="1:15" ht="15">
      <c r="A123" s="2931" t="str">
        <f>IF(项目基本情况!D5="房地产市场价值","——",MID(A108,3,LEN(A108)-2))</f>
        <v>估价师所知悉的法定优先受偿款</v>
      </c>
      <c r="B123" s="2932"/>
      <c r="C123" s="2933"/>
      <c r="D123" s="2922">
        <f>I105</f>
        <v>1033</v>
      </c>
      <c r="E123" s="2932"/>
      <c r="F123" s="2932"/>
      <c r="G123" s="2932"/>
      <c r="H123" s="2932"/>
      <c r="I123" s="2981"/>
    </row>
    <row r="124" spans="1:15" ht="14.25">
      <c r="A124" s="2934" t="s">
        <v>1959</v>
      </c>
      <c r="B124" s="2935"/>
      <c r="C124" s="2936"/>
      <c r="D124" s="2982">
        <f>H109</f>
        <v>0</v>
      </c>
      <c r="E124" s="2983"/>
      <c r="F124" s="2983"/>
      <c r="G124" s="2983"/>
      <c r="H124" s="2983"/>
      <c r="I124" s="2984"/>
    </row>
    <row r="125" spans="1:15" ht="15">
      <c r="A125" s="2920" t="str">
        <f>IF(项目基本情况!D5="房地产市场价值","——",MID(A112,3,LEN(A112)-2))</f>
        <v>房地产抵押价值</v>
      </c>
      <c r="B125" s="2921"/>
      <c r="C125" s="2921"/>
      <c r="D125" s="2922">
        <f ca="1">I110</f>
        <v>6662606</v>
      </c>
      <c r="E125" s="2932"/>
      <c r="F125" s="2932"/>
      <c r="G125" s="2932"/>
      <c r="H125" s="2932"/>
      <c r="I125" s="2981"/>
    </row>
    <row r="126" spans="1:15" ht="14.25">
      <c r="A126" s="2897" t="s">
        <v>1959</v>
      </c>
      <c r="B126" s="2893"/>
      <c r="C126" s="2893"/>
      <c r="D126" s="2982">
        <f ca="1">I111</f>
        <v>100628</v>
      </c>
      <c r="E126" s="2983"/>
      <c r="F126" s="2983"/>
      <c r="G126" s="2983"/>
      <c r="H126" s="2983"/>
      <c r="I126" s="2984"/>
    </row>
    <row r="127" spans="1:15" ht="15.75" thickBot="1">
      <c r="A127" s="2920" t="str">
        <f>IF(项目基本情况!D5="房地产市场价值","——",MID(A114,3,LEN(A114)-2))</f>
        <v/>
      </c>
      <c r="B127" s="2921"/>
      <c r="C127" s="2921"/>
      <c r="D127" s="2877" t="str">
        <f>I112</f>
        <v>——</v>
      </c>
      <c r="E127" s="2878"/>
      <c r="F127" s="2878"/>
      <c r="G127" s="2878"/>
      <c r="H127" s="2878"/>
      <c r="I127" s="2879"/>
    </row>
    <row r="128" spans="1:15" ht="15.75" thickTop="1" thickBot="1">
      <c r="A128" s="2897" t="s">
        <v>1959</v>
      </c>
      <c r="B128" s="2893"/>
      <c r="C128" s="2977"/>
      <c r="D128" s="2923" t="str">
        <f>I113</f>
        <v>——</v>
      </c>
      <c r="E128" s="2923"/>
      <c r="F128" s="2923"/>
      <c r="G128" s="2923"/>
      <c r="H128" s="2923"/>
      <c r="I128" s="2923"/>
    </row>
    <row r="129" spans="1:9" ht="16.5" thickTop="1" thickBot="1">
      <c r="A129" s="2920" t="str">
        <f>IF(项目基本情况!D5="房地产市场价值","——",MID(F114,3,LEN(F114)-2))</f>
        <v/>
      </c>
      <c r="B129" s="2921"/>
      <c r="C129" s="2922"/>
      <c r="D129" s="2985" t="str">
        <f>I114</f>
        <v>——</v>
      </c>
      <c r="E129" s="2985"/>
      <c r="F129" s="2985"/>
      <c r="G129" s="2985"/>
      <c r="H129" s="2985"/>
      <c r="I129" s="2985"/>
    </row>
    <row r="130" spans="1:9" ht="15.75" thickTop="1" thickBot="1">
      <c r="A130" s="2990" t="s">
        <v>1959</v>
      </c>
      <c r="B130" s="2991"/>
      <c r="C130" s="2991"/>
      <c r="D130" s="2995">
        <f>H116</f>
        <v>0</v>
      </c>
      <c r="E130" s="2996"/>
      <c r="F130" s="2996"/>
      <c r="G130" s="2996"/>
      <c r="H130" s="2996"/>
      <c r="I130" s="2997"/>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975" t="str">
        <f>IF(B32="总价","（以上估价结果中楼面单价为总价除以建筑面积得出）","（以上估价结果中总价为楼面单价乘以建筑面积得出）")</f>
        <v>（以上估价结果中总价为楼面单价乘以建筑面积得出）</v>
      </c>
      <c r="B132" s="2975"/>
      <c r="C132" s="2975"/>
      <c r="D132" s="2975"/>
      <c r="E132" s="2975"/>
      <c r="F132" s="2975"/>
      <c r="G132" s="2975"/>
      <c r="H132" s="2975"/>
      <c r="I132" s="2975"/>
    </row>
    <row r="133" spans="1:9" ht="21.75" customHeight="1">
      <c r="A133" s="2301" t="s">
        <v>1960</v>
      </c>
      <c r="B133" s="2302"/>
      <c r="C133" s="2303" t="s">
        <v>1961</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1962</v>
      </c>
      <c r="G139" s="2315"/>
      <c r="H139" s="2315"/>
      <c r="I139" s="2316" t="s">
        <v>1963</v>
      </c>
    </row>
    <row r="140" spans="1:9" ht="21.75" customHeight="1">
      <c r="A140" s="798"/>
      <c r="B140" s="2317"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1965</v>
      </c>
    </row>
    <row r="143" spans="1:9" ht="21.75" customHeight="1">
      <c r="A143" s="798"/>
      <c r="B143" s="2317" t="s">
        <v>1966</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1965</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1967</v>
      </c>
      <c r="B1" s="2196"/>
      <c r="C1" s="2196"/>
      <c r="D1" s="2196"/>
      <c r="E1" s="2196"/>
      <c r="F1" s="2196"/>
      <c r="G1" s="2196"/>
      <c r="H1" s="2196"/>
      <c r="I1" s="2196"/>
    </row>
    <row r="2" spans="1:12" ht="21.75" customHeight="1">
      <c r="A2" s="2999" t="s">
        <v>1968</v>
      </c>
      <c r="B2" s="2999"/>
      <c r="C2" s="2999"/>
      <c r="D2" s="2999"/>
      <c r="E2" s="2999"/>
      <c r="F2" s="2999"/>
      <c r="G2" s="2999"/>
      <c r="H2" s="2999"/>
      <c r="I2" s="2999"/>
    </row>
    <row r="3" spans="1:12" ht="12.75">
      <c r="A3" s="2953" t="s">
        <v>1772</v>
      </c>
      <c r="B3" s="2954"/>
      <c r="C3" s="2954"/>
      <c r="D3" s="2954"/>
      <c r="E3" s="2954"/>
      <c r="F3" s="2954"/>
      <c r="G3" s="2954"/>
      <c r="H3" s="2954"/>
      <c r="I3" s="2954"/>
    </row>
    <row r="4" spans="1:12" ht="14.25">
      <c r="A4" s="2198" t="s">
        <v>1773</v>
      </c>
      <c r="B4" s="2199" t="s">
        <v>1774</v>
      </c>
      <c r="C4" s="2200"/>
      <c r="D4" s="2200"/>
      <c r="E4" s="2958" t="s">
        <v>1969</v>
      </c>
      <c r="F4" s="2959"/>
      <c r="G4" s="2959"/>
      <c r="H4" s="2959"/>
      <c r="I4" s="296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8" t="s">
        <v>1776</v>
      </c>
      <c r="B5" s="2893">
        <v>25</v>
      </c>
      <c r="C5" s="2955"/>
      <c r="D5" s="2952"/>
      <c r="E5" s="56" t="s">
        <v>1777</v>
      </c>
      <c r="F5" s="2201"/>
      <c r="G5" s="2201"/>
      <c r="H5" s="2201"/>
      <c r="I5" s="2202"/>
    </row>
    <row r="6" spans="1:12" ht="12.75">
      <c r="A6" s="2948"/>
      <c r="B6" s="2893"/>
      <c r="C6" s="2956"/>
      <c r="D6" s="2952"/>
      <c r="E6" s="56" t="s">
        <v>1778</v>
      </c>
      <c r="F6" s="2201"/>
      <c r="G6" s="2201"/>
      <c r="H6" s="2201"/>
      <c r="I6" s="2202"/>
    </row>
    <row r="7" spans="1:12" ht="12.75">
      <c r="A7" s="2948"/>
      <c r="B7" s="2893"/>
      <c r="C7" s="2957"/>
      <c r="D7" s="2952"/>
      <c r="E7" s="56" t="s">
        <v>1779</v>
      </c>
      <c r="F7" s="2201"/>
      <c r="G7" s="2201"/>
      <c r="H7" s="2201"/>
      <c r="I7" s="2202"/>
    </row>
    <row r="8" spans="1:12" ht="12.75">
      <c r="A8" s="2948" t="s">
        <v>1780</v>
      </c>
      <c r="B8" s="2893">
        <v>15</v>
      </c>
      <c r="C8" s="2955"/>
      <c r="D8" s="2952"/>
      <c r="E8" s="56" t="s">
        <v>1781</v>
      </c>
      <c r="F8" s="2201"/>
      <c r="G8" s="2201"/>
      <c r="H8" s="2201"/>
      <c r="I8" s="2202"/>
    </row>
    <row r="9" spans="1:12" ht="12.75">
      <c r="A9" s="2948"/>
      <c r="B9" s="2893"/>
      <c r="C9" s="2957"/>
      <c r="D9" s="2952"/>
      <c r="E9" s="56" t="s">
        <v>1782</v>
      </c>
      <c r="F9" s="2201"/>
      <c r="G9" s="2201"/>
      <c r="H9" s="2201"/>
      <c r="I9" s="2202"/>
    </row>
    <row r="10" spans="1:12" ht="12.75">
      <c r="A10" s="2948" t="s">
        <v>1783</v>
      </c>
      <c r="B10" s="2893">
        <v>15</v>
      </c>
      <c r="C10" s="2955"/>
      <c r="D10" s="2952"/>
      <c r="E10" s="56" t="s">
        <v>1784</v>
      </c>
      <c r="F10" s="2201"/>
      <c r="G10" s="2201"/>
      <c r="H10" s="2201"/>
      <c r="I10" s="2202"/>
    </row>
    <row r="11" spans="1:12" ht="12.75">
      <c r="A11" s="2948"/>
      <c r="B11" s="2893"/>
      <c r="C11" s="2957"/>
      <c r="D11" s="2952"/>
      <c r="E11" s="56" t="s">
        <v>1785</v>
      </c>
      <c r="F11" s="2201"/>
      <c r="G11" s="2201"/>
      <c r="H11" s="2201"/>
      <c r="I11" s="2202"/>
    </row>
    <row r="12" spans="1:12" ht="12.75">
      <c r="A12" s="2948" t="s">
        <v>1786</v>
      </c>
      <c r="B12" s="2893">
        <v>15</v>
      </c>
      <c r="C12" s="2955"/>
      <c r="D12" s="2952"/>
      <c r="E12" s="56" t="s">
        <v>1787</v>
      </c>
      <c r="F12" s="2201"/>
      <c r="G12" s="2201"/>
      <c r="H12" s="2201"/>
      <c r="I12" s="2202"/>
    </row>
    <row r="13" spans="1:12" ht="12.75">
      <c r="A13" s="2948"/>
      <c r="B13" s="2893"/>
      <c r="C13" s="2957"/>
      <c r="D13" s="2952"/>
      <c r="E13" s="56" t="s">
        <v>1788</v>
      </c>
      <c r="F13" s="2201"/>
      <c r="G13" s="2201"/>
      <c r="H13" s="2201"/>
      <c r="I13" s="2202"/>
    </row>
    <row r="14" spans="1:12" ht="12.75">
      <c r="A14" s="2948" t="s">
        <v>1789</v>
      </c>
      <c r="B14" s="2893">
        <v>30</v>
      </c>
      <c r="C14" s="2955"/>
      <c r="D14" s="2952"/>
      <c r="E14" s="56" t="s">
        <v>1790</v>
      </c>
      <c r="F14" s="2201"/>
      <c r="G14" s="2201"/>
      <c r="H14" s="2201"/>
      <c r="I14" s="2202"/>
    </row>
    <row r="15" spans="1:12" ht="12.75">
      <c r="A15" s="2948"/>
      <c r="B15" s="2893"/>
      <c r="C15" s="2956"/>
      <c r="D15" s="2952"/>
      <c r="E15" s="56" t="s">
        <v>1791</v>
      </c>
      <c r="F15" s="2201"/>
      <c r="G15" s="2201"/>
      <c r="H15" s="2201"/>
      <c r="I15" s="2202"/>
    </row>
    <row r="16" spans="1:12" ht="12.75">
      <c r="A16" s="2948"/>
      <c r="B16" s="2893"/>
      <c r="C16" s="2957"/>
      <c r="D16" s="2952"/>
      <c r="E16" s="56" t="s">
        <v>1792</v>
      </c>
      <c r="F16" s="2201"/>
      <c r="G16" s="2201"/>
      <c r="H16" s="2201"/>
      <c r="I16" s="2202"/>
    </row>
    <row r="17" spans="1:35" ht="15">
      <c r="A17" s="2203" t="s">
        <v>1793</v>
      </c>
      <c r="B17" s="2204"/>
      <c r="C17" s="57">
        <f>SUM(C5:C16)</f>
        <v>0</v>
      </c>
      <c r="D17" s="57">
        <f>SUM(D5:D16)</f>
        <v>0</v>
      </c>
      <c r="E17" s="2196"/>
      <c r="F17" s="2196"/>
      <c r="G17" s="2196"/>
      <c r="H17" s="2196"/>
      <c r="I17" s="2196"/>
    </row>
    <row r="18" spans="1:35" ht="15.75" thickBot="1">
      <c r="A18" s="2205" t="s">
        <v>1794</v>
      </c>
      <c r="B18" s="2206"/>
      <c r="C18" s="58" t="e">
        <f>ROUND(C17/SUM(C17:D17),2)</f>
        <v>#DIV/0!</v>
      </c>
      <c r="D18" s="58" t="e">
        <f>1-C18</f>
        <v>#DIV/0!</v>
      </c>
      <c r="E18" s="2196"/>
      <c r="F18" s="2196"/>
      <c r="G18" s="2196"/>
      <c r="H18" s="2196"/>
      <c r="I18" s="2196"/>
    </row>
    <row r="19" spans="1:35" ht="15">
      <c r="A19" s="2207" t="s">
        <v>1795</v>
      </c>
      <c r="B19" s="2208" t="s">
        <v>1796</v>
      </c>
      <c r="C19" s="59" t="e">
        <f ca="1">SUMIF(INDIRECT("'"&amp;C4&amp;"'"&amp;"!A:A"),'结果表 (1修多)'!B19,INDIRECT("'"&amp;C4&amp;"'"&amp;"!B:B"))</f>
        <v>#REF!</v>
      </c>
      <c r="D19" s="60" t="e">
        <f ca="1">SUMIF(INDIRECT("'"&amp;D4&amp;"'"&amp;"!A:A"),'结果表 (1修多)'!B19,INDIRECT("'"&amp;D4&amp;"'"&amp;"!B:B"))</f>
        <v>#REF!</v>
      </c>
      <c r="E19" s="2207" t="s">
        <v>1797</v>
      </c>
      <c r="F19" s="2208" t="s">
        <v>1796</v>
      </c>
      <c r="G19" s="61" t="e">
        <f ca="1">ROUND(C19*$C$18+D19*$D$18,0)</f>
        <v>#REF!</v>
      </c>
      <c r="H19" s="2209" t="str">
        <f>'数据-取费表'!B3</f>
        <v>元</v>
      </c>
      <c r="I19" s="2196"/>
    </row>
    <row r="20" spans="1:35" ht="15">
      <c r="A20" s="2210"/>
      <c r="B20" s="2211" t="s">
        <v>1798</v>
      </c>
      <c r="C20" s="62" t="e">
        <f ca="1">SUMIF(INDIRECT("'"&amp;C4&amp;"'"&amp;"!A:A"),'结果表 (1修多)'!B20,INDIRECT("'"&amp;C4&amp;"'"&amp;"!B:B"))</f>
        <v>#REF!</v>
      </c>
      <c r="D20" s="63" t="e">
        <f ca="1">SUMIF(INDIRECT("'"&amp;D4&amp;"'"&amp;"!A:A"),'结果表 (1修多)'!B20,INDIRECT("'"&amp;D4&amp;"'"&amp;"!B:B"))</f>
        <v>#REF!</v>
      </c>
      <c r="E20" s="2210"/>
      <c r="F20" s="2211" t="s">
        <v>1798</v>
      </c>
      <c r="G20" s="64" t="e">
        <f ca="1">ROUND(C20*$C$18+D20*$D$18,0)</f>
        <v>#REF!</v>
      </c>
      <c r="H20" s="2212" t="s">
        <v>1799</v>
      </c>
      <c r="I20" s="2196"/>
    </row>
    <row r="21" spans="1:35" ht="15" customHeight="1" thickBot="1">
      <c r="A21" s="2213"/>
      <c r="B21" s="2214"/>
      <c r="C21" s="770"/>
      <c r="D21" s="771"/>
      <c r="E21" s="2213"/>
      <c r="F21" s="2214"/>
      <c r="G21" s="65"/>
      <c r="H21" s="2215"/>
      <c r="I21" s="2196"/>
    </row>
    <row r="22" spans="1:35" ht="15" thickBot="1">
      <c r="A22" s="2216" t="s">
        <v>1800</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61" t="s">
        <v>1801</v>
      </c>
      <c r="B24" s="2208" t="s">
        <v>1796</v>
      </c>
      <c r="C24" s="61">
        <f>D30</f>
        <v>0</v>
      </c>
      <c r="D24" s="994"/>
      <c r="E24" s="2196"/>
      <c r="F24" s="2196"/>
      <c r="G24" s="2196"/>
      <c r="H24" s="2196"/>
      <c r="I24" s="2196"/>
    </row>
    <row r="25" spans="1:35" ht="21.75" customHeight="1">
      <c r="A25" s="2962"/>
      <c r="B25" s="2211" t="s">
        <v>1798</v>
      </c>
      <c r="C25" s="66">
        <f>IF(B30=0,0,C30)</f>
        <v>0</v>
      </c>
      <c r="D25" s="2219"/>
      <c r="E25" s="2196"/>
      <c r="F25" s="2196"/>
      <c r="G25" s="2196"/>
      <c r="H25" s="2196"/>
      <c r="I25" s="2196"/>
    </row>
    <row r="26" spans="1:35" ht="13.5" customHeight="1">
      <c r="A26" s="2220" t="s">
        <v>1802</v>
      </c>
      <c r="B26" s="67" t="s">
        <v>1803</v>
      </c>
      <c r="C26" s="67" t="s">
        <v>1804</v>
      </c>
      <c r="D26" s="68" t="s">
        <v>1805</v>
      </c>
      <c r="E26" s="2196"/>
      <c r="F26" s="2196"/>
      <c r="G26" s="2196"/>
      <c r="H26" s="2196"/>
      <c r="I26" s="2196"/>
    </row>
    <row r="27" spans="1:35" ht="14.25">
      <c r="A27" s="2221" t="s">
        <v>1970</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5" thickBot="1">
      <c r="A30" s="2715" t="s">
        <v>1971</v>
      </c>
      <c r="B30" s="2716"/>
      <c r="C30" s="2716"/>
      <c r="D30" s="2716"/>
      <c r="E30" s="2714" t="s">
        <v>2809</v>
      </c>
      <c r="F30" s="2196"/>
      <c r="G30" s="2196"/>
      <c r="H30" s="2196"/>
      <c r="I30" s="2196"/>
    </row>
    <row r="31" spans="1:35" s="2223" customFormat="1" ht="15.75" thickBot="1">
      <c r="A31" s="3009" t="s">
        <v>1972</v>
      </c>
      <c r="B31" s="3009"/>
      <c r="C31" s="3009"/>
      <c r="D31" s="3009"/>
      <c r="E31" s="3009"/>
      <c r="F31" s="3009"/>
      <c r="G31" s="3009"/>
      <c r="H31" s="3009"/>
      <c r="I31" s="300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1973</v>
      </c>
      <c r="C32" s="1308">
        <f>典型户型修正!R27</f>
        <v>0</v>
      </c>
      <c r="D32" s="2196" t="s">
        <v>1974</v>
      </c>
      <c r="E32" s="2196"/>
      <c r="F32" s="2196"/>
      <c r="G32" s="2196"/>
      <c r="H32" s="2196"/>
      <c r="I32" s="2196"/>
    </row>
    <row r="33" spans="1:16" ht="15">
      <c r="A33" s="2323" t="s">
        <v>1975</v>
      </c>
      <c r="B33" s="2324" t="s">
        <v>1976</v>
      </c>
      <c r="C33" s="1309">
        <f>典型户型修正!B2</f>
        <v>0</v>
      </c>
      <c r="D33" s="2325" t="str">
        <f>IF('数据-取费表'!B3="万元","万元","元")</f>
        <v>元</v>
      </c>
      <c r="E33" s="2196"/>
      <c r="F33" s="2196"/>
      <c r="G33" s="2196"/>
      <c r="H33" s="2196"/>
      <c r="I33" s="2196"/>
    </row>
    <row r="34" spans="1:16" ht="15.75" thickBot="1">
      <c r="A34" s="2326"/>
      <c r="B34" s="2327" t="s">
        <v>1977</v>
      </c>
      <c r="C34" s="771" t="e">
        <f>典型户型修正!B3</f>
        <v>#DIV/0!</v>
      </c>
      <c r="D34" s="2196" t="s">
        <v>1978</v>
      </c>
      <c r="E34" s="2196"/>
      <c r="F34" s="2196"/>
      <c r="G34" s="2196"/>
      <c r="H34" s="2196"/>
      <c r="I34" s="2196"/>
    </row>
    <row r="35" spans="1:16" ht="15">
      <c r="A35" s="2328"/>
      <c r="B35" s="2329" t="s">
        <v>1979</v>
      </c>
      <c r="C35" s="1316">
        <f>IF('数据-取费表'!B3="万元",典型户型修正!V25,典型户型修正!U25)</f>
        <v>0</v>
      </c>
      <c r="D35" s="2196" t="str">
        <f>D33</f>
        <v>元</v>
      </c>
      <c r="E35" s="2196"/>
      <c r="F35" s="2196"/>
      <c r="G35" s="2196"/>
      <c r="H35" s="2196"/>
      <c r="I35" s="2196"/>
    </row>
    <row r="36" spans="1:16" ht="15.75" thickBot="1">
      <c r="A36" s="2235"/>
      <c r="B36" s="2330" t="s">
        <v>1980</v>
      </c>
      <c r="C36" s="1317">
        <f>IF('数据-取费表'!B3="万元",典型户型修正!Y25,典型户型修正!X25)</f>
        <v>0</v>
      </c>
      <c r="D36" s="2196" t="str">
        <f>D33</f>
        <v>元</v>
      </c>
      <c r="E36" s="2196"/>
      <c r="F36" s="2196"/>
      <c r="G36" s="2196"/>
      <c r="H36" s="2196"/>
      <c r="I36" s="2196"/>
    </row>
    <row r="37" spans="1:16" ht="15.75" thickBot="1">
      <c r="A37" s="2966" t="s">
        <v>1981</v>
      </c>
      <c r="B37" s="2238" t="s">
        <v>1982</v>
      </c>
      <c r="C37" s="69"/>
      <c r="D37" s="2239"/>
      <c r="E37" s="2240"/>
      <c r="F37" s="2240"/>
      <c r="G37" s="2196"/>
      <c r="H37" s="2196"/>
      <c r="I37" s="2196"/>
    </row>
    <row r="38" spans="1:16" ht="15.75" thickBot="1">
      <c r="A38" s="2967"/>
      <c r="B38" s="2241" t="s">
        <v>1983</v>
      </c>
      <c r="C38" s="71"/>
      <c r="D38" s="2206"/>
      <c r="E38" s="2206"/>
      <c r="F38" s="2240"/>
      <c r="G38" s="2206"/>
      <c r="H38" s="2206"/>
      <c r="I38" s="2206"/>
    </row>
    <row r="39" spans="1:16" ht="15.75" thickBot="1">
      <c r="A39" s="2968"/>
      <c r="B39" s="2242" t="s">
        <v>1984</v>
      </c>
      <c r="C39" s="712"/>
      <c r="D39" s="2243" t="s">
        <v>1985</v>
      </c>
      <c r="E39" s="2206"/>
      <c r="F39" s="2240"/>
      <c r="G39" s="2206"/>
      <c r="H39" s="2206"/>
      <c r="I39" s="2206"/>
    </row>
    <row r="40" spans="1:16" ht="15">
      <c r="A40" s="2210" t="s">
        <v>1986</v>
      </c>
      <c r="B40" s="2244" t="s">
        <v>1987</v>
      </c>
      <c r="C40" s="2245" t="s">
        <v>1988</v>
      </c>
      <c r="D40" s="2245" t="s">
        <v>1989</v>
      </c>
      <c r="E40" s="2246" t="s">
        <v>1990</v>
      </c>
      <c r="F40" s="2240"/>
      <c r="G40" s="2206"/>
      <c r="H40" s="2206"/>
      <c r="I40" s="2206"/>
    </row>
    <row r="41" spans="1:16" ht="14.25">
      <c r="A41" s="2247" t="s">
        <v>1991</v>
      </c>
      <c r="B41" s="74"/>
      <c r="C41" s="75"/>
      <c r="D41" s="75"/>
      <c r="E41" s="76"/>
      <c r="F41" s="2240"/>
      <c r="G41" s="2206"/>
      <c r="H41" s="2206"/>
      <c r="I41" s="2206"/>
    </row>
    <row r="42" spans="1:16" ht="14.25">
      <c r="A42" s="2247" t="s">
        <v>1992</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1993</v>
      </c>
      <c r="B45" s="2253"/>
      <c r="C45" s="2253"/>
      <c r="D45" s="2254"/>
      <c r="E45" s="2254"/>
      <c r="F45" s="2255"/>
      <c r="G45" s="2255"/>
      <c r="H45" s="2255"/>
      <c r="I45" s="2255"/>
      <c r="J45" s="2256" t="s">
        <v>1824</v>
      </c>
      <c r="K45" s="2257"/>
      <c r="L45" s="2257"/>
      <c r="M45" s="2257"/>
      <c r="N45" s="2257"/>
      <c r="O45" s="2257"/>
      <c r="P45" s="1845"/>
    </row>
    <row r="46" spans="1:16" ht="14.25" customHeight="1" thickBot="1">
      <c r="A46" s="2971" t="s">
        <v>1994</v>
      </c>
      <c r="B46" s="2972"/>
      <c r="C46" s="2973"/>
      <c r="D46" s="80">
        <f>ROUND(I103*F46,0)</f>
        <v>0</v>
      </c>
      <c r="E46" s="81" t="s">
        <v>1995</v>
      </c>
      <c r="F46" s="82">
        <v>1</v>
      </c>
      <c r="G46" s="83" t="s">
        <v>1996</v>
      </c>
      <c r="H46" s="2196"/>
      <c r="I46" s="2196"/>
      <c r="J46" s="2883" t="s">
        <v>1828</v>
      </c>
      <c r="K46" s="2883"/>
      <c r="L46" s="2883"/>
      <c r="M46" s="2883"/>
      <c r="N46" s="2883"/>
      <c r="O46" s="2883"/>
      <c r="P46" s="1845"/>
    </row>
    <row r="47" spans="1:16" ht="14.25" customHeight="1">
      <c r="A47" s="2963" t="s">
        <v>1829</v>
      </c>
      <c r="B47" s="2964"/>
      <c r="C47" s="2964"/>
      <c r="D47" s="2964"/>
      <c r="E47" s="2964"/>
      <c r="F47" s="2964"/>
      <c r="G47" s="2965"/>
      <c r="H47" s="2258"/>
      <c r="I47" s="1144"/>
      <c r="J47" s="1883">
        <v>1</v>
      </c>
      <c r="K47" s="2883" t="s">
        <v>1830</v>
      </c>
      <c r="L47" s="2883"/>
      <c r="M47" s="2998"/>
      <c r="N47" s="2998"/>
      <c r="O47" s="2998"/>
      <c r="P47" s="1845"/>
    </row>
    <row r="48" spans="1:16" ht="12" customHeight="1">
      <c r="A48" s="85" t="s">
        <v>1831</v>
      </c>
      <c r="B48" s="86"/>
      <c r="C48" s="87"/>
      <c r="D48" s="88" t="s">
        <v>1832</v>
      </c>
      <c r="E48" s="14" t="s">
        <v>1833</v>
      </c>
      <c r="F48" s="89" t="s">
        <v>1834</v>
      </c>
      <c r="G48" s="90" t="s">
        <v>1835</v>
      </c>
      <c r="H48" s="2258"/>
      <c r="I48" s="1144"/>
      <c r="J48" s="1883">
        <v>2</v>
      </c>
      <c r="K48" s="2883" t="s">
        <v>1836</v>
      </c>
      <c r="L48" s="2883"/>
      <c r="M48" s="2885">
        <f>'数据-取费表'!B2</f>
        <v>43339</v>
      </c>
      <c r="N48" s="2885"/>
      <c r="O48" s="2885"/>
      <c r="P48" s="1845"/>
    </row>
    <row r="49" spans="1:16" ht="25.5">
      <c r="A49" s="2969" t="s">
        <v>1837</v>
      </c>
      <c r="B49" s="2970"/>
      <c r="C49" s="2970"/>
      <c r="D49" s="56">
        <f>IF(H49="情况1",0,IF(H49="情况2",D53,IF(H49="情况3",D54,IF(H49="情况4",D55))))</f>
        <v>0</v>
      </c>
      <c r="E49" s="1893" t="str">
        <f>IF(H49="情况4","(销售额-原购置价)×税（费）率","销售额×税（费）率")</f>
        <v>销售额×税（费）率</v>
      </c>
      <c r="F49" s="91">
        <f>IF(H49="情况1","免征",'数据-取费表'!E29)</f>
        <v>5.6000000000000001E-2</v>
      </c>
      <c r="G49" s="2259" t="s">
        <v>1838</v>
      </c>
      <c r="H49" s="2260" t="s">
        <v>1839</v>
      </c>
      <c r="I49" s="2258"/>
      <c r="J49" s="1883">
        <v>3</v>
      </c>
      <c r="K49" s="2883" t="s">
        <v>1840</v>
      </c>
      <c r="L49" s="2883"/>
      <c r="M49" s="2884">
        <f>I103</f>
        <v>0</v>
      </c>
      <c r="N49" s="2884"/>
      <c r="O49" s="2884"/>
      <c r="P49" s="1845"/>
    </row>
    <row r="50" spans="1:16" ht="25.5" customHeight="1">
      <c r="A50" s="92" t="s">
        <v>1841</v>
      </c>
      <c r="B50" s="2950" t="s">
        <v>1842</v>
      </c>
      <c r="C50" s="2950"/>
      <c r="D50" s="93">
        <v>0</v>
      </c>
      <c r="E50" s="13" t="s">
        <v>1843</v>
      </c>
      <c r="F50" s="18" t="s">
        <v>48</v>
      </c>
      <c r="G50" s="2874"/>
      <c r="H50" s="2196"/>
      <c r="I50" s="2261"/>
      <c r="J50" s="1883">
        <v>4</v>
      </c>
      <c r="K50" s="2883" t="str">
        <f>IF(项目基本情况!F5="房地产抵押价值","房地产抵押价值","抵押担保权已注销时的房地产抵押价值")</f>
        <v>抵押担保权已注销时的房地产抵押价值</v>
      </c>
      <c r="L50" s="2883"/>
      <c r="M50" s="2884" t="str">
        <f>IF(项目基本情况!F5="房地产抵押价值",I111,I113)</f>
        <v>——</v>
      </c>
      <c r="N50" s="2884"/>
      <c r="O50" s="2884"/>
      <c r="P50" s="1845"/>
    </row>
    <row r="51" spans="1:16" ht="25.5" customHeight="1">
      <c r="A51" s="94"/>
      <c r="B51" s="2950" t="s">
        <v>1844</v>
      </c>
      <c r="C51" s="2950"/>
      <c r="D51" s="95"/>
      <c r="E51" s="21"/>
      <c r="F51" s="96"/>
      <c r="G51" s="2875"/>
      <c r="H51" s="2196"/>
      <c r="I51" s="2261"/>
      <c r="J51" s="2883" t="s">
        <v>1845</v>
      </c>
      <c r="K51" s="2883"/>
      <c r="L51" s="2883"/>
      <c r="M51" s="2883"/>
      <c r="N51" s="2883"/>
      <c r="O51" s="2883"/>
      <c r="P51" s="1845"/>
    </row>
    <row r="52" spans="1:16" ht="12" customHeight="1">
      <c r="A52" s="97"/>
      <c r="B52" s="2950" t="s">
        <v>1846</v>
      </c>
      <c r="C52" s="2950"/>
      <c r="D52" s="98"/>
      <c r="E52" s="20"/>
      <c r="F52" s="96"/>
      <c r="G52" s="2876"/>
      <c r="H52" s="2196"/>
      <c r="I52" s="2261"/>
      <c r="J52" s="2262" t="s">
        <v>1847</v>
      </c>
      <c r="K52" s="2883" t="s">
        <v>1848</v>
      </c>
      <c r="L52" s="2883"/>
      <c r="M52" s="2262" t="s">
        <v>1849</v>
      </c>
      <c r="N52" s="2262" t="s">
        <v>1850</v>
      </c>
      <c r="O52" s="2262" t="s">
        <v>1851</v>
      </c>
      <c r="P52" s="1845"/>
    </row>
    <row r="53" spans="1:16" ht="24" customHeight="1">
      <c r="A53" s="99" t="s">
        <v>1852</v>
      </c>
      <c r="B53" s="2950" t="s">
        <v>1853</v>
      </c>
      <c r="C53" s="2950"/>
      <c r="D53" s="98">
        <f>ROUND(D46*'数据-取费表'!E29/(1+'数据-取费表'!F30),0)</f>
        <v>0</v>
      </c>
      <c r="E53" s="10" t="s">
        <v>1854</v>
      </c>
      <c r="F53" s="100">
        <f>'数据-取费表'!E29</f>
        <v>5.6000000000000001E-2</v>
      </c>
      <c r="G53" s="2263"/>
      <c r="H53" s="2196"/>
      <c r="I53" s="2261"/>
      <c r="J53" s="1883">
        <v>1</v>
      </c>
      <c r="K53" s="2873" t="s">
        <v>1855</v>
      </c>
      <c r="L53" s="2873"/>
      <c r="M53" s="778">
        <f>D49</f>
        <v>0</v>
      </c>
      <c r="N53" s="1883" t="str">
        <f>E49</f>
        <v>销售额×税（费）率</v>
      </c>
      <c r="O53" s="779">
        <f>F49</f>
        <v>5.6000000000000001E-2</v>
      </c>
      <c r="P53" s="1845"/>
    </row>
    <row r="54" spans="1:16" ht="12" customHeight="1">
      <c r="A54" s="99" t="s">
        <v>1856</v>
      </c>
      <c r="B54" s="2949" t="s">
        <v>1857</v>
      </c>
      <c r="C54" s="2838"/>
      <c r="D54" s="98">
        <f>ROUND(D46*'数据-取费表'!E29/(1+'数据-取费表'!F30),0)</f>
        <v>0</v>
      </c>
      <c r="E54" s="10" t="s">
        <v>1854</v>
      </c>
      <c r="F54" s="100">
        <f>'数据-取费表'!E29</f>
        <v>5.6000000000000001E-2</v>
      </c>
      <c r="G54" s="2263"/>
      <c r="H54" s="2196"/>
      <c r="I54" s="2261"/>
      <c r="J54" s="1883">
        <v>2</v>
      </c>
      <c r="K54" s="2873" t="s">
        <v>1858</v>
      </c>
      <c r="L54" s="2873"/>
      <c r="M54" s="778">
        <f t="shared" ref="M54:O55" si="0">D56</f>
        <v>0</v>
      </c>
      <c r="N54" s="1883" t="str">
        <f t="shared" si="0"/>
        <v>销售额×税（费）率</v>
      </c>
      <c r="O54" s="779">
        <f t="shared" si="0"/>
        <v>5.0000000000000001E-4</v>
      </c>
      <c r="P54" s="1845"/>
    </row>
    <row r="55" spans="1:16" ht="12" customHeight="1">
      <c r="A55" s="99" t="s">
        <v>1859</v>
      </c>
      <c r="B55" s="2949" t="s">
        <v>1860</v>
      </c>
      <c r="C55" s="2838"/>
      <c r="D55" s="98">
        <f>C69</f>
        <v>0</v>
      </c>
      <c r="E55" s="20" t="s">
        <v>1861</v>
      </c>
      <c r="F55" s="100">
        <f>'数据-取费表'!E29</f>
        <v>5.6000000000000001E-2</v>
      </c>
      <c r="G55" s="2263"/>
      <c r="H55" s="2264"/>
      <c r="I55" s="2261"/>
      <c r="J55" s="1883">
        <v>3</v>
      </c>
      <c r="K55" s="2873" t="s">
        <v>1862</v>
      </c>
      <c r="L55" s="2873"/>
      <c r="M55" s="778">
        <f t="shared" si="0"/>
        <v>0</v>
      </c>
      <c r="N55" s="1883" t="str">
        <f t="shared" si="0"/>
        <v>增值额×税（费）率</v>
      </c>
      <c r="O55" s="780" t="str">
        <f t="shared" si="0"/>
        <v>——</v>
      </c>
      <c r="P55" s="1845"/>
    </row>
    <row r="56" spans="1:16" ht="24" customHeight="1">
      <c r="A56" s="2830" t="s">
        <v>1863</v>
      </c>
      <c r="B56" s="2970"/>
      <c r="C56" s="2970"/>
      <c r="D56" s="101">
        <f>IF(H56="个人住宅",0,ROUND(D46*I56,0))</f>
        <v>0</v>
      </c>
      <c r="E56" s="10" t="s">
        <v>1864</v>
      </c>
      <c r="F56" s="100">
        <f>IF(H56="正常",I56,"免征")</f>
        <v>5.0000000000000001E-4</v>
      </c>
      <c r="G56" s="2263"/>
      <c r="H56" s="2260" t="s">
        <v>1865</v>
      </c>
      <c r="I56" s="102">
        <f>'数据-取费表'!E37</f>
        <v>5.0000000000000001E-4</v>
      </c>
      <c r="J56" s="1883" t="str">
        <f>IF(H60="非个人房产","",4)</f>
        <v/>
      </c>
      <c r="K56" s="2873" t="str">
        <f>IF(H60="非个人房产","——","个人所得税")</f>
        <v>——</v>
      </c>
      <c r="L56" s="2873"/>
      <c r="M56" s="781" t="str">
        <f>D60</f>
        <v>——</v>
      </c>
      <c r="N56" s="1886" t="str">
        <f>E60</f>
        <v>——</v>
      </c>
      <c r="O56" s="782" t="str">
        <f>F60</f>
        <v>——</v>
      </c>
      <c r="P56" s="1845"/>
    </row>
    <row r="57" spans="1:16" ht="24.75">
      <c r="A57" s="2830" t="s">
        <v>1866</v>
      </c>
      <c r="B57" s="2970"/>
      <c r="C57" s="2970"/>
      <c r="D57" s="101">
        <f>IF(H57="个人住宅",D58,D59)</f>
        <v>0</v>
      </c>
      <c r="E57" s="10" t="s">
        <v>1867</v>
      </c>
      <c r="F57" s="100" t="str">
        <f>IF(H57="正常",F59,"免征")</f>
        <v>——</v>
      </c>
      <c r="G57" s="2265" t="s">
        <v>1868</v>
      </c>
      <c r="H57" s="2266" t="s">
        <v>1865</v>
      </c>
      <c r="I57" s="1022"/>
      <c r="J57" s="1883" t="str">
        <f>IF(项目基本情况!I6="上海银行",IF(J56="",4,J56+1),"")</f>
        <v/>
      </c>
      <c r="K57" s="2890" t="str">
        <f>IF(项目基本情况!I6="上海银行","其他处置费用","")</f>
        <v/>
      </c>
      <c r="L57" s="2891"/>
      <c r="M57" s="778" t="str">
        <f>IF(项目基本情况!I6="上海银行",M70,"")</f>
        <v/>
      </c>
      <c r="N57" s="2871" t="str">
        <f>IF(项目基本情况!I6="上海银行","包含处置中涉及的律师、诉讼、拍卖、评估等费用","")</f>
        <v/>
      </c>
      <c r="O57" s="2872"/>
      <c r="P57" s="1845"/>
    </row>
    <row r="58" spans="1:16" ht="12.75">
      <c r="A58" s="99" t="s">
        <v>1841</v>
      </c>
      <c r="B58" s="2958" t="s">
        <v>1869</v>
      </c>
      <c r="C58" s="2960"/>
      <c r="D58" s="103">
        <v>0</v>
      </c>
      <c r="E58" s="13" t="s">
        <v>1843</v>
      </c>
      <c r="F58" s="70"/>
      <c r="G58" s="2263"/>
      <c r="H58" s="1022"/>
      <c r="I58" s="1022"/>
      <c r="J58" s="2873">
        <f>IF(AND(J56="",J57=""),4,IF(项目基本情况!I6="上海银行",J57+1,J56+1))</f>
        <v>4</v>
      </c>
      <c r="K58" s="2873" t="s">
        <v>1870</v>
      </c>
      <c r="L58" s="2267" t="s">
        <v>1871</v>
      </c>
      <c r="M58" s="783"/>
      <c r="N58" s="784">
        <f>SUMIF(M53:M57,"&lt;9e307")</f>
        <v>0</v>
      </c>
      <c r="O58" s="2268"/>
      <c r="P58" s="1841" t="e">
        <f>N58/M50</f>
        <v>#VALUE!</v>
      </c>
    </row>
    <row r="59" spans="1:16" ht="24.75">
      <c r="A59" s="99" t="s">
        <v>1852</v>
      </c>
      <c r="B59" s="2958" t="s">
        <v>1872</v>
      </c>
      <c r="C59" s="2959"/>
      <c r="D59" s="101">
        <f>IF(H59="转让取得",C82,C98)</f>
        <v>0</v>
      </c>
      <c r="E59" s="10" t="s">
        <v>1867</v>
      </c>
      <c r="F59" s="14" t="s">
        <v>48</v>
      </c>
      <c r="G59" s="2263"/>
      <c r="H59" s="2266" t="s">
        <v>1873</v>
      </c>
      <c r="I59" s="1022"/>
      <c r="J59" s="2873"/>
      <c r="K59" s="2873"/>
      <c r="L59" s="2267" t="s">
        <v>1874</v>
      </c>
      <c r="M59" s="785"/>
      <c r="N59" s="2269" t="str">
        <f>IF(H19="元",NUMBERSTRING(INT(N58),2)&amp;"元整",NUMBERSTRING(INT(N58*10000),2)&amp;"元整")</f>
        <v>零元整</v>
      </c>
      <c r="O59" s="2270"/>
      <c r="P59" s="1845"/>
    </row>
    <row r="60" spans="1:16" ht="24.75" thickBot="1">
      <c r="A60" s="2831" t="s">
        <v>1875</v>
      </c>
      <c r="B60" s="2834"/>
      <c r="C60" s="2834"/>
      <c r="D60" s="104" t="str">
        <f>IF(H60="非个人房产","——",IF(H60="个人住宅",0,ROUND(D46*I60,0)))</f>
        <v>——</v>
      </c>
      <c r="E60" s="105" t="str">
        <f>IF(H60="非个人房产","——","销售额×税（费）率")</f>
        <v>——</v>
      </c>
      <c r="F60" s="106" t="str">
        <f>IF(H60="非个人房产","——",IF(H60="个人住宅","免征",I60))</f>
        <v>——</v>
      </c>
      <c r="G60" s="2271" t="s">
        <v>1868</v>
      </c>
      <c r="H60" s="2266" t="s">
        <v>1997</v>
      </c>
      <c r="I60" s="107">
        <v>0.01</v>
      </c>
      <c r="J60" s="2927">
        <f>J58+1</f>
        <v>5</v>
      </c>
      <c r="K60" s="2873" t="s">
        <v>1877</v>
      </c>
      <c r="L60" s="1883" t="s">
        <v>1871</v>
      </c>
      <c r="M60" s="786"/>
      <c r="N60" s="787" t="e">
        <f>M50-N58</f>
        <v>#VALUE!</v>
      </c>
      <c r="O60" s="2272"/>
      <c r="P60" s="1845"/>
    </row>
    <row r="61" spans="1:16" ht="12" customHeight="1">
      <c r="A61" s="2068"/>
      <c r="B61" s="2196"/>
      <c r="C61" s="2196"/>
      <c r="D61" s="2196"/>
      <c r="E61" s="1022"/>
      <c r="F61" s="1022"/>
      <c r="G61" s="1022"/>
      <c r="H61" s="2249"/>
      <c r="I61" s="2196"/>
      <c r="J61" s="2928"/>
      <c r="K61" s="2873"/>
      <c r="L61" s="2267" t="s">
        <v>1874</v>
      </c>
      <c r="M61" s="785"/>
      <c r="N61" s="2269" t="e">
        <f>IF(H19="元",NUMBERSTRING(INT(N60),2)&amp;"元整",NUMBERSTRING(INT(N60*10000),2)&amp;"元整")</f>
        <v>#VALUE!</v>
      </c>
      <c r="O61" s="2270"/>
      <c r="P61" s="1845"/>
    </row>
    <row r="62" spans="1:16" ht="13.5" thickBot="1">
      <c r="A62" s="2974" t="s">
        <v>1878</v>
      </c>
      <c r="B62" s="2974"/>
      <c r="C62" s="2974"/>
      <c r="D62" s="2974"/>
      <c r="E62" s="2974"/>
      <c r="F62" s="1022"/>
      <c r="G62" s="1022"/>
      <c r="H62" s="2249"/>
      <c r="I62" s="2196"/>
      <c r="J62" s="1883">
        <f>J60+1</f>
        <v>6</v>
      </c>
      <c r="K62" s="2873" t="s">
        <v>1879</v>
      </c>
      <c r="L62" s="2873"/>
      <c r="M62" s="788"/>
      <c r="N62" s="789" t="e">
        <f>IF(H19="元",ROUND(N60/项目基本情况!C12,0),ROUND(N60*10000/项目基本情况!C12,0))</f>
        <v>#VALUE!</v>
      </c>
      <c r="O62" s="2273"/>
      <c r="P62" s="1845"/>
    </row>
    <row r="63" spans="1:16" ht="12.75">
      <c r="A63" s="2911" t="s">
        <v>1880</v>
      </c>
      <c r="B63" s="2912"/>
      <c r="C63" s="1885"/>
      <c r="D63" s="1885" t="s">
        <v>1881</v>
      </c>
      <c r="E63" s="108" t="s">
        <v>1882</v>
      </c>
      <c r="F63" s="1022"/>
      <c r="G63" s="1022"/>
      <c r="H63" s="2249"/>
      <c r="I63" s="2196"/>
      <c r="J63" s="1845"/>
      <c r="K63" s="1845"/>
      <c r="L63" s="1845"/>
      <c r="M63" s="1845"/>
      <c r="N63" s="1845"/>
      <c r="O63" s="1845"/>
      <c r="P63" s="1845"/>
    </row>
    <row r="64" spans="1:16" ht="12.75">
      <c r="A64" s="109">
        <v>1</v>
      </c>
      <c r="B64" s="110" t="s">
        <v>1883</v>
      </c>
      <c r="C64" s="111">
        <f>ROUND((C65+C66)/(1+'数据-取费表'!F30),0)</f>
        <v>0</v>
      </c>
      <c r="D64" s="112"/>
      <c r="E64" s="113"/>
      <c r="F64" s="1022"/>
      <c r="G64" s="1022"/>
      <c r="H64" s="2249"/>
      <c r="I64" s="2196"/>
      <c r="J64" s="2892" t="s">
        <v>1884</v>
      </c>
      <c r="K64" s="2274"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9"/>
      <c r="I65" s="2196"/>
      <c r="J65" s="2892"/>
      <c r="K65" s="2274" t="s">
        <v>1887</v>
      </c>
      <c r="L65" s="1844"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5" t="s">
        <v>1888</v>
      </c>
      <c r="O65" s="1845"/>
      <c r="P65" s="1845"/>
    </row>
    <row r="66" spans="1:35" ht="12.75">
      <c r="A66" s="114" t="s">
        <v>72</v>
      </c>
      <c r="B66" s="115" t="s">
        <v>1889</v>
      </c>
      <c r="C66" s="119"/>
      <c r="D66" s="117"/>
      <c r="E66" s="118"/>
      <c r="F66" s="1022"/>
      <c r="G66" s="1022"/>
      <c r="H66" s="2249"/>
      <c r="I66" s="2196"/>
      <c r="J66" s="2892"/>
      <c r="K66" s="2274" t="s">
        <v>1890</v>
      </c>
      <c r="L66" s="1844" t="e">
        <f>IF(M50&gt;1000,M50*0.1%,IF(AND(M50&gt;500,M50&lt;=1000),M50*0.5%,IF(AND(M50&gt;50,M50&lt;=500),M50*1%,IF(AND(M50&gt;1,M50&lt;=50),M50*1.5%))))</f>
        <v>#VALUE!</v>
      </c>
      <c r="M66" s="14" t="e">
        <f>ROUND(L66,1)</f>
        <v>#VALUE!</v>
      </c>
      <c r="N66" s="1845" t="s">
        <v>1888</v>
      </c>
      <c r="O66" s="1845"/>
      <c r="P66" s="1845"/>
    </row>
    <row r="67" spans="1:35" ht="12.75">
      <c r="A67" s="120" t="s">
        <v>47</v>
      </c>
      <c r="B67" s="121" t="s">
        <v>1891</v>
      </c>
      <c r="C67" s="122"/>
      <c r="D67" s="123" t="s">
        <v>41</v>
      </c>
      <c r="E67" s="1861" t="s">
        <v>1892</v>
      </c>
      <c r="F67" s="1022"/>
      <c r="G67" s="1022"/>
      <c r="H67" s="2249"/>
      <c r="I67" s="2196"/>
      <c r="J67" s="2892"/>
      <c r="K67" s="2274"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9"/>
      <c r="I68" s="2196"/>
      <c r="J68" s="2892"/>
      <c r="K68" s="2274"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9"/>
      <c r="I69" s="2196"/>
      <c r="J69" s="2892"/>
      <c r="K69" s="2274" t="s">
        <v>1898</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892"/>
      <c r="K70" s="2274" t="s">
        <v>1899</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913" t="s">
        <v>1900</v>
      </c>
      <c r="B71" s="2914"/>
      <c r="C71" s="2914"/>
      <c r="D71" s="2914"/>
      <c r="E71" s="2914"/>
      <c r="F71" s="2914"/>
      <c r="G71" s="2914"/>
      <c r="H71" s="2914"/>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911" t="s">
        <v>1880</v>
      </c>
      <c r="B72" s="2912"/>
      <c r="C72" s="1885"/>
      <c r="D72" s="1885" t="s">
        <v>1881</v>
      </c>
      <c r="E72" s="130" t="s">
        <v>1882</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1901</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1903</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1904</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1905</v>
      </c>
      <c r="C76" s="137"/>
      <c r="D76" s="117" t="s">
        <v>41</v>
      </c>
      <c r="E76" s="138" t="s">
        <v>1906</v>
      </c>
      <c r="F76" s="2285"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1909</v>
      </c>
      <c r="C77" s="117">
        <f>IF(F76="购房发票",ROUND(C76*H76*D77,0),0)</f>
        <v>0</v>
      </c>
      <c r="D77" s="141">
        <v>0.05</v>
      </c>
      <c r="E77" s="2949" t="s">
        <v>1910</v>
      </c>
      <c r="F77" s="2950"/>
      <c r="G77" s="2950"/>
      <c r="H77" s="2951"/>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6" t="s">
        <v>1913</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1914</v>
      </c>
      <c r="C79" s="144">
        <f>ROUND(D46*D79/(1+'数据-取费表'!F30),0)</f>
        <v>0</v>
      </c>
      <c r="D79" s="145">
        <f>'数据-取费表'!E31</f>
        <v>6.000000000000001E-3</v>
      </c>
      <c r="E79" s="2880" t="s">
        <v>1915</v>
      </c>
      <c r="F79" s="2881"/>
      <c r="G79" s="2881"/>
      <c r="H79" s="2901"/>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1916</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913" t="s">
        <v>1919</v>
      </c>
      <c r="B84" s="2914"/>
      <c r="C84" s="2914"/>
      <c r="D84" s="2914"/>
      <c r="E84" s="2914"/>
      <c r="F84" s="2914"/>
      <c r="G84" s="2914"/>
      <c r="H84" s="291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911" t="s">
        <v>1880</v>
      </c>
      <c r="B85" s="2912"/>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1921</v>
      </c>
      <c r="C89" s="157"/>
      <c r="D89" s="145"/>
      <c r="E89" s="158" t="s">
        <v>1922</v>
      </c>
      <c r="F89" s="1882"/>
      <c r="G89" s="159" t="s">
        <v>1923</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1926</v>
      </c>
      <c r="C92" s="144">
        <f>IF(H92="——",成本法!C33,I92)</f>
        <v>0</v>
      </c>
      <c r="D92" s="145"/>
      <c r="E92" s="2880" t="s">
        <v>1927</v>
      </c>
      <c r="F92" s="2881"/>
      <c r="G92" s="2881"/>
      <c r="H92" s="2289" t="s">
        <v>1928</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1929</v>
      </c>
      <c r="C93" s="144">
        <f>ROUND((C88+C91+C92)*D93,0)</f>
        <v>0</v>
      </c>
      <c r="D93" s="145">
        <v>0.1</v>
      </c>
      <c r="E93" s="2880" t="s">
        <v>1930</v>
      </c>
      <c r="F93" s="2881"/>
      <c r="G93" s="2881"/>
      <c r="H93" s="2901"/>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1914</v>
      </c>
      <c r="C94" s="144">
        <f>ROUND(D46*D94/(1+'数据-取费表'!F30),0)</f>
        <v>0</v>
      </c>
      <c r="D94" s="145">
        <f>'数据-取费表'!E31</f>
        <v>6.000000000000001E-3</v>
      </c>
      <c r="E94" s="2880" t="s">
        <v>1915</v>
      </c>
      <c r="F94" s="2881"/>
      <c r="G94" s="2881"/>
      <c r="H94" s="2901"/>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1931</v>
      </c>
      <c r="C95" s="144">
        <f>ROUND((C88+C91+C92)*D95,0)</f>
        <v>0</v>
      </c>
      <c r="D95" s="145">
        <v>0.2</v>
      </c>
      <c r="E95" s="2880" t="s">
        <v>1932</v>
      </c>
      <c r="F95" s="2881"/>
      <c r="G95" s="2881"/>
      <c r="H95" s="2901"/>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1933</v>
      </c>
      <c r="B99" s="2196"/>
      <c r="C99" s="2196"/>
      <c r="D99" s="2196"/>
      <c r="E99" s="1022"/>
      <c r="F99" s="1022"/>
      <c r="G99" s="1022"/>
      <c r="H99" s="2249"/>
      <c r="I99" s="2196"/>
    </row>
    <row r="100" spans="1:35" ht="15.75">
      <c r="A100" s="2898" t="s">
        <v>1934</v>
      </c>
      <c r="B100" s="2899"/>
      <c r="C100" s="2899"/>
      <c r="D100" s="2900"/>
      <c r="E100" s="2196"/>
      <c r="F100" s="2908" t="s">
        <v>1935</v>
      </c>
      <c r="G100" s="2909"/>
      <c r="H100" s="2909"/>
      <c r="I100" s="2910"/>
    </row>
    <row r="101" spans="1:35" ht="15.75">
      <c r="A101" s="2915" t="s">
        <v>1936</v>
      </c>
      <c r="B101" s="2916"/>
      <c r="C101" s="720">
        <f>C4</f>
        <v>0</v>
      </c>
      <c r="D101" s="721">
        <f>D4</f>
        <v>0</v>
      </c>
      <c r="E101" s="2196"/>
      <c r="F101" s="2917" t="s">
        <v>1937</v>
      </c>
      <c r="G101" s="2919"/>
      <c r="H101" s="3000" t="s">
        <v>1938</v>
      </c>
      <c r="I101" s="2918"/>
    </row>
    <row r="102" spans="1:35" ht="15.75">
      <c r="A102" s="3001" t="s">
        <v>1998</v>
      </c>
      <c r="B102" s="2291" t="str">
        <f>IF(H19="元","总价（元）","总价（万元）")</f>
        <v>总价（元）</v>
      </c>
      <c r="C102" s="720" t="e">
        <f ca="1">C19</f>
        <v>#REF!</v>
      </c>
      <c r="D102" s="721" t="e">
        <f ca="1">D19</f>
        <v>#REF!</v>
      </c>
      <c r="E102" s="2196"/>
      <c r="F102" s="3002"/>
      <c r="G102" s="3003"/>
      <c r="H102" s="2978">
        <f>典型户型修正!B25</f>
        <v>0</v>
      </c>
      <c r="I102" s="2918"/>
    </row>
    <row r="103" spans="1:35" ht="15.75">
      <c r="A103" s="3001"/>
      <c r="B103" s="2291" t="s">
        <v>1940</v>
      </c>
      <c r="C103" s="722" t="e">
        <f ca="1">C20</f>
        <v>#REF!</v>
      </c>
      <c r="D103" s="723" t="e">
        <f ca="1">D20</f>
        <v>#REF!</v>
      </c>
      <c r="E103" s="2196"/>
      <c r="F103" s="2992" t="s">
        <v>1941</v>
      </c>
      <c r="G103" s="2993"/>
      <c r="H103" s="2292" t="str">
        <f>C109</f>
        <v>总价（元）</v>
      </c>
      <c r="I103" s="1862">
        <f>H124</f>
        <v>0</v>
      </c>
    </row>
    <row r="104" spans="1:35" ht="15">
      <c r="A104" s="3001" t="s">
        <v>1999</v>
      </c>
      <c r="B104" s="2293" t="str">
        <f>B102</f>
        <v>总价（元）</v>
      </c>
      <c r="C104" s="1190" t="e">
        <f ca="1">ROUND(IF('数据-取费表'!B4="总价",G19,IF(H19="元",G20*'数据-取费表'!E5,G20*'数据-取费表'!E5/10000)),0)</f>
        <v>#REF!</v>
      </c>
      <c r="D104" s="725"/>
      <c r="E104" s="2196"/>
      <c r="F104" s="2992"/>
      <c r="G104" s="2993"/>
      <c r="H104" s="2292" t="s">
        <v>1940</v>
      </c>
      <c r="I104" s="1050" t="e">
        <f>I124</f>
        <v>#DIV/0!</v>
      </c>
    </row>
    <row r="105" spans="1:35" ht="15.75">
      <c r="A105" s="3001"/>
      <c r="B105" s="2291" t="s">
        <v>1940</v>
      </c>
      <c r="C105" s="1191" t="e">
        <f ca="1">ROUND(IF('数据-取费表'!B4="楼面单价",G20,IF(H19="元",G19/'数据-取费表'!E5,G19*10000/'数据-取费表'!E5)),0)</f>
        <v>#REF!</v>
      </c>
      <c r="D105" s="725"/>
      <c r="E105" s="2196"/>
      <c r="F105" s="2904"/>
      <c r="G105" s="2905"/>
      <c r="H105" s="2939"/>
      <c r="I105" s="2940"/>
    </row>
    <row r="106" spans="1:35" ht="15.75">
      <c r="A106" s="3008" t="s">
        <v>2000</v>
      </c>
      <c r="B106" s="2331" t="str">
        <f>B102</f>
        <v>总价（元）</v>
      </c>
      <c r="C106" s="724">
        <f>H124</f>
        <v>0</v>
      </c>
      <c r="D106" s="1189"/>
      <c r="E106" s="2196"/>
      <c r="F106" s="2943" t="s">
        <v>1944</v>
      </c>
      <c r="G106" s="2944"/>
      <c r="H106" s="2295" t="str">
        <f>C111</f>
        <v>总额（元）</v>
      </c>
      <c r="I106" s="1862">
        <f>SUMIF(I107:I109,"&lt;9E307")</f>
        <v>0</v>
      </c>
    </row>
    <row r="107" spans="1:35" ht="15.75" thickBot="1">
      <c r="A107" s="2938"/>
      <c r="B107" s="2294" t="s">
        <v>1940</v>
      </c>
      <c r="C107" s="726" t="e">
        <f>I124</f>
        <v>#DIV/0!</v>
      </c>
      <c r="D107" s="727"/>
      <c r="E107" s="2196"/>
      <c r="F107" s="2906" t="s">
        <v>1946</v>
      </c>
      <c r="G107" s="2907"/>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3004" t="s">
        <v>1943</v>
      </c>
      <c r="B108" s="3005"/>
      <c r="C108" s="3005"/>
      <c r="D108" s="3006"/>
      <c r="E108" s="2196"/>
      <c r="F108" s="2906" t="s">
        <v>1947</v>
      </c>
      <c r="G108" s="2907"/>
      <c r="H108" s="2295" t="str">
        <f>C113</f>
        <v>总额（元）</v>
      </c>
      <c r="I108" s="1050">
        <f>C38</f>
        <v>0</v>
      </c>
      <c r="K108" s="2296"/>
    </row>
    <row r="109" spans="1:35" ht="15">
      <c r="A109" s="2945" t="s">
        <v>2001</v>
      </c>
      <c r="B109" s="2946"/>
      <c r="C109" s="2292" t="str">
        <f>B102</f>
        <v>总价（元）</v>
      </c>
      <c r="D109" s="1051">
        <f>H124</f>
        <v>0</v>
      </c>
      <c r="E109" s="2196"/>
      <c r="F109" s="2906" t="s">
        <v>1949</v>
      </c>
      <c r="G109" s="2907"/>
      <c r="H109" s="2295" t="str">
        <f>C114</f>
        <v>总额（元）</v>
      </c>
      <c r="I109" s="1050">
        <f>C39</f>
        <v>0</v>
      </c>
    </row>
    <row r="110" spans="1:35" ht="15.75">
      <c r="A110" s="2945"/>
      <c r="B110" s="2946"/>
      <c r="C110" s="2292" t="s">
        <v>1940</v>
      </c>
      <c r="D110" s="1052" t="e">
        <f>I124</f>
        <v>#DIV/0!</v>
      </c>
      <c r="E110" s="2196"/>
      <c r="F110" s="2904"/>
      <c r="G110" s="2905"/>
      <c r="H110" s="2941"/>
      <c r="I110" s="2942"/>
    </row>
    <row r="111" spans="1:35" ht="28.5" customHeight="1">
      <c r="A111" s="2988" t="s">
        <v>1948</v>
      </c>
      <c r="B111" s="2989"/>
      <c r="C111" s="2295" t="str">
        <f>IF(H19="元","总额（元）","总额（万元）")</f>
        <v>总额（元）</v>
      </c>
      <c r="D111" s="1051">
        <f>IF(D37="正常操作",I107+I108+I109,I108+I109)</f>
        <v>0</v>
      </c>
      <c r="E111" s="2196"/>
      <c r="F111" s="2886" t="str">
        <f>IF(项目基本情况!F5="已注销","——","3.房地产抵押价值")</f>
        <v>3.房地产抵押价值</v>
      </c>
      <c r="G111" s="2887"/>
      <c r="H111" s="2332" t="str">
        <f>C115</f>
        <v>总价（元）</v>
      </c>
      <c r="I111" s="1862">
        <f>IF(F111="——","——",I103-I106)</f>
        <v>0</v>
      </c>
    </row>
    <row r="112" spans="1:35" ht="15">
      <c r="A112" s="2906" t="s">
        <v>1946</v>
      </c>
      <c r="B112" s="2907"/>
      <c r="C112" s="2295" t="str">
        <f>C111</f>
        <v>总额（元）</v>
      </c>
      <c r="D112" s="637">
        <f>IF(D37="同一抵押权人同一抵押物续贷",C37&amp;"（未扣减，详见特别提示）",C37)</f>
        <v>0</v>
      </c>
      <c r="E112" s="2196"/>
      <c r="F112" s="2888"/>
      <c r="G112" s="2889"/>
      <c r="H112" s="2292" t="s">
        <v>1940</v>
      </c>
      <c r="I112" s="2298" t="e">
        <f>D116</f>
        <v>#DIV/0!</v>
      </c>
    </row>
    <row r="113" spans="1:26" ht="15.75">
      <c r="A113" s="2906" t="s">
        <v>1947</v>
      </c>
      <c r="B113" s="2907"/>
      <c r="C113" s="2295" t="str">
        <f>C111</f>
        <v>总额（元）</v>
      </c>
      <c r="D113" s="637">
        <f>C38</f>
        <v>0</v>
      </c>
      <c r="E113" s="2196"/>
      <c r="F113" s="2886" t="str">
        <f>IF(项目基本情况!F5="已注销及未注销","4.抵押担保权已注销时的房地产抵押价值",IF(项目基本情况!F5="已注销","3.抵押担保权已注销时的房地产抵押价值","——"))</f>
        <v>——</v>
      </c>
      <c r="G113" s="2887"/>
      <c r="H113" s="2332" t="str">
        <f>C117</f>
        <v>总价（元）</v>
      </c>
      <c r="I113" s="1862" t="str">
        <f>IF(F113="——","——",I103-I108-I109)</f>
        <v>——</v>
      </c>
    </row>
    <row r="114" spans="1:26" ht="15">
      <c r="A114" s="2906" t="s">
        <v>1949</v>
      </c>
      <c r="B114" s="2907"/>
      <c r="C114" s="2295" t="str">
        <f>C111</f>
        <v>总额（元）</v>
      </c>
      <c r="D114" s="637">
        <f>C39</f>
        <v>0</v>
      </c>
      <c r="E114" s="2196"/>
      <c r="F114" s="2888"/>
      <c r="G114" s="2889"/>
      <c r="H114" s="2292" t="s">
        <v>1940</v>
      </c>
      <c r="I114" s="1050" t="str">
        <f>D118</f>
        <v>——</v>
      </c>
    </row>
    <row r="115" spans="1:26" ht="15.75">
      <c r="A115" s="2945" t="str">
        <f>IF(项目基本情况!F5="已注销","——","3.房地产抵押价值")</f>
        <v>3.房地产抵押价值</v>
      </c>
      <c r="B115" s="2946"/>
      <c r="C115" s="2292" t="str">
        <f>B102</f>
        <v>总价（元）</v>
      </c>
      <c r="D115" s="1051">
        <f>IF(A115="——","——",D109-D111)</f>
        <v>0</v>
      </c>
      <c r="E115" s="2196"/>
      <c r="F115" s="2886" t="str">
        <f>IF(项目基本情况!G5="抵押净值",IF(OR(项目基本情况!F5="已注销",项目基本情况!F5="房地产抵押价值"),"4.抵押净值","5.抵押净值"),"——")</f>
        <v>——</v>
      </c>
      <c r="G115" s="2887"/>
      <c r="H115" s="2292" t="str">
        <f>C119</f>
        <v>总价（元）</v>
      </c>
      <c r="I115" s="1862" t="str">
        <f>IF(F115="——","——",N60)</f>
        <v>——</v>
      </c>
    </row>
    <row r="116" spans="1:26" ht="15.75" thickBot="1">
      <c r="A116" s="2945"/>
      <c r="B116" s="2946"/>
      <c r="C116" s="2292" t="s">
        <v>2002</v>
      </c>
      <c r="D116" s="1052" t="e">
        <f>ROUND(IF(D115=D109,D110,IF(H19="元",D115/B124,D115*10000/B124)),0)</f>
        <v>#DIV/0!</v>
      </c>
      <c r="E116" s="2196"/>
      <c r="F116" s="2979"/>
      <c r="G116" s="2980"/>
      <c r="H116" s="2300" t="s">
        <v>2002</v>
      </c>
      <c r="I116" s="1864" t="str">
        <f>D120</f>
        <v>——</v>
      </c>
    </row>
    <row r="117" spans="1:26" ht="15.75">
      <c r="A117" s="2945" t="str">
        <f>IF(项目基本情况!F5="已注销及未注销","4.抵押担保权已注销时的房地产抵押价值",IF(项目基本情况!F5="已注销","3.抵押担保权已注销时的房地产抵押价值","——"))</f>
        <v>——</v>
      </c>
      <c r="B117" s="2946"/>
      <c r="C117" s="2292" t="str">
        <f>B102</f>
        <v>总价（元）</v>
      </c>
      <c r="D117" s="1051" t="str">
        <f>IF(A117="——","——",D109-D113-D114)</f>
        <v>——</v>
      </c>
      <c r="E117" s="2196"/>
      <c r="F117" s="2882"/>
      <c r="G117" s="2882"/>
      <c r="H117" s="2924"/>
      <c r="I117" s="2924"/>
      <c r="N117" s="55"/>
      <c r="O117" s="55"/>
    </row>
    <row r="118" spans="1:26" s="1845" customFormat="1" ht="15">
      <c r="A118" s="2945"/>
      <c r="B118" s="2946"/>
      <c r="C118" s="2292" t="s">
        <v>2002</v>
      </c>
      <c r="D118" s="1052" t="str">
        <f>IF(A117="——","——",IF(H19="元",ROUND(D117/B124,0),ROUND(D117*10000/B124,0)))</f>
        <v>——</v>
      </c>
      <c r="E118" s="2196"/>
      <c r="F118" s="3007" t="str">
        <f>IF(B32="总价","（以上估价结果中楼面单价为总价除以建筑面积得出）","（以上估价结果中总价为楼面单价乘以建筑面积得出）")</f>
        <v>（以上估价结果中总价为楼面单价乘以建筑面积得出）</v>
      </c>
      <c r="G118" s="3007"/>
      <c r="H118" s="3007"/>
      <c r="I118" s="3007"/>
      <c r="J118" s="798"/>
      <c r="K118" s="798"/>
      <c r="L118" s="798"/>
      <c r="M118" s="798"/>
      <c r="N118" s="55"/>
      <c r="O118" s="55"/>
      <c r="P118" s="798"/>
      <c r="Q118" s="798"/>
      <c r="R118" s="798"/>
      <c r="S118" s="798"/>
      <c r="T118" s="798"/>
      <c r="U118" s="798"/>
      <c r="V118" s="798"/>
      <c r="W118" s="798"/>
      <c r="X118" s="798"/>
      <c r="Y118" s="798"/>
      <c r="Z118" s="798"/>
    </row>
    <row r="119" spans="1:26" s="1845" customFormat="1" ht="15">
      <c r="A119" s="2945" t="str">
        <f>IF(项目基本情况!G5="抵押净值",IF(OR(项目基本情况!F5="已注销",项目基本情况!F5="房地产抵押价值"),"4.抵押净值","5.抵押净值"),"——")</f>
        <v>——</v>
      </c>
      <c r="B119" s="2946"/>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86"/>
      <c r="B120" s="2987"/>
      <c r="C120" s="2300" t="s">
        <v>2002</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25" t="s">
        <v>2003</v>
      </c>
      <c r="B121" s="2926"/>
      <c r="C121" s="2926"/>
      <c r="D121" s="2926"/>
      <c r="E121" s="2926"/>
      <c r="F121" s="2926"/>
      <c r="G121" s="2926"/>
      <c r="H121" s="2926"/>
      <c r="I121" s="292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97" t="s">
        <v>1951</v>
      </c>
      <c r="B122" s="2895" t="s">
        <v>2004</v>
      </c>
      <c r="C122" s="2895" t="s">
        <v>2005</v>
      </c>
      <c r="D122" s="2902" t="s">
        <v>1954</v>
      </c>
      <c r="E122" s="2903"/>
      <c r="F122" s="2893" t="s">
        <v>2006</v>
      </c>
      <c r="G122" s="2893"/>
      <c r="H122" s="2893" t="s">
        <v>1955</v>
      </c>
      <c r="I122" s="289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97"/>
      <c r="B123" s="2896"/>
      <c r="C123" s="2896"/>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97" t="s">
        <v>1959</v>
      </c>
      <c r="B125" s="2893"/>
      <c r="C125" s="2893"/>
      <c r="D125" s="2929" t="str">
        <f>IF(H19="元",NUMBERSTRING(INT(D124),2)&amp;"元整",NUMBERSTRING(INT(D124*10000),2)&amp;"元整")</f>
        <v>零元整</v>
      </c>
      <c r="E125" s="2930"/>
      <c r="F125" s="2929" t="str">
        <f>IF(H19="元",NUMBERSTRING(INT(F124),2)&amp;"元整",NUMBERSTRING(INT(F124*10000),2)&amp;"元整")</f>
        <v>零元整</v>
      </c>
      <c r="G125" s="2930"/>
      <c r="H125" s="2929" t="str">
        <f>IF(H19="元",NUMBERSTRING(INT(H124),2)&amp;"元整",NUMBERSTRING(INT(H124*10000),2)&amp;"元整")</f>
        <v>零元整</v>
      </c>
      <c r="I125" s="299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1" t="str">
        <f>IF(项目基本情况!D5="房地产市场价值","——",MID(A111,3,LEN(A111)-2))</f>
        <v>估价师所知悉的法定优先受偿款</v>
      </c>
      <c r="B126" s="2932"/>
      <c r="C126" s="2933"/>
      <c r="D126" s="2922">
        <f>I106</f>
        <v>0</v>
      </c>
      <c r="E126" s="2932"/>
      <c r="F126" s="2932"/>
      <c r="G126" s="2932"/>
      <c r="H126" s="2932"/>
      <c r="I126" s="298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4" t="s">
        <v>1959</v>
      </c>
      <c r="B127" s="2935"/>
      <c r="C127" s="2936"/>
      <c r="D127" s="2982">
        <f>H110</f>
        <v>0</v>
      </c>
      <c r="E127" s="2983"/>
      <c r="F127" s="2983"/>
      <c r="G127" s="2983"/>
      <c r="H127" s="2983"/>
      <c r="I127" s="298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20" t="str">
        <f>IF(项目基本情况!D5="房地产市场价值","——",MID(A115,3,LEN(A115)-2))</f>
        <v>房地产抵押价值</v>
      </c>
      <c r="B128" s="2921"/>
      <c r="C128" s="2921"/>
      <c r="D128" s="2922">
        <f>I111</f>
        <v>0</v>
      </c>
      <c r="E128" s="2932"/>
      <c r="F128" s="2932"/>
      <c r="G128" s="2932"/>
      <c r="H128" s="2932"/>
      <c r="I128" s="298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97" t="s">
        <v>1959</v>
      </c>
      <c r="B129" s="2893"/>
      <c r="C129" s="2893"/>
      <c r="D129" s="2982" t="e">
        <f>I112</f>
        <v>#DIV/0!</v>
      </c>
      <c r="E129" s="2983"/>
      <c r="F129" s="2983"/>
      <c r="G129" s="2983"/>
      <c r="H129" s="2983"/>
      <c r="I129" s="298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20" t="str">
        <f>IF(项目基本情况!D5="房地产市场价值","——",MID(A117,3,LEN(A117)-2))</f>
        <v/>
      </c>
      <c r="B130" s="2921"/>
      <c r="C130" s="2921"/>
      <c r="D130" s="2877" t="str">
        <f>I113</f>
        <v>——</v>
      </c>
      <c r="E130" s="2878"/>
      <c r="F130" s="2878"/>
      <c r="G130" s="2878"/>
      <c r="H130" s="2878"/>
      <c r="I130" s="287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97" t="s">
        <v>1959</v>
      </c>
      <c r="B131" s="2893"/>
      <c r="C131" s="2977"/>
      <c r="D131" s="2923" t="str">
        <f>I114</f>
        <v>——</v>
      </c>
      <c r="E131" s="2923"/>
      <c r="F131" s="2923"/>
      <c r="G131" s="2923"/>
      <c r="H131" s="2923"/>
      <c r="I131" s="292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20" t="str">
        <f>IF(项目基本情况!D5="房地产市场价值","——",MID(F115,3,LEN(F115)-2))</f>
        <v/>
      </c>
      <c r="B132" s="2921"/>
      <c r="C132" s="2922"/>
      <c r="D132" s="2985" t="str">
        <f>I115</f>
        <v>——</v>
      </c>
      <c r="E132" s="2985"/>
      <c r="F132" s="2985"/>
      <c r="G132" s="2985"/>
      <c r="H132" s="2985"/>
      <c r="I132" s="298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90" t="s">
        <v>1959</v>
      </c>
      <c r="B133" s="2991"/>
      <c r="C133" s="2991"/>
      <c r="D133" s="2995">
        <f>H117</f>
        <v>0</v>
      </c>
      <c r="E133" s="2996"/>
      <c r="F133" s="2996"/>
      <c r="G133" s="2996"/>
      <c r="H133" s="2996"/>
      <c r="I133" s="299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75" t="str">
        <f>IF(B32="总价","（以上估价结果中楼面单价为总价除以建筑面积得出）","（以上估价结果中总价为楼面单价乘以建筑面积得出）")</f>
        <v>（以上估价结果中总价为楼面单价乘以建筑面积得出）</v>
      </c>
      <c r="B135" s="2975"/>
      <c r="C135" s="2975"/>
      <c r="D135" s="2975"/>
      <c r="E135" s="2975"/>
      <c r="F135" s="2975"/>
      <c r="G135" s="2975"/>
      <c r="H135" s="2975"/>
      <c r="I135" s="297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1960</v>
      </c>
      <c r="B136" s="2302"/>
      <c r="C136" s="2303" t="s">
        <v>1961</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1962</v>
      </c>
      <c r="G142" s="2315"/>
      <c r="H142" s="2315"/>
      <c r="I142" s="2316"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1589950</v>
      </c>
      <c r="C2" s="163" t="str">
        <f>'数据-取费表'!B3</f>
        <v>元</v>
      </c>
      <c r="D2" s="2334" t="s">
        <v>1253</v>
      </c>
      <c r="E2" s="1546" t="e">
        <f ca="1">SUMIF(INDIRECT("'"&amp;G2&amp;"'"&amp;"!A:A"),"承租人权益价值",INDIRECT("'"&amp;G2&amp;"'"&amp;"!c:c"))</f>
        <v>#REF!</v>
      </c>
      <c r="F2" s="2335" t="str">
        <f>C2</f>
        <v>元</v>
      </c>
      <c r="G2" s="1906"/>
    </row>
    <row r="3" spans="1:7" s="164" customFormat="1" ht="18" customHeight="1" thickBot="1">
      <c r="A3" s="167" t="s">
        <v>2009</v>
      </c>
      <c r="B3" s="168">
        <f ca="1">ROUND(C52/IF(B1="仅计算典型户型",'数据-取费表'!E5,'数据-取费表'!B5),0)</f>
        <v>24014</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6"/>
    </row>
    <row r="9" spans="1:7" s="175" customFormat="1" ht="13.5" customHeight="1">
      <c r="A9" s="1304" t="s">
        <v>953</v>
      </c>
      <c r="B9" s="181" t="s">
        <v>2023</v>
      </c>
      <c r="C9" s="1537">
        <f>ROUND(D9*E9,0)</f>
        <v>0</v>
      </c>
      <c r="D9" s="1538">
        <f>IF('数据-取费表'!B10="住宅",IF(B1="仅计算典型户型",'数据-取费表'!E5,'数据-取费表'!B5),0)</f>
        <v>66.209999999999994</v>
      </c>
      <c r="E9" s="1537">
        <f>'数据-取费表'!E11</f>
        <v>0</v>
      </c>
      <c r="F9" s="1535"/>
      <c r="G9" s="182"/>
    </row>
    <row r="10" spans="1:7" s="175" customFormat="1" ht="13.5" customHeight="1">
      <c r="A10" s="1304" t="s">
        <v>954</v>
      </c>
      <c r="B10" s="181" t="s">
        <v>2024</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13242</v>
      </c>
      <c r="D19" s="1541">
        <f>IF(B1="仅计算典型户型",'数据-取费表'!E5,'数据-取费表'!B5)</f>
        <v>66.209999999999994</v>
      </c>
      <c r="E19" s="195">
        <f>'数据-取费表'!E15</f>
        <v>200</v>
      </c>
      <c r="F19" s="196"/>
      <c r="G19" s="2336"/>
    </row>
    <row r="20" spans="1:7" s="175" customFormat="1" ht="13.5" customHeight="1">
      <c r="A20" s="204" t="s">
        <v>2036</v>
      </c>
      <c r="B20" s="173" t="s">
        <v>2037</v>
      </c>
      <c r="C20" s="183">
        <f>ROUND((C5+C19)*F20,0)</f>
        <v>20875</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45857</v>
      </c>
      <c r="D22" s="185">
        <f ca="1">C26</f>
        <v>4.0000000000000002E-4</v>
      </c>
      <c r="E22" s="186" t="s">
        <v>2041</v>
      </c>
      <c r="F22" s="187">
        <f ca="1">'数据-取费表'!E27</f>
        <v>4.3499999999999997E-2</v>
      </c>
      <c r="G22" s="184" t="str">
        <f>IF('数据-取费表'!B23&lt;=1,"单利计息。","复利计息。")</f>
        <v>单利计息。</v>
      </c>
    </row>
    <row r="23" spans="1:7" s="175" customFormat="1" ht="13.5" customHeight="1">
      <c r="A23" s="176" t="s">
        <v>2045</v>
      </c>
      <c r="B23" s="177" t="s">
        <v>2046</v>
      </c>
      <c r="C23" s="1455">
        <f ca="1">ROUND(IF('数据-取费表'!B23&lt;=1,C5*F22*'数据-取费表'!B24,C5*(POWER((1+F22),'数据-取费表'!B24)-1)),0)</f>
        <v>44827</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576</v>
      </c>
      <c r="D24" s="188"/>
      <c r="E24" s="188"/>
      <c r="F24" s="189"/>
      <c r="G24" s="190" t="s">
        <v>2049</v>
      </c>
    </row>
    <row r="25" spans="1:7" s="175" customFormat="1" ht="24">
      <c r="A25" s="176" t="s">
        <v>2021</v>
      </c>
      <c r="B25" s="177" t="s">
        <v>2050</v>
      </c>
      <c r="C25" s="1455">
        <f ca="1">ROUND(IF('数据-取费表'!B23&lt;=1,C20*F22*'数据-取费表'!B24/2,C20*(POWER((1+F22),'数据-取费表'!B24/2)-1)),0)</f>
        <v>454</v>
      </c>
      <c r="D25" s="188"/>
      <c r="E25" s="191"/>
      <c r="F25" s="189"/>
      <c r="G25" s="192" t="s">
        <v>2051</v>
      </c>
    </row>
    <row r="26" spans="1:7" s="175" customFormat="1">
      <c r="A26" s="176" t="s">
        <v>2052</v>
      </c>
      <c r="B26" s="177" t="s">
        <v>2053</v>
      </c>
      <c r="C26" s="188">
        <f ca="1">ROUND(IF('数据-取费表'!B23&lt;=1,F21*F22*'数据-取费表'!B24/2,F21*(POWER((1+F22),'数据-取费表'!B24/2)-1)),4)</f>
        <v>4.0000000000000002E-4</v>
      </c>
      <c r="D26" s="188"/>
      <c r="E26" s="191"/>
      <c r="F26" s="189"/>
      <c r="G26" s="193"/>
    </row>
    <row r="27" spans="1:7" s="175" customFormat="1" ht="25.5">
      <c r="A27" s="1305" t="s">
        <v>2054</v>
      </c>
      <c r="B27" s="194" t="s">
        <v>2055</v>
      </c>
      <c r="C27" s="195">
        <f>C28</f>
        <v>212923</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212923</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1434888</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171285</v>
      </c>
      <c r="D33" s="183"/>
      <c r="E33" s="1532"/>
      <c r="F33" s="191"/>
      <c r="G33" s="184"/>
    </row>
    <row r="34" spans="1:7" s="206" customFormat="1" ht="13.5" customHeight="1">
      <c r="A34" s="176" t="s">
        <v>2045</v>
      </c>
      <c r="B34" s="177" t="s">
        <v>2067</v>
      </c>
      <c r="C34" s="199">
        <f>IF(B1="仅计算典型户型",'数据-取费表'!F18,'数据-取费表'!E18)</f>
        <v>145662</v>
      </c>
      <c r="D34" s="1533"/>
      <c r="E34" s="199"/>
      <c r="F34" s="1544" t="str">
        <f>IF('数据-取费表'!B25=0,"",'数据-取费表'!E20)</f>
        <v/>
      </c>
      <c r="G34" s="179"/>
    </row>
    <row r="35" spans="1:7" ht="13.5" customHeight="1">
      <c r="A35" s="176" t="s">
        <v>2019</v>
      </c>
      <c r="B35" s="177" t="s">
        <v>2068</v>
      </c>
      <c r="C35" s="199">
        <f>ROUND(C34*F35,0)</f>
        <v>4370</v>
      </c>
      <c r="D35" s="199"/>
      <c r="E35" s="199"/>
      <c r="F35" s="1545">
        <f>'数据-取费表'!E21</f>
        <v>0.03</v>
      </c>
      <c r="G35" s="179" t="s">
        <v>2069</v>
      </c>
    </row>
    <row r="36" spans="1:7" ht="24">
      <c r="A36" s="176" t="s">
        <v>2021</v>
      </c>
      <c r="B36" s="177" t="s">
        <v>2070</v>
      </c>
      <c r="C36" s="199">
        <f>ROUND(IF('数据-取费表'!B10="住宅",C34*F36,0),0)</f>
        <v>5826</v>
      </c>
      <c r="D36" s="199"/>
      <c r="E36" s="199"/>
      <c r="F36" s="1545">
        <f>'数据-取费表'!E22</f>
        <v>0.04</v>
      </c>
      <c r="G36" s="207" t="s">
        <v>2071</v>
      </c>
    </row>
    <row r="37" spans="1:7" s="206" customFormat="1" ht="13.5" customHeight="1">
      <c r="A37" s="176" t="s">
        <v>2052</v>
      </c>
      <c r="B37" s="177" t="s">
        <v>2072</v>
      </c>
      <c r="C37" s="199">
        <f>ROUND(E37*D37,0)</f>
        <v>13242</v>
      </c>
      <c r="D37" s="1533">
        <f>IF(B1="仅计算典型户型",'数据-取费表'!E5,'数据-取费表'!B5)</f>
        <v>66.209999999999994</v>
      </c>
      <c r="E37" s="199">
        <f>'数据-取费表'!E23</f>
        <v>200</v>
      </c>
      <c r="F37" s="1545"/>
      <c r="G37" s="208" t="s">
        <v>2073</v>
      </c>
    </row>
    <row r="38" spans="1:7" ht="13.5" customHeight="1">
      <c r="A38" s="176" t="s">
        <v>2074</v>
      </c>
      <c r="B38" s="177" t="s">
        <v>2075</v>
      </c>
      <c r="C38" s="199">
        <f>ROUND(C34*F38,0)</f>
        <v>2185</v>
      </c>
      <c r="D38" s="199"/>
      <c r="E38" s="199"/>
      <c r="F38" s="1545">
        <f>'数据-取费表'!E24</f>
        <v>1.4999999999999999E-2</v>
      </c>
      <c r="G38" s="179" t="s">
        <v>2069</v>
      </c>
    </row>
    <row r="39" spans="1:7" s="175" customFormat="1" ht="13.5" customHeight="1">
      <c r="A39" s="204" t="s">
        <v>2034</v>
      </c>
      <c r="B39" s="173" t="s">
        <v>2037</v>
      </c>
      <c r="C39" s="183">
        <f>ROUND(C33*F20,0)</f>
        <v>3426</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3800</v>
      </c>
      <c r="D41" s="185">
        <f ca="1">C44</f>
        <v>4.0000000000000002E-4</v>
      </c>
      <c r="E41" s="186" t="s">
        <v>2077</v>
      </c>
      <c r="F41" s="187"/>
      <c r="G41" s="184" t="str">
        <f>IF('数据-取费表'!B23&lt;=1,"单利计息。","复利计息。")</f>
        <v>单利计息。</v>
      </c>
    </row>
    <row r="42" spans="1:7" ht="13.5" customHeight="1">
      <c r="A42" s="176" t="s">
        <v>2045</v>
      </c>
      <c r="B42" s="177" t="s">
        <v>2046</v>
      </c>
      <c r="C42" s="188">
        <f ca="1">ROUND(IF('数据-取费表'!B23&lt;=1,C33*F22*'数据-取费表'!B22/2,C33*(POWER((1+F22),'数据-取费表'!B22/2)-1)),0)</f>
        <v>3725</v>
      </c>
      <c r="D42" s="188"/>
      <c r="E42" s="188"/>
      <c r="F42" s="189"/>
      <c r="G42" s="3010" t="s">
        <v>2079</v>
      </c>
    </row>
    <row r="43" spans="1:7" ht="13.5" customHeight="1">
      <c r="A43" s="176" t="s">
        <v>2019</v>
      </c>
      <c r="B43" s="177" t="s">
        <v>2048</v>
      </c>
      <c r="C43" s="188">
        <f ca="1">ROUND(IF('数据-取费表'!B23&lt;=1,C39*F22*'数据-取费表'!B22/2,C39*(POWER((1+F22),'数据-取费表'!B22/2)-1)),0)</f>
        <v>75</v>
      </c>
      <c r="D43" s="188"/>
      <c r="E43" s="188"/>
      <c r="F43" s="189"/>
      <c r="G43" s="3011"/>
    </row>
    <row r="44" spans="1:7" ht="13.5" customHeight="1">
      <c r="A44" s="176" t="s">
        <v>2021</v>
      </c>
      <c r="B44" s="177" t="s">
        <v>2050</v>
      </c>
      <c r="C44" s="188">
        <f ca="1">ROUND(IF('数据-取费表'!B23&lt;=1,C40*F22*'数据-取费表'!B22/2,C40*(POWER((1+F22),'数据-取费表'!B22/2)-1)),4)</f>
        <v>4.0000000000000002E-4</v>
      </c>
      <c r="D44" s="188"/>
      <c r="E44" s="188"/>
      <c r="F44" s="189"/>
      <c r="G44" s="3012"/>
    </row>
    <row r="45" spans="1:7" s="175" customFormat="1" ht="13.5" customHeight="1">
      <c r="A45" s="204" t="s">
        <v>2043</v>
      </c>
      <c r="B45" s="194" t="s">
        <v>2055</v>
      </c>
      <c r="C45" s="195">
        <f>C46</f>
        <v>34942</v>
      </c>
      <c r="D45" s="185">
        <f>C47</f>
        <v>4.0000000000000001E-3</v>
      </c>
      <c r="E45" s="186" t="s">
        <v>2077</v>
      </c>
      <c r="F45" s="196"/>
      <c r="G45" s="197" t="s">
        <v>2080</v>
      </c>
    </row>
    <row r="46" spans="1:7" s="175" customFormat="1" ht="13.5" customHeight="1">
      <c r="A46" s="176" t="s">
        <v>2045</v>
      </c>
      <c r="B46" s="198" t="s">
        <v>2081</v>
      </c>
      <c r="C46" s="199">
        <f>ROUND((C33+C39)*F27,0)</f>
        <v>34942</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231436</v>
      </c>
      <c r="D49" s="183"/>
      <c r="E49" s="183"/>
      <c r="F49" s="210"/>
      <c r="G49" s="184" t="s">
        <v>2087</v>
      </c>
    </row>
    <row r="50" spans="1:7" s="206" customFormat="1" ht="24">
      <c r="A50" s="1305" t="s">
        <v>2088</v>
      </c>
      <c r="B50" s="173" t="s">
        <v>2089</v>
      </c>
      <c r="C50" s="183"/>
      <c r="D50" s="183"/>
      <c r="E50" s="183"/>
      <c r="F50" s="210">
        <f>IF('数据-取费表'!B25=0,'数据-取费表'!E20,1)</f>
        <v>0.67</v>
      </c>
      <c r="G50" s="197" t="s">
        <v>2090</v>
      </c>
    </row>
    <row r="51" spans="1:7" ht="16.5" customHeight="1">
      <c r="A51" s="1305" t="s">
        <v>2091</v>
      </c>
      <c r="B51" s="173" t="s">
        <v>2092</v>
      </c>
      <c r="C51" s="183">
        <f ca="1">ROUND(C49*F50,0)</f>
        <v>155062</v>
      </c>
      <c r="D51" s="183"/>
      <c r="E51" s="183"/>
      <c r="F51" s="210"/>
      <c r="G51" s="184" t="s">
        <v>2093</v>
      </c>
    </row>
    <row r="52" spans="1:7" s="172" customFormat="1" ht="16.5" thickBot="1">
      <c r="A52" s="211" t="s">
        <v>2094</v>
      </c>
      <c r="B52" s="212"/>
      <c r="C52" s="213">
        <f ca="1">C31+C51</f>
        <v>1589950</v>
      </c>
      <c r="D52" s="212"/>
      <c r="E52" s="212"/>
      <c r="F52" s="212"/>
      <c r="G52" s="214"/>
    </row>
    <row r="55" spans="1:7" ht="15">
      <c r="B55" s="216" t="s">
        <v>2095</v>
      </c>
      <c r="C55" s="217"/>
    </row>
    <row r="56" spans="1:7">
      <c r="B56" s="219" t="s">
        <v>2096</v>
      </c>
      <c r="C56" s="220">
        <f ca="1">ROUND(C51/C52,3)</f>
        <v>9.8000000000000004E-2</v>
      </c>
    </row>
    <row r="57" spans="1:7">
      <c r="B57" s="219" t="s">
        <v>2097</v>
      </c>
      <c r="C57" s="221">
        <f ca="1">1-C56</f>
        <v>0.90200000000000002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0.32999999999999996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I58" sqref="I5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2855</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4990459</v>
      </c>
      <c r="C2" s="2337"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75373</v>
      </c>
      <c r="C3" s="2337"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97021</v>
      </c>
      <c r="D5" s="2338" t="s">
        <v>2107</v>
      </c>
      <c r="E5" s="1214"/>
      <c r="F5" s="1383"/>
      <c r="G5" s="1238"/>
      <c r="H5" s="316">
        <v>1</v>
      </c>
      <c r="I5" s="317" t="s">
        <v>2106</v>
      </c>
      <c r="J5" s="318">
        <f ca="1">J6+J10+J12</f>
        <v>0</v>
      </c>
      <c r="K5" s="2338" t="s">
        <v>2107</v>
      </c>
      <c r="L5" s="1214"/>
      <c r="M5" s="1383"/>
    </row>
    <row r="6" spans="1:37" ht="18" customHeight="1">
      <c r="A6" s="1384" t="s">
        <v>2108</v>
      </c>
      <c r="B6" s="2025" t="s">
        <v>2109</v>
      </c>
      <c r="C6" s="318">
        <f>ROUND(F6*F8*F7*(1-F9),0)</f>
        <v>96900</v>
      </c>
      <c r="D6" s="80" t="s">
        <v>2805</v>
      </c>
      <c r="E6" s="319" t="s">
        <v>2110</v>
      </c>
      <c r="F6" s="320">
        <f>'数据-取费表'!B29</f>
        <v>8500</v>
      </c>
      <c r="G6" s="1238"/>
      <c r="H6" s="1384" t="s">
        <v>2108</v>
      </c>
      <c r="I6" s="2025"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9" t="s">
        <v>2116</v>
      </c>
      <c r="C10" s="1385">
        <f ca="1">ROUND(IF(F10="押一",C6/12*F11,IF(F10="押二",C6/12*2*F11,IF(F10="押三",C6/12*3*F11,C11*F11))),0)</f>
        <v>121</v>
      </c>
      <c r="D10" s="2340" t="s">
        <v>2813</v>
      </c>
      <c r="E10" s="330" t="s">
        <v>2117</v>
      </c>
      <c r="F10" s="2341" t="s">
        <v>2118</v>
      </c>
      <c r="G10" s="1238"/>
      <c r="H10" s="1384" t="s">
        <v>2115</v>
      </c>
      <c r="I10" s="2339" t="s">
        <v>2116</v>
      </c>
      <c r="J10" s="1385">
        <f ca="1">ROUND(IF(M10="押一",J6/12*M11,IF(M10="押二",J6/12*2*M11,IF(M10="押三",J6/12*3*M11,J11*M11))),0)</f>
        <v>0</v>
      </c>
      <c r="K10" s="80" t="s">
        <v>2813</v>
      </c>
      <c r="L10" s="330" t="s">
        <v>2117</v>
      </c>
      <c r="M10" s="2341"/>
    </row>
    <row r="11" spans="1:37" s="341" customFormat="1" ht="18" customHeight="1">
      <c r="A11" s="348"/>
      <c r="B11" s="2342" t="s">
        <v>2119</v>
      </c>
      <c r="C11" s="1418"/>
      <c r="D11" s="324"/>
      <c r="E11" s="330" t="s">
        <v>2120</v>
      </c>
      <c r="F11" s="331">
        <f ca="1">'数据-取费表'!B30</f>
        <v>1.4999999999999999E-2</v>
      </c>
      <c r="G11" s="1239"/>
      <c r="H11" s="325"/>
      <c r="I11" s="2342"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3" t="s">
        <v>2123</v>
      </c>
      <c r="C12" s="1425"/>
      <c r="D12" s="2344"/>
      <c r="E12" s="1431"/>
      <c r="F12" s="1426"/>
      <c r="G12" s="1238"/>
      <c r="H12" s="1424" t="s">
        <v>2122</v>
      </c>
      <c r="I12" s="2343" t="s">
        <v>2123</v>
      </c>
      <c r="J12" s="1425"/>
      <c r="K12" s="1441"/>
      <c r="L12" s="1431"/>
      <c r="M12" s="1442"/>
    </row>
    <row r="13" spans="1:37" s="341" customFormat="1" ht="18" customHeight="1" thickTop="1">
      <c r="A13" s="1420">
        <v>2</v>
      </c>
      <c r="B13" s="1421" t="s">
        <v>2124</v>
      </c>
      <c r="C13" s="327">
        <f ca="1">ROUND(C29*F13,0)</f>
        <v>155062</v>
      </c>
      <c r="D13" s="1422" t="s">
        <v>2125</v>
      </c>
      <c r="E13" s="1422" t="s">
        <v>2126</v>
      </c>
      <c r="F13" s="1423">
        <f>'数据-取费表'!E20</f>
        <v>0.67</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145662</v>
      </c>
      <c r="D14" s="1888" t="s">
        <v>2129</v>
      </c>
      <c r="E14" s="1889"/>
      <c r="F14" s="979"/>
      <c r="G14" s="1239"/>
      <c r="H14" s="337" t="s">
        <v>2108</v>
      </c>
      <c r="I14" s="319" t="s">
        <v>2130</v>
      </c>
      <c r="J14" s="14">
        <f ca="1">C29</f>
        <v>231436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4370</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5826</v>
      </c>
      <c r="D16" s="319" t="s">
        <v>2133</v>
      </c>
      <c r="E16" s="319" t="s">
        <v>2134</v>
      </c>
      <c r="F16" s="342">
        <f>IF('数据-取费表'!B10="住宅",'数据-取费表'!E22,0)</f>
        <v>0.04</v>
      </c>
      <c r="G16" s="1239"/>
      <c r="H16" s="1420" t="s">
        <v>14</v>
      </c>
      <c r="I16" s="1421" t="s">
        <v>2139</v>
      </c>
      <c r="J16" s="327">
        <f ca="1">ROUND(J17+J22+J23+J24,0)</f>
        <v>3472</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13242</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2185</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171285</v>
      </c>
      <c r="D19" s="56" t="s">
        <v>2155</v>
      </c>
      <c r="E19" s="1898"/>
      <c r="F19" s="16"/>
      <c r="G19" s="1239"/>
      <c r="H19" s="337" t="s">
        <v>2131</v>
      </c>
      <c r="I19" s="319" t="s">
        <v>2156</v>
      </c>
      <c r="J19" s="14" t="str">
        <f>IF(项目基本情况!B7="自然人","——",IF(K19="按租金收入计税",ROUND(J5*M19,1),ROUND(C29*M19*0.7,1)))</f>
        <v>——</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3426</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单利计息。建造成本、管理费用、销售费用产生的利息。</v>
      </c>
      <c r="E22" s="1898"/>
      <c r="F22" s="16"/>
      <c r="G22" s="1238"/>
      <c r="H22" s="337" t="s">
        <v>2135</v>
      </c>
      <c r="I22" s="319" t="s">
        <v>2171</v>
      </c>
      <c r="J22" s="14">
        <f ca="1">ROUND(J14*M22,0)</f>
        <v>3472</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3800</v>
      </c>
      <c r="D23" s="2008" t="str">
        <f>IF(F23&lt;=1,"(建造成本+管理费用)×利率×(建设周期÷2)","(建造成本+管理费用)×((1+利率)^(建设周期÷2)-1)")</f>
        <v>(建造成本+管理费用)×利率×(建设周期÷2)</v>
      </c>
      <c r="E23" s="319" t="s">
        <v>2174</v>
      </c>
      <c r="F23" s="347">
        <f>'数据-取费表'!B21</f>
        <v>1</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4.0000000000000002E-4</v>
      </c>
      <c r="D24" s="2008" t="str">
        <f>IF(F23&lt;=1,"销售费用×利率×(建设周期÷2)","销售费用×((1+利率)^(建设周期÷2)-1)")</f>
        <v>销售费用×利率×(建设周期÷2)</v>
      </c>
      <c r="E24" s="319" t="s">
        <v>2180</v>
      </c>
      <c r="F24" s="352">
        <f ca="1">'数据-取费表'!E27</f>
        <v>4.3499999999999997E-2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-3472</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34942</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4.4999999999999998E-2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231436</v>
      </c>
      <c r="D29" s="1433"/>
      <c r="E29" s="1431"/>
      <c r="F29" s="1434"/>
      <c r="G29" s="791"/>
      <c r="H29" s="356" t="s">
        <v>24</v>
      </c>
      <c r="I29" s="357" t="s">
        <v>2204</v>
      </c>
      <c r="J29" s="358">
        <f ca="1">ROUND(J26/(1+F40)^F41,0)</f>
        <v>0</v>
      </c>
      <c r="K29" s="359" t="s">
        <v>2205</v>
      </c>
      <c r="L29" s="360"/>
      <c r="M29" s="361">
        <f>IF(D1="仅计算典型户型",'数据-取费表'!E5,'数据-取费表'!B5)</f>
        <v>66.209999999999994</v>
      </c>
    </row>
    <row r="30" spans="1:37" ht="18" customHeight="1" thickTop="1">
      <c r="A30" s="1420" t="s">
        <v>14</v>
      </c>
      <c r="B30" s="1421" t="s">
        <v>2206</v>
      </c>
      <c r="C30" s="327">
        <f ca="1">ROUND(C31+C36+C37+C38,0)</f>
        <v>9526</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4851.1000000000004</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4"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0</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v>
      </c>
      <c r="K35" s="1231"/>
      <c r="L35" s="1230"/>
      <c r="M35" s="1230"/>
    </row>
    <row r="36" spans="1:18" ht="18" customHeight="1">
      <c r="A36" s="1387" t="s">
        <v>2115</v>
      </c>
      <c r="B36" s="319" t="s">
        <v>2215</v>
      </c>
      <c r="C36" s="14">
        <f ca="1">ROUND(C29*F36,0)</f>
        <v>3472</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233</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970</v>
      </c>
      <c r="D38" s="1433" t="s">
        <v>2181</v>
      </c>
      <c r="E38" s="1431" t="s">
        <v>2177</v>
      </c>
      <c r="F38" s="1426">
        <f>'数据-取费表'!B46</f>
        <v>0.01</v>
      </c>
      <c r="G38" s="791"/>
      <c r="H38" s="1230"/>
      <c r="I38" s="365" t="s">
        <v>2219</v>
      </c>
      <c r="J38" s="220">
        <f ca="1">ROUND(J34/C39,3)</f>
        <v>0</v>
      </c>
      <c r="K38" s="1235"/>
      <c r="L38" s="1230"/>
      <c r="M38" s="1230"/>
    </row>
    <row r="39" spans="1:18" ht="18" customHeight="1" thickTop="1">
      <c r="A39" s="1420" t="s">
        <v>22</v>
      </c>
      <c r="B39" s="1435" t="s">
        <v>2220</v>
      </c>
      <c r="C39" s="327">
        <f ca="1">C5-C30</f>
        <v>87495</v>
      </c>
      <c r="D39" s="1436" t="s">
        <v>2221</v>
      </c>
      <c r="E39" s="1437"/>
      <c r="F39" s="1438"/>
      <c r="G39" s="791"/>
      <c r="H39" s="1230"/>
      <c r="I39" s="365" t="s">
        <v>2222</v>
      </c>
      <c r="J39" s="220">
        <f ca="1">1-J38</f>
        <v>1</v>
      </c>
      <c r="K39" s="1235"/>
      <c r="L39" s="1230"/>
      <c r="M39" s="1230"/>
    </row>
    <row r="40" spans="1:18" s="791" customFormat="1" ht="18" customHeight="1">
      <c r="A40" s="316" t="s">
        <v>23</v>
      </c>
      <c r="B40" s="317" t="s">
        <v>2223</v>
      </c>
      <c r="C40" s="318">
        <f ca="1">ROUND(C39*(1-((1+F42)/(1+F40))^F41)/(F40-F42),0)</f>
        <v>4990459</v>
      </c>
      <c r="D40" s="346" t="s">
        <v>2191</v>
      </c>
      <c r="E40" s="319" t="s">
        <v>2192</v>
      </c>
      <c r="F40" s="329">
        <f>'数据-取费表'!B16</f>
        <v>4.4999999999999998E-2</v>
      </c>
      <c r="H40" s="1236"/>
      <c r="I40" s="216" t="s">
        <v>2224</v>
      </c>
      <c r="J40" s="217"/>
      <c r="K40" s="1235"/>
      <c r="L40" s="1236"/>
      <c r="M40" s="1236"/>
      <c r="Q40" s="795"/>
    </row>
    <row r="41" spans="1:18" s="791" customFormat="1" ht="18" customHeight="1">
      <c r="A41" s="321"/>
      <c r="B41" s="322"/>
      <c r="C41" s="323"/>
      <c r="D41" s="354" t="s">
        <v>2225</v>
      </c>
      <c r="E41" s="1825" t="s">
        <v>2853</v>
      </c>
      <c r="F41" s="355">
        <f>IF('数据-取费表'!B28="租赁期内按合同租金",'数据-取费表'!B34,IF(E41="收益年期(n)",'数据-取费表'!B33,'数据-取费表'!B13))</f>
        <v>70</v>
      </c>
      <c r="H41" s="1237"/>
      <c r="I41" s="219" t="s">
        <v>2096</v>
      </c>
      <c r="J41" s="220">
        <f ca="1">ROUND(C13/C40,3)</f>
        <v>3.1E-2</v>
      </c>
      <c r="K41" s="1234"/>
      <c r="L41" s="1237"/>
      <c r="M41" s="1237"/>
      <c r="Q41" s="795"/>
    </row>
    <row r="42" spans="1:18" s="791" customFormat="1" ht="18" customHeight="1">
      <c r="A42" s="325"/>
      <c r="B42" s="326"/>
      <c r="C42" s="327"/>
      <c r="D42" s="349"/>
      <c r="E42" s="319" t="s">
        <v>2201</v>
      </c>
      <c r="F42" s="329">
        <f>'数据-取费表'!B31</f>
        <v>0.04</v>
      </c>
      <c r="H42" s="1237"/>
      <c r="I42" s="219" t="s">
        <v>2097</v>
      </c>
      <c r="J42" s="221">
        <f ca="1">1-J41</f>
        <v>0.96899999999999997</v>
      </c>
      <c r="K42" s="1234"/>
      <c r="L42" s="1237"/>
      <c r="M42" s="1237"/>
      <c r="Q42" s="795"/>
    </row>
    <row r="43" spans="1:18" s="791" customFormat="1" ht="18" customHeight="1" thickBot="1">
      <c r="A43" s="356" t="s">
        <v>24</v>
      </c>
      <c r="B43" s="357" t="s">
        <v>2226</v>
      </c>
      <c r="C43" s="358">
        <f ca="1">ROUND(C40/F43,0)</f>
        <v>75373</v>
      </c>
      <c r="D43" s="359" t="s">
        <v>2227</v>
      </c>
      <c r="E43" s="360" t="s">
        <v>2228</v>
      </c>
      <c r="F43" s="361">
        <f>IF(D1="仅计算典型户型",'数据-取费表'!E5,'数据-取费表'!B5)</f>
        <v>66.209999999999994</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957</v>
      </c>
      <c r="P45" s="1368" t="s">
        <v>2234</v>
      </c>
      <c r="Q45" s="1369">
        <f ca="1">C40+J29</f>
        <v>4990459</v>
      </c>
      <c r="R45" s="1370" t="s">
        <v>2235</v>
      </c>
    </row>
    <row r="46" spans="1:18" s="791" customFormat="1" ht="18" customHeight="1" thickBot="1">
      <c r="A46" s="776"/>
      <c r="D46" s="776"/>
      <c r="E46" s="776"/>
      <c r="F46" s="776"/>
      <c r="K46" s="792"/>
      <c r="O46" s="1367" t="s">
        <v>958</v>
      </c>
      <c r="P46" s="1368" t="s">
        <v>2236</v>
      </c>
      <c r="Q46" s="1369" t="str">
        <f>J61</f>
        <v>0</v>
      </c>
      <c r="R46" s="1370" t="s">
        <v>2237</v>
      </c>
    </row>
    <row r="47" spans="1:18" s="791" customFormat="1" ht="21.75" thickBot="1">
      <c r="A47" s="2345" t="s">
        <v>2238</v>
      </c>
      <c r="C47" s="1303">
        <f ca="1">IF(C2="元",C69-C40,ROUND((C69-C40)/10000,0))</f>
        <v>-5069013</v>
      </c>
      <c r="D47" s="2346" t="str">
        <f>C2</f>
        <v>元</v>
      </c>
      <c r="E47" s="776"/>
      <c r="F47" s="776"/>
      <c r="I47" s="2347" t="s">
        <v>2239</v>
      </c>
      <c r="J47" s="1343"/>
      <c r="K47" s="1344"/>
      <c r="L47" s="1357">
        <f>IF(M48="住宅",0,IF(L49&gt;J52,L61,J61))</f>
        <v>0</v>
      </c>
      <c r="O47" s="1371" t="s">
        <v>959</v>
      </c>
      <c r="P47" s="1368" t="s">
        <v>2240</v>
      </c>
      <c r="Q47" s="1369">
        <f ca="1">C29</f>
        <v>231436</v>
      </c>
      <c r="R47" s="1370" t="s">
        <v>2235</v>
      </c>
    </row>
    <row r="48" spans="1:18" s="791" customFormat="1" ht="15.75" thickBot="1">
      <c r="A48" s="312" t="s">
        <v>2241</v>
      </c>
      <c r="B48" s="313" t="s">
        <v>2242</v>
      </c>
      <c r="C48" s="313" t="s">
        <v>2243</v>
      </c>
      <c r="D48" s="313" t="s">
        <v>2244</v>
      </c>
      <c r="E48" s="1297" t="s">
        <v>2245</v>
      </c>
      <c r="F48" s="1298"/>
      <c r="I48" s="2348" t="s">
        <v>2246</v>
      </c>
      <c r="J48" s="2349" t="s">
        <v>2854</v>
      </c>
      <c r="K48" s="2350" t="s">
        <v>2247</v>
      </c>
      <c r="L48" s="1345">
        <f>'数据-取费表'!B11</f>
        <v>70</v>
      </c>
      <c r="M48" s="1358" t="str">
        <f>IF('数据-取费表'!B10="住宅","住宅","非住宅")</f>
        <v>住宅</v>
      </c>
      <c r="O48" s="1371" t="s">
        <v>960</v>
      </c>
      <c r="P48" s="1368" t="s">
        <v>2248</v>
      </c>
      <c r="Q48" s="1372" t="e">
        <f>J59</f>
        <v>#VALUE!</v>
      </c>
      <c r="R48" s="1370"/>
    </row>
    <row r="49" spans="1:18" s="791" customFormat="1" ht="15.75" thickBot="1">
      <c r="A49" s="1457" t="s">
        <v>1030</v>
      </c>
      <c r="B49" s="317" t="s">
        <v>2249</v>
      </c>
      <c r="C49" s="1458">
        <f ca="1">C50+C54+C56</f>
        <v>0</v>
      </c>
      <c r="D49" s="1459"/>
      <c r="E49" s="101"/>
      <c r="F49" s="16"/>
      <c r="I49" s="2351" t="s">
        <v>2250</v>
      </c>
      <c r="J49" s="2352" t="s">
        <v>2857</v>
      </c>
      <c r="K49" s="2353" t="s">
        <v>2251</v>
      </c>
      <c r="L49" s="1128">
        <f>'数据-取费表'!B13</f>
        <v>70</v>
      </c>
      <c r="O49" s="1371" t="s">
        <v>961</v>
      </c>
      <c r="P49" s="1368" t="s">
        <v>2252</v>
      </c>
      <c r="Q49" s="1372">
        <f>J53</f>
        <v>0.08</v>
      </c>
      <c r="R49" s="1370"/>
    </row>
    <row r="50" spans="1:18" s="791" customFormat="1" ht="15.75" thickBot="1">
      <c r="A50" s="345" t="s">
        <v>2108</v>
      </c>
      <c r="B50" s="2025" t="s">
        <v>2253</v>
      </c>
      <c r="C50" s="318">
        <f>ROUND(F50*F52*F51*(1-F53),0)</f>
        <v>0</v>
      </c>
      <c r="D50" s="93" t="s">
        <v>2806</v>
      </c>
      <c r="E50" s="2354" t="s">
        <v>2254</v>
      </c>
      <c r="F50" s="1299"/>
      <c r="I50" s="2351" t="s">
        <v>2255</v>
      </c>
      <c r="J50" s="1128">
        <f>'数据-取费表'!B26</f>
        <v>1999</v>
      </c>
      <c r="K50" s="2355" t="s">
        <v>2256</v>
      </c>
      <c r="L50" s="1346"/>
      <c r="O50" s="1371" t="s">
        <v>962</v>
      </c>
      <c r="P50" s="1368" t="s">
        <v>2257</v>
      </c>
      <c r="Q50" s="1369">
        <f>J54</f>
        <v>70</v>
      </c>
      <c r="R50" s="1370" t="s">
        <v>2258</v>
      </c>
    </row>
    <row r="51" spans="1:18" s="791" customFormat="1" ht="15.75" thickBot="1">
      <c r="A51" s="321"/>
      <c r="B51" s="322"/>
      <c r="C51" s="323"/>
      <c r="D51" s="324"/>
      <c r="E51" s="339" t="s">
        <v>2111</v>
      </c>
      <c r="F51" s="1296">
        <f>F7</f>
        <v>1</v>
      </c>
      <c r="I51" s="2351" t="s">
        <v>2259</v>
      </c>
      <c r="J51" s="1347">
        <f>SUMPRODUCT((I64:I66=J48)*(J63:L63=J49)*(J64:L66))</f>
        <v>50</v>
      </c>
      <c r="K51" s="2355" t="s">
        <v>2260</v>
      </c>
      <c r="L51" s="1346"/>
      <c r="O51" s="1367" t="s">
        <v>963</v>
      </c>
      <c r="P51" s="1368" t="str">
        <f>IF(C2="元","收益价值(元)","收益价值(万元)")</f>
        <v>收益价值(元)</v>
      </c>
      <c r="Q51" s="1369">
        <f ca="1">ROUND(IF(C2="元",Q45+Q46,(Q45+Q46)/10000),0)</f>
        <v>4990459</v>
      </c>
      <c r="R51" s="1370" t="s">
        <v>964</v>
      </c>
    </row>
    <row r="52" spans="1:18" s="791" customFormat="1" ht="16.5" thickBot="1">
      <c r="A52" s="321"/>
      <c r="B52" s="322"/>
      <c r="C52" s="323"/>
      <c r="D52" s="324"/>
      <c r="E52" s="319" t="s">
        <v>2113</v>
      </c>
      <c r="F52" s="320">
        <f>F8</f>
        <v>12</v>
      </c>
      <c r="I52" s="2356" t="s">
        <v>2261</v>
      </c>
      <c r="J52" s="1348">
        <f>IF(J50="",J51,J50+J51-YEAR('数据-取费表'!B2))</f>
        <v>31</v>
      </c>
      <c r="K52" s="2357" t="s">
        <v>2262</v>
      </c>
      <c r="L52" s="1349">
        <f ca="1">ROUND(-PV('数据-取费表'!B15,L49,(C40-C13*J35)),0)</f>
        <v>116749368</v>
      </c>
      <c r="O52" s="1361" t="s">
        <v>2263</v>
      </c>
      <c r="P52" s="1362"/>
      <c r="Q52" s="1358"/>
      <c r="R52" s="1362"/>
    </row>
    <row r="53" spans="1:18" s="791" customFormat="1" ht="15.75" thickBot="1">
      <c r="A53" s="325"/>
      <c r="B53" s="326"/>
      <c r="C53" s="327"/>
      <c r="D53" s="328"/>
      <c r="E53" s="319" t="s">
        <v>2114</v>
      </c>
      <c r="F53" s="1356"/>
      <c r="I53" s="2358" t="s">
        <v>2264</v>
      </c>
      <c r="J53" s="1350">
        <v>0.08</v>
      </c>
      <c r="K53" s="2358" t="s">
        <v>2265</v>
      </c>
      <c r="L53" s="1350"/>
      <c r="O53" s="1363" t="s">
        <v>2230</v>
      </c>
      <c r="P53" s="1364" t="s">
        <v>2231</v>
      </c>
      <c r="Q53" s="1365" t="s">
        <v>2232</v>
      </c>
      <c r="R53" s="1366" t="s">
        <v>2233</v>
      </c>
    </row>
    <row r="54" spans="1:18" s="791" customFormat="1" ht="29.25" customHeight="1" thickBot="1">
      <c r="A54" s="1384" t="s">
        <v>2115</v>
      </c>
      <c r="B54" s="2339" t="s">
        <v>2116</v>
      </c>
      <c r="C54" s="1385">
        <f ca="1">ROUND(IF(F54="押一",C50/12*F11,IF(F54="押二",C50/12*2*F11,IF(F54="押三",C50/12*3*F11,C55*F11))),0)</f>
        <v>0</v>
      </c>
      <c r="D54" s="2340" t="s">
        <v>2814</v>
      </c>
      <c r="E54" s="330" t="s">
        <v>2117</v>
      </c>
      <c r="F54" s="2341"/>
      <c r="I54" s="2731" t="s">
        <v>2817</v>
      </c>
      <c r="J54" s="1351">
        <f>IF(M48="住宅",IF(E1="——",MAX(J52,L49),IF(E1="在建（套用方法）",MAX(J52,L49-'数据-取费表'!B25),MAX(J52,L49-'数据-取费表'!B21))),IF(E1="——",MIN(J52,L49),IF(E1="在建（套用方法）",MIN(J52,L49-'数据-取费表'!B25),IF(E1="土地（套用方法）",MIN(J52,L49-'数据-取费表'!B21)))))</f>
        <v>70</v>
      </c>
      <c r="K54" s="3013" t="s">
        <v>2804</v>
      </c>
      <c r="L54" s="3014"/>
      <c r="O54" s="1367" t="s">
        <v>957</v>
      </c>
      <c r="P54" s="1368" t="s">
        <v>2234</v>
      </c>
      <c r="Q54" s="1369">
        <f ca="1">C40+J29</f>
        <v>4990459</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958</v>
      </c>
      <c r="P55" s="1368" t="s">
        <v>2266</v>
      </c>
      <c r="Q55" s="1369">
        <f>L61</f>
        <v>0</v>
      </c>
      <c r="R55" s="1370" t="s">
        <v>2267</v>
      </c>
    </row>
    <row r="56" spans="1:18" s="791" customFormat="1" ht="20.25" thickBot="1">
      <c r="A56" s="1424" t="s">
        <v>2122</v>
      </c>
      <c r="B56" s="2343" t="s">
        <v>2123</v>
      </c>
      <c r="C56" s="1425"/>
      <c r="D56" s="1441"/>
      <c r="E56" s="2362"/>
      <c r="F56" s="1501"/>
      <c r="I56" s="2363" t="s">
        <v>2268</v>
      </c>
      <c r="J56" s="1871" t="e">
        <f>ROUND(IF(J48="钢混",J58/J51,1-(1-2%)*(J51-J58)/J51),3)</f>
        <v>#VALUE!</v>
      </c>
      <c r="K56" s="2364" t="s">
        <v>2269</v>
      </c>
      <c r="L56" s="1352" t="s">
        <v>2909</v>
      </c>
      <c r="O56" s="1371" t="s">
        <v>959</v>
      </c>
      <c r="P56" s="1368" t="s">
        <v>2270</v>
      </c>
      <c r="Q56" s="1369">
        <f>IF(L56="比较法",L50,IF(L56="基准地价",L51,0))</f>
        <v>0</v>
      </c>
      <c r="R56" s="1370" t="s">
        <v>2235</v>
      </c>
    </row>
    <row r="57" spans="1:18" s="791" customFormat="1" ht="44.25" thickTop="1" thickBot="1">
      <c r="A57" s="1420">
        <v>2</v>
      </c>
      <c r="B57" s="1421" t="s">
        <v>2124</v>
      </c>
      <c r="C57" s="1500">
        <f ca="1">C13</f>
        <v>155062</v>
      </c>
      <c r="D57" s="1294"/>
      <c r="E57" s="1295"/>
      <c r="F57" s="1302"/>
      <c r="I57" s="2365" t="s">
        <v>2271</v>
      </c>
      <c r="J57" s="1355" t="s">
        <v>2858</v>
      </c>
      <c r="K57" s="2351" t="s">
        <v>2272</v>
      </c>
      <c r="L57" s="1128">
        <f>IF(L49&lt;J52,"——",L49-J52)</f>
        <v>39</v>
      </c>
      <c r="O57" s="1371" t="s">
        <v>960</v>
      </c>
      <c r="P57" s="1368" t="s">
        <v>2273</v>
      </c>
      <c r="Q57" s="1372">
        <f>L53</f>
        <v>0</v>
      </c>
      <c r="R57" s="1370"/>
    </row>
    <row r="58" spans="1:18" s="791" customFormat="1" ht="29.25" thickBot="1">
      <c r="A58" s="1301"/>
      <c r="B58" s="319" t="s">
        <v>2203</v>
      </c>
      <c r="C58" s="188">
        <f ca="1">C29</f>
        <v>231436</v>
      </c>
      <c r="D58" s="1294"/>
      <c r="E58" s="1295"/>
      <c r="F58" s="1302"/>
      <c r="I58" s="2366" t="s">
        <v>2274</v>
      </c>
      <c r="J58" s="1354" t="str">
        <f>IF(OR(M48="住宅",J52&lt;L49,J57="是"),"——",J52-L49)</f>
        <v>——</v>
      </c>
      <c r="K58" s="2351" t="s">
        <v>2275</v>
      </c>
      <c r="L58" s="1128">
        <f>IF(L49&lt;J52,"——",IF(L56="比较法",L50,IF(L56="基准地价",L51,L52)))</f>
        <v>0</v>
      </c>
      <c r="O58" s="1371" t="s">
        <v>961</v>
      </c>
      <c r="P58" s="1368" t="s">
        <v>2276</v>
      </c>
      <c r="Q58" s="1369" t="e">
        <f>L59</f>
        <v>#DIV/0!</v>
      </c>
      <c r="R58" s="1370" t="s">
        <v>2277</v>
      </c>
    </row>
    <row r="59" spans="1:18" s="791" customFormat="1" ht="29.25" thickBot="1">
      <c r="A59" s="332" t="s">
        <v>14</v>
      </c>
      <c r="B59" s="333" t="s">
        <v>2206</v>
      </c>
      <c r="C59" s="334">
        <f ca="1">ROUND(C60+C65+C66+C67,0)</f>
        <v>3705</v>
      </c>
      <c r="D59" s="12" t="s">
        <v>2207</v>
      </c>
      <c r="E59" s="1898"/>
      <c r="F59" s="16"/>
      <c r="I59" s="2366" t="s">
        <v>2278</v>
      </c>
      <c r="J59" s="1870" t="e">
        <f>IF(J56&lt;0.4,0.4,J56)</f>
        <v>#VALUE!</v>
      </c>
      <c r="K59" s="2357" t="s">
        <v>2279</v>
      </c>
      <c r="L59" s="1128" t="e">
        <f>ROUND(POWER(1+L53,L48-L49)*(POWER(1+L53,L49)-1)/(POWER(1+L53,L48)-1),4)</f>
        <v>#DIV/0!</v>
      </c>
      <c r="O59" s="1371" t="s">
        <v>962</v>
      </c>
      <c r="P59" s="1368" t="str">
        <f>K60</f>
        <v>建筑物剩余耐用年限下的土地年期修正系数Kn</v>
      </c>
      <c r="Q59" s="1369" t="e">
        <f>L60</f>
        <v>#DIV/0!</v>
      </c>
      <c r="R59" s="1370" t="s">
        <v>2280</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6" t="s">
        <v>2281</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4990459</v>
      </c>
      <c r="R60" s="1370" t="s">
        <v>964</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957</v>
      </c>
      <c r="P63" s="1368" t="s">
        <v>2234</v>
      </c>
      <c r="Q63" s="1369">
        <f ca="1">C40+J29</f>
        <v>4990459</v>
      </c>
      <c r="R63" s="1370" t="s">
        <v>2235</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2215</v>
      </c>
      <c r="C65" s="14">
        <f ca="1">ROUND(C58*F65,0)</f>
        <v>3472</v>
      </c>
      <c r="D65" s="1893" t="s">
        <v>2216</v>
      </c>
      <c r="E65" s="319" t="s">
        <v>2160</v>
      </c>
      <c r="F65" s="350">
        <f t="shared" si="0"/>
        <v>1.4999999999999999E-2</v>
      </c>
      <c r="I65" s="2369" t="s">
        <v>2296</v>
      </c>
      <c r="J65" s="1874">
        <v>50</v>
      </c>
      <c r="K65" s="1874">
        <v>35</v>
      </c>
      <c r="L65" s="1874">
        <v>60</v>
      </c>
      <c r="M65" s="1873">
        <v>0</v>
      </c>
      <c r="O65" s="1371" t="s">
        <v>959</v>
      </c>
      <c r="P65" s="1368" t="s">
        <v>2270</v>
      </c>
      <c r="Q65" s="1373">
        <f ca="1">L52</f>
        <v>116749368</v>
      </c>
      <c r="R65" s="1374" t="s">
        <v>2297</v>
      </c>
    </row>
    <row r="66" spans="1:18" s="791" customFormat="1" ht="20.25" thickBot="1">
      <c r="A66" s="337" t="s">
        <v>20</v>
      </c>
      <c r="B66" s="319" t="s">
        <v>2175</v>
      </c>
      <c r="C66" s="14">
        <f ca="1">ROUND(C57*F66,0)</f>
        <v>233</v>
      </c>
      <c r="D66" s="1893" t="s">
        <v>2176</v>
      </c>
      <c r="E66" s="319" t="s">
        <v>2177</v>
      </c>
      <c r="F66" s="351">
        <f t="shared" si="0"/>
        <v>1.5E-3</v>
      </c>
      <c r="I66" s="2369" t="s">
        <v>2298</v>
      </c>
      <c r="J66" s="1874">
        <v>40</v>
      </c>
      <c r="K66" s="1874">
        <v>30</v>
      </c>
      <c r="L66" s="1874">
        <v>50</v>
      </c>
      <c r="M66" s="1872">
        <v>0.02</v>
      </c>
      <c r="O66" s="1371" t="s">
        <v>960</v>
      </c>
      <c r="P66" s="1375" t="s">
        <v>2299</v>
      </c>
      <c r="Q66" s="1369">
        <f ca="1">ROUND(Q67-Q68*Q69,0)</f>
        <v>87495</v>
      </c>
      <c r="R66" s="1370"/>
    </row>
    <row r="67" spans="1:18" s="791" customFormat="1" ht="15.75" thickBot="1">
      <c r="A67" s="337" t="s">
        <v>21</v>
      </c>
      <c r="B67" s="319" t="s">
        <v>2158</v>
      </c>
      <c r="C67" s="14">
        <f ca="1">ROUND(C49*F67,0)</f>
        <v>0</v>
      </c>
      <c r="D67" s="1893" t="s">
        <v>2181</v>
      </c>
      <c r="E67" s="319" t="s">
        <v>2177</v>
      </c>
      <c r="F67" s="329">
        <f t="shared" si="0"/>
        <v>0.01</v>
      </c>
      <c r="O67" s="1371" t="s">
        <v>965</v>
      </c>
      <c r="P67" s="1375" t="s">
        <v>2300</v>
      </c>
      <c r="Q67" s="1369">
        <f ca="1">C39</f>
        <v>87495</v>
      </c>
      <c r="R67" s="1370" t="s">
        <v>2235</v>
      </c>
    </row>
    <row r="68" spans="1:18" ht="15.75" thickBot="1">
      <c r="A68" s="332" t="s">
        <v>22</v>
      </c>
      <c r="B68" s="89" t="s">
        <v>2185</v>
      </c>
      <c r="C68" s="334">
        <f ca="1">C49-C59</f>
        <v>-3705</v>
      </c>
      <c r="D68" s="1888" t="s">
        <v>2186</v>
      </c>
      <c r="E68" s="1892"/>
      <c r="F68" s="353"/>
      <c r="H68" s="791"/>
      <c r="I68" s="791"/>
      <c r="J68" s="791"/>
      <c r="K68" s="791"/>
      <c r="L68" s="791"/>
      <c r="M68" s="791"/>
      <c r="O68" s="1371" t="s">
        <v>966</v>
      </c>
      <c r="P68" s="1375" t="s">
        <v>2301</v>
      </c>
      <c r="Q68" s="1369">
        <f ca="1">C13</f>
        <v>155062</v>
      </c>
      <c r="R68" s="1370" t="s">
        <v>2235</v>
      </c>
    </row>
    <row r="69" spans="1:18" ht="15.75" thickBot="1">
      <c r="A69" s="316" t="s">
        <v>23</v>
      </c>
      <c r="B69" s="317" t="s">
        <v>2223</v>
      </c>
      <c r="C69" s="318">
        <f ca="1">ROUND(C68*(1-((1+F71)/(1+F69))^F70)/(F69-F71),0)</f>
        <v>-78554</v>
      </c>
      <c r="D69" s="346" t="s">
        <v>2191</v>
      </c>
      <c r="E69" s="319" t="s">
        <v>2192</v>
      </c>
      <c r="F69" s="329">
        <f>F40</f>
        <v>4.4999999999999998E-2</v>
      </c>
      <c r="H69" s="791"/>
      <c r="I69" s="791"/>
      <c r="J69" s="791"/>
      <c r="K69" s="791"/>
      <c r="L69" s="791"/>
      <c r="M69" s="791"/>
      <c r="O69" s="1371" t="s">
        <v>967</v>
      </c>
      <c r="P69" s="1375" t="s">
        <v>2302</v>
      </c>
      <c r="Q69" s="1372">
        <f>J35</f>
        <v>0</v>
      </c>
      <c r="R69" s="1370"/>
    </row>
    <row r="70" spans="1:18" ht="15.75" thickBot="1">
      <c r="A70" s="321"/>
      <c r="B70" s="322"/>
      <c r="C70" s="323"/>
      <c r="D70" s="354" t="s">
        <v>2225</v>
      </c>
      <c r="E70" s="319" t="s">
        <v>2197</v>
      </c>
      <c r="F70" s="355">
        <f>F41</f>
        <v>70</v>
      </c>
      <c r="H70" s="791"/>
      <c r="I70" s="791"/>
      <c r="J70" s="791"/>
      <c r="K70" s="791"/>
      <c r="L70" s="791"/>
      <c r="M70" s="791"/>
      <c r="O70" s="1371" t="s">
        <v>961</v>
      </c>
      <c r="P70" s="1368" t="s">
        <v>2273</v>
      </c>
      <c r="Q70" s="1372">
        <f>L53</f>
        <v>0</v>
      </c>
      <c r="R70" s="1370"/>
    </row>
    <row r="71" spans="1:18" ht="20.25" thickBot="1">
      <c r="A71" s="325"/>
      <c r="B71" s="326"/>
      <c r="C71" s="327"/>
      <c r="D71" s="349"/>
      <c r="E71" s="319" t="s">
        <v>2201</v>
      </c>
      <c r="F71" s="1356"/>
      <c r="H71" s="791"/>
      <c r="M71" s="791"/>
      <c r="O71" s="1371" t="s">
        <v>962</v>
      </c>
      <c r="P71" s="1368" t="s">
        <v>2276</v>
      </c>
      <c r="Q71" s="1369" t="e">
        <f>L59</f>
        <v>#DIV/0!</v>
      </c>
      <c r="R71" s="1370" t="s">
        <v>2277</v>
      </c>
    </row>
    <row r="72" spans="1:18" ht="15.75" thickBot="1">
      <c r="A72" s="356" t="s">
        <v>24</v>
      </c>
      <c r="B72" s="357" t="s">
        <v>2226</v>
      </c>
      <c r="C72" s="358">
        <f ca="1">ROUND(C69/F72,0)</f>
        <v>-1186</v>
      </c>
      <c r="D72" s="359" t="s">
        <v>2227</v>
      </c>
      <c r="E72" s="360" t="s">
        <v>2228</v>
      </c>
      <c r="F72" s="361">
        <f>F43</f>
        <v>66.209999999999994</v>
      </c>
      <c r="O72" s="1371" t="s">
        <v>968</v>
      </c>
      <c r="P72" s="1368" t="str">
        <f>K60</f>
        <v>建筑物剩余耐用年限下的土地年期修正系数Kn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收益价值(元)</v>
      </c>
      <c r="Q73" s="1369">
        <f ca="1">ROUND(IF(C2="元",Q63+Q64,(Q63+Q64)/10000),0)</f>
        <v>4990459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5" t="s">
        <v>1024</v>
      </c>
      <c r="B1" s="3016"/>
      <c r="C1" s="3017"/>
      <c r="D1" s="3018">
        <f>SUM(I10,I15,I20,I21,I23)</f>
        <v>0</v>
      </c>
      <c r="E1" s="3018"/>
      <c r="F1" s="3018"/>
      <c r="G1" s="3018"/>
      <c r="H1" s="3018"/>
      <c r="I1" s="3019"/>
    </row>
    <row r="2" spans="1:9">
      <c r="A2" s="3020" t="s">
        <v>1025</v>
      </c>
      <c r="B2" s="3021" t="s">
        <v>974</v>
      </c>
      <c r="C2" s="3021"/>
      <c r="D2" s="1389" t="s">
        <v>975</v>
      </c>
      <c r="E2" s="1389" t="s">
        <v>976</v>
      </c>
      <c r="F2" s="1389" t="s">
        <v>977</v>
      </c>
      <c r="G2" s="1389" t="s">
        <v>978</v>
      </c>
      <c r="H2" s="1389" t="s">
        <v>979</v>
      </c>
      <c r="I2" s="1390" t="s">
        <v>980</v>
      </c>
    </row>
    <row r="3" spans="1:9">
      <c r="A3" s="3020"/>
      <c r="B3" s="3021" t="s">
        <v>981</v>
      </c>
      <c r="C3" s="3021"/>
      <c r="D3" s="1391"/>
      <c r="E3" s="1389"/>
      <c r="F3" s="1392"/>
      <c r="G3" s="1392"/>
      <c r="H3" s="1393"/>
      <c r="I3" s="1394">
        <f>ROUND(D3*E3*F3*G3*H3/10000,0)</f>
        <v>0</v>
      </c>
    </row>
    <row r="4" spans="1:9">
      <c r="A4" s="3020"/>
      <c r="B4" s="3021" t="s">
        <v>982</v>
      </c>
      <c r="C4" s="3021"/>
      <c r="D4" s="1391"/>
      <c r="E4" s="1389"/>
      <c r="F4" s="1392"/>
      <c r="G4" s="1392"/>
      <c r="H4" s="1393"/>
      <c r="I4" s="1394">
        <f t="shared" ref="I4:I9" si="0">ROUND(D4*E4*F4*G4*H4/10000,0)</f>
        <v>0</v>
      </c>
    </row>
    <row r="5" spans="1:9">
      <c r="A5" s="3020"/>
      <c r="B5" s="3021" t="s">
        <v>983</v>
      </c>
      <c r="C5" s="3021"/>
      <c r="D5" s="1391"/>
      <c r="E5" s="1389"/>
      <c r="F5" s="1392"/>
      <c r="G5" s="1392"/>
      <c r="H5" s="1393"/>
      <c r="I5" s="1394">
        <f t="shared" si="0"/>
        <v>0</v>
      </c>
    </row>
    <row r="6" spans="1:9">
      <c r="A6" s="3020"/>
      <c r="B6" s="3021" t="s">
        <v>984</v>
      </c>
      <c r="C6" s="3021"/>
      <c r="D6" s="1391"/>
      <c r="E6" s="1389"/>
      <c r="F6" s="1392"/>
      <c r="G6" s="1392"/>
      <c r="H6" s="1393"/>
      <c r="I6" s="1394">
        <f t="shared" si="0"/>
        <v>0</v>
      </c>
    </row>
    <row r="7" spans="1:9">
      <c r="A7" s="3020"/>
      <c r="B7" s="3021" t="s">
        <v>985</v>
      </c>
      <c r="C7" s="3021"/>
      <c r="D7" s="1391"/>
      <c r="E7" s="1389"/>
      <c r="F7" s="1392"/>
      <c r="G7" s="1392"/>
      <c r="H7" s="1393"/>
      <c r="I7" s="1394">
        <f t="shared" si="0"/>
        <v>0</v>
      </c>
    </row>
    <row r="8" spans="1:9">
      <c r="A8" s="3020"/>
      <c r="B8" s="3021" t="s">
        <v>986</v>
      </c>
      <c r="C8" s="3021"/>
      <c r="D8" s="1391"/>
      <c r="E8" s="1389"/>
      <c r="F8" s="1392"/>
      <c r="G8" s="1392"/>
      <c r="H8" s="1393"/>
      <c r="I8" s="1394">
        <f t="shared" si="0"/>
        <v>0</v>
      </c>
    </row>
    <row r="9" spans="1:9">
      <c r="A9" s="3020"/>
      <c r="B9" s="3021" t="s">
        <v>987</v>
      </c>
      <c r="C9" s="3021"/>
      <c r="D9" s="1391"/>
      <c r="E9" s="1389"/>
      <c r="F9" s="1392"/>
      <c r="G9" s="1392"/>
      <c r="H9" s="1393"/>
      <c r="I9" s="1394">
        <f t="shared" si="0"/>
        <v>0</v>
      </c>
    </row>
    <row r="10" spans="1:9">
      <c r="A10" s="3020"/>
      <c r="B10" s="3022" t="s">
        <v>988</v>
      </c>
      <c r="C10" s="3022"/>
      <c r="D10" s="1395">
        <v>527</v>
      </c>
      <c r="E10" s="1395" t="e">
        <f>ROUND(D1*10000/D10/H9,0)</f>
        <v>#DIV/0!</v>
      </c>
      <c r="F10" s="1396"/>
      <c r="G10" s="1396"/>
      <c r="H10" s="1397"/>
      <c r="I10" s="1398">
        <f>SUM(I3:I9)</f>
        <v>0</v>
      </c>
    </row>
    <row r="11" spans="1:9" ht="14.25">
      <c r="A11" s="3020" t="s">
        <v>1026</v>
      </c>
      <c r="B11" s="3021" t="s">
        <v>989</v>
      </c>
      <c r="C11" s="3021"/>
      <c r="D11" s="1391" t="s">
        <v>990</v>
      </c>
      <c r="E11" s="1391" t="s">
        <v>991</v>
      </c>
      <c r="F11" s="1392" t="s">
        <v>992</v>
      </c>
      <c r="G11" s="1392" t="s">
        <v>979</v>
      </c>
      <c r="H11" s="1399" t="s">
        <v>993</v>
      </c>
      <c r="I11" s="1390" t="s">
        <v>980</v>
      </c>
    </row>
    <row r="12" spans="1:9">
      <c r="A12" s="3020"/>
      <c r="B12" s="3021" t="s">
        <v>994</v>
      </c>
      <c r="C12" s="3021"/>
      <c r="D12" s="1391"/>
      <c r="E12" s="1391"/>
      <c r="F12" s="1392"/>
      <c r="G12" s="1393"/>
      <c r="H12" s="1400"/>
      <c r="I12" s="1390">
        <f>ROUND(D12*E12*F12*G12/10000,0)</f>
        <v>0</v>
      </c>
    </row>
    <row r="13" spans="1:9">
      <c r="A13" s="3020"/>
      <c r="B13" s="3021" t="s">
        <v>995</v>
      </c>
      <c r="C13" s="3021"/>
      <c r="D13" s="1391"/>
      <c r="E13" s="1391"/>
      <c r="F13" s="1392"/>
      <c r="G13" s="1393"/>
      <c r="H13" s="1400"/>
      <c r="I13" s="1390">
        <f>ROUND(D13*E13*F13*G13/10000,0)</f>
        <v>0</v>
      </c>
    </row>
    <row r="14" spans="1:9">
      <c r="A14" s="3020"/>
      <c r="B14" s="3021" t="s">
        <v>996</v>
      </c>
      <c r="C14" s="3021"/>
      <c r="D14" s="1391"/>
      <c r="E14" s="1391"/>
      <c r="F14" s="1392"/>
      <c r="G14" s="1393"/>
      <c r="H14" s="1400"/>
      <c r="I14" s="1390">
        <f>ROUND(D14*E14*F14*G14/10000,0)</f>
        <v>0</v>
      </c>
    </row>
    <row r="15" spans="1:9">
      <c r="A15" s="3020"/>
      <c r="B15" s="3022" t="s">
        <v>988</v>
      </c>
      <c r="C15" s="3022"/>
      <c r="D15" s="1395"/>
      <c r="E15" s="1395">
        <f>SUM(E12:E14)</f>
        <v>0</v>
      </c>
      <c r="F15" s="1396"/>
      <c r="G15" s="1393"/>
      <c r="H15" s="1400"/>
      <c r="I15" s="1401">
        <f>SUM(I12:I14)</f>
        <v>0</v>
      </c>
    </row>
    <row r="16" spans="1:9" ht="24">
      <c r="A16" s="3020" t="s">
        <v>1027</v>
      </c>
      <c r="B16" s="3021" t="s">
        <v>997</v>
      </c>
      <c r="C16" s="3021"/>
      <c r="D16" s="1391" t="s">
        <v>975</v>
      </c>
      <c r="E16" s="1402" t="s">
        <v>998</v>
      </c>
      <c r="F16" s="1392" t="s">
        <v>999</v>
      </c>
      <c r="G16" s="1393" t="s">
        <v>979</v>
      </c>
      <c r="H16" s="1399" t="s">
        <v>993</v>
      </c>
      <c r="I16" s="1390" t="s">
        <v>980</v>
      </c>
    </row>
    <row r="17" spans="1:9" ht="14.25">
      <c r="A17" s="3020"/>
      <c r="B17" s="3021" t="s">
        <v>1000</v>
      </c>
      <c r="C17" s="3021"/>
      <c r="D17" s="1391"/>
      <c r="E17" s="1391"/>
      <c r="F17" s="1392"/>
      <c r="G17" s="1393"/>
      <c r="H17" s="1403"/>
      <c r="I17" s="1404">
        <f>ROUND(D17*E17*F17*G17/10000,0)</f>
        <v>0</v>
      </c>
    </row>
    <row r="18" spans="1:9" ht="14.25">
      <c r="A18" s="3020"/>
      <c r="B18" s="3021" t="s">
        <v>1001</v>
      </c>
      <c r="C18" s="3021"/>
      <c r="D18" s="1391"/>
      <c r="E18" s="1391"/>
      <c r="F18" s="1392"/>
      <c r="G18" s="1393"/>
      <c r="H18" s="1403"/>
      <c r="I18" s="1404">
        <f>ROUND(D18*E18*F18*G18/10000,0)</f>
        <v>0</v>
      </c>
    </row>
    <row r="19" spans="1:9" ht="14.25">
      <c r="A19" s="3020"/>
      <c r="B19" s="3021" t="s">
        <v>1002</v>
      </c>
      <c r="C19" s="3021"/>
      <c r="D19" s="1391"/>
      <c r="E19" s="1391"/>
      <c r="F19" s="1392"/>
      <c r="G19" s="1393"/>
      <c r="H19" s="1403"/>
      <c r="I19" s="1404">
        <f>ROUND(D19*E19*F19*G19/10000,0)</f>
        <v>0</v>
      </c>
    </row>
    <row r="20" spans="1:9">
      <c r="A20" s="3020"/>
      <c r="B20" s="3022" t="s">
        <v>988</v>
      </c>
      <c r="C20" s="3022"/>
      <c r="D20" s="1395">
        <f>SUM(D17:D19)</f>
        <v>0</v>
      </c>
      <c r="E20" s="1395"/>
      <c r="F20" s="1396"/>
      <c r="G20" s="1393"/>
      <c r="H20" s="1400"/>
      <c r="I20" s="1401">
        <f>SUM(I17:I19)</f>
        <v>0</v>
      </c>
    </row>
    <row r="21" spans="1:9">
      <c r="A21" s="3020" t="s">
        <v>1028</v>
      </c>
      <c r="B21" s="3024"/>
      <c r="C21" s="3024"/>
      <c r="D21" s="3024"/>
      <c r="E21" s="3024"/>
      <c r="F21" s="3024"/>
      <c r="G21" s="3024"/>
      <c r="H21" s="1405">
        <v>0.1</v>
      </c>
      <c r="I21" s="1398">
        <f>ROUND(I10*H21,0)</f>
        <v>0</v>
      </c>
    </row>
    <row r="22" spans="1:9" ht="14.25">
      <c r="A22" s="3025" t="s">
        <v>1029</v>
      </c>
      <c r="B22" s="3026"/>
      <c r="C22" s="3027"/>
      <c r="D22" s="1406" t="s">
        <v>1003</v>
      </c>
      <c r="E22" s="1406" t="s">
        <v>1004</v>
      </c>
      <c r="F22" s="1407" t="s">
        <v>979</v>
      </c>
      <c r="G22" s="1407" t="s">
        <v>1005</v>
      </c>
      <c r="H22" s="1399" t="s">
        <v>993</v>
      </c>
      <c r="I22" s="1390" t="s">
        <v>980</v>
      </c>
    </row>
    <row r="23" spans="1:9" ht="14.25" thickBot="1">
      <c r="A23" s="3028"/>
      <c r="B23" s="3029"/>
      <c r="C23" s="3030"/>
      <c r="D23" s="1408"/>
      <c r="E23" s="1408"/>
      <c r="F23" s="1408"/>
      <c r="G23" s="1409"/>
      <c r="H23" s="1410"/>
      <c r="I23" s="1411">
        <f>ROUND(E23*D23*F23*(1-G23)/10000,0)</f>
        <v>0</v>
      </c>
    </row>
    <row r="26" spans="1:9">
      <c r="A26" s="1412" t="s">
        <v>1006</v>
      </c>
      <c r="B26" s="1412"/>
      <c r="C26" s="1412"/>
      <c r="D26" s="1412"/>
      <c r="E26" s="3031">
        <f>C27-C30-C31-C32</f>
        <v>0</v>
      </c>
      <c r="F26" s="3031"/>
      <c r="G26" s="3031"/>
      <c r="H26" s="1829" t="s">
        <v>1219</v>
      </c>
    </row>
    <row r="27" spans="1:9">
      <c r="A27" s="1413">
        <v>1</v>
      </c>
      <c r="B27" s="1414" t="s">
        <v>1007</v>
      </c>
      <c r="C27" s="1414">
        <f>C28+C29</f>
        <v>0</v>
      </c>
      <c r="D27" s="1414"/>
      <c r="E27" s="3032"/>
      <c r="F27" s="3032"/>
      <c r="G27" s="3032"/>
    </row>
    <row r="28" spans="1:9">
      <c r="A28" s="1415" t="s">
        <v>1008</v>
      </c>
      <c r="B28" s="1414" t="s">
        <v>1009</v>
      </c>
      <c r="C28" s="1414"/>
      <c r="D28" s="1414"/>
      <c r="E28" s="3032"/>
      <c r="F28" s="3032"/>
      <c r="G28" s="303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23"/>
      <c r="F32" s="3023"/>
      <c r="G32" s="3023"/>
    </row>
    <row r="33" spans="1:7" hidden="1">
      <c r="A33" s="3033" t="s">
        <v>1018</v>
      </c>
      <c r="B33" s="3034"/>
      <c r="C33" s="3034"/>
      <c r="D33" s="3035"/>
      <c r="E33" s="3031"/>
      <c r="F33" s="3031"/>
      <c r="G33" s="3031"/>
    </row>
    <row r="34" spans="1:7" hidden="1">
      <c r="A34" s="1417">
        <v>1</v>
      </c>
      <c r="B34" s="1414" t="s">
        <v>1019</v>
      </c>
      <c r="C34" s="1414"/>
      <c r="D34" s="1414"/>
      <c r="E34" s="3032"/>
      <c r="F34" s="3032"/>
      <c r="G34" s="3032"/>
    </row>
    <row r="35" spans="1:7" hidden="1">
      <c r="A35" s="1417">
        <v>2</v>
      </c>
      <c r="B35" s="1414" t="s">
        <v>1020</v>
      </c>
      <c r="C35" s="1414"/>
      <c r="D35" s="1414"/>
      <c r="E35" s="3032"/>
      <c r="F35" s="3032"/>
      <c r="G35" s="3032"/>
    </row>
    <row r="36" spans="1:7" hidden="1">
      <c r="A36" s="1417">
        <v>3</v>
      </c>
      <c r="B36" s="1414" t="s">
        <v>1021</v>
      </c>
      <c r="C36" s="1414"/>
      <c r="D36" s="1414"/>
      <c r="E36" s="3032"/>
      <c r="F36" s="3032"/>
      <c r="G36" s="3032"/>
    </row>
    <row r="37" spans="1:7" hidden="1">
      <c r="A37" s="1417">
        <v>4</v>
      </c>
      <c r="B37" s="1414" t="s">
        <v>1022</v>
      </c>
      <c r="C37" s="1414"/>
      <c r="D37" s="1414"/>
      <c r="E37" s="3032"/>
      <c r="F37" s="3032"/>
      <c r="G37" s="3032"/>
    </row>
    <row r="38" spans="1:7" hidden="1">
      <c r="A38" s="3033" t="s">
        <v>1023</v>
      </c>
      <c r="B38" s="3034"/>
      <c r="C38" s="3034"/>
      <c r="D38" s="3035"/>
      <c r="E38" s="3031"/>
      <c r="F38" s="3031"/>
      <c r="G38" s="303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39" t="s">
        <v>2308</v>
      </c>
      <c r="D4" s="3040"/>
      <c r="E4" s="3040"/>
      <c r="F4" s="3040"/>
      <c r="G4" s="3040"/>
      <c r="H4" s="3040"/>
      <c r="I4" s="3040"/>
      <c r="J4" s="3040"/>
      <c r="K4" s="3040"/>
      <c r="L4" s="3040"/>
      <c r="M4" s="3040"/>
      <c r="N4" s="3040"/>
      <c r="O4" s="3040"/>
      <c r="P4" s="3040"/>
      <c r="Q4" s="3040"/>
      <c r="R4" s="3040"/>
      <c r="S4" s="304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2">C9-$T$8</f>
        <v>100</v>
      </c>
      <c r="E9" s="1160">
        <f t="shared" si="2"/>
        <v>100</v>
      </c>
      <c r="F9" s="1160">
        <f t="shared" si="2"/>
        <v>100</v>
      </c>
      <c r="G9" s="1160">
        <f t="shared" si="2"/>
        <v>100</v>
      </c>
      <c r="H9" s="1160">
        <f t="shared" si="2"/>
        <v>100</v>
      </c>
      <c r="I9" s="1160">
        <f t="shared" si="2"/>
        <v>100</v>
      </c>
      <c r="J9" s="1160">
        <f t="shared" si="2"/>
        <v>100</v>
      </c>
      <c r="K9" s="1160">
        <f t="shared" si="2"/>
        <v>100</v>
      </c>
      <c r="L9" s="1160">
        <f t="shared" si="2"/>
        <v>100</v>
      </c>
      <c r="M9" s="1161">
        <f t="shared" si="2"/>
        <v>100</v>
      </c>
      <c r="N9" s="1161">
        <f t="shared" si="2"/>
        <v>100</v>
      </c>
      <c r="O9" s="1160">
        <f t="shared" si="2"/>
        <v>100</v>
      </c>
      <c r="P9" s="1160">
        <f t="shared" si="2"/>
        <v>100</v>
      </c>
      <c r="Q9" s="1160">
        <f t="shared" si="2"/>
        <v>100</v>
      </c>
      <c r="R9" s="1160">
        <f t="shared" si="2"/>
        <v>100</v>
      </c>
      <c r="S9" s="1202">
        <f t="shared" si="2"/>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3">C11-$T$10</f>
        <v>100</v>
      </c>
      <c r="E11" s="1160">
        <f t="shared" si="3"/>
        <v>100</v>
      </c>
      <c r="F11" s="1160">
        <f t="shared" si="3"/>
        <v>100</v>
      </c>
      <c r="G11" s="1160">
        <f t="shared" si="3"/>
        <v>100</v>
      </c>
      <c r="H11" s="1160">
        <f t="shared" si="3"/>
        <v>100</v>
      </c>
      <c r="I11" s="1160">
        <f t="shared" si="3"/>
        <v>100</v>
      </c>
      <c r="J11" s="1160">
        <f t="shared" si="3"/>
        <v>100</v>
      </c>
      <c r="K11" s="1160">
        <f t="shared" si="3"/>
        <v>100</v>
      </c>
      <c r="L11" s="1160">
        <f t="shared" si="3"/>
        <v>100</v>
      </c>
      <c r="M11" s="1161">
        <f t="shared" si="3"/>
        <v>100</v>
      </c>
      <c r="N11" s="1161">
        <f t="shared" ref="N11:S11" si="4">M11-$T$10</f>
        <v>100</v>
      </c>
      <c r="O11" s="1160">
        <f t="shared" si="4"/>
        <v>100</v>
      </c>
      <c r="P11" s="1160">
        <f t="shared" si="4"/>
        <v>100</v>
      </c>
      <c r="Q11" s="1160">
        <f t="shared" si="4"/>
        <v>100</v>
      </c>
      <c r="R11" s="1160">
        <f t="shared" si="4"/>
        <v>100</v>
      </c>
      <c r="S11" s="1202">
        <f t="shared" si="4"/>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5">C13-$T$12</f>
        <v>100</v>
      </c>
      <c r="E13" s="1174">
        <f t="shared" si="5"/>
        <v>100</v>
      </c>
      <c r="F13" s="1174">
        <f t="shared" si="5"/>
        <v>100</v>
      </c>
      <c r="G13" s="1174">
        <f t="shared" si="5"/>
        <v>100</v>
      </c>
      <c r="H13" s="1174">
        <f t="shared" si="5"/>
        <v>100</v>
      </c>
      <c r="I13" s="1174">
        <f t="shared" si="5"/>
        <v>100</v>
      </c>
      <c r="J13" s="1174">
        <f t="shared" si="5"/>
        <v>100</v>
      </c>
      <c r="K13" s="1174">
        <f t="shared" si="5"/>
        <v>100</v>
      </c>
      <c r="L13" s="1174">
        <f t="shared" si="5"/>
        <v>100</v>
      </c>
      <c r="M13" s="1175">
        <f t="shared" si="5"/>
        <v>100</v>
      </c>
      <c r="N13" s="1175">
        <f t="shared" ref="N13:S13" si="6">M13-$T$12</f>
        <v>100</v>
      </c>
      <c r="O13" s="1174">
        <f t="shared" si="6"/>
        <v>100</v>
      </c>
      <c r="P13" s="1174">
        <f t="shared" si="6"/>
        <v>100</v>
      </c>
      <c r="Q13" s="1174">
        <f t="shared" si="6"/>
        <v>100</v>
      </c>
      <c r="R13" s="1174">
        <f t="shared" si="6"/>
        <v>100</v>
      </c>
      <c r="S13" s="1204">
        <f t="shared" si="6"/>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7">C15-$T$14</f>
        <v>100</v>
      </c>
      <c r="E15" s="1160">
        <f t="shared" si="7"/>
        <v>100</v>
      </c>
      <c r="F15" s="1160">
        <f t="shared" si="7"/>
        <v>100</v>
      </c>
      <c r="G15" s="1160">
        <f t="shared" si="7"/>
        <v>100</v>
      </c>
      <c r="H15" s="1160">
        <f t="shared" si="7"/>
        <v>100</v>
      </c>
      <c r="I15" s="1160">
        <f t="shared" si="7"/>
        <v>100</v>
      </c>
      <c r="J15" s="1160">
        <f t="shared" si="7"/>
        <v>100</v>
      </c>
      <c r="K15" s="1160">
        <f t="shared" si="7"/>
        <v>100</v>
      </c>
      <c r="L15" s="1160">
        <f t="shared" si="7"/>
        <v>100</v>
      </c>
      <c r="M15" s="1161">
        <f t="shared" si="7"/>
        <v>100</v>
      </c>
      <c r="N15" s="1161">
        <f t="shared" ref="N15:S15" si="8">M15-$T$14</f>
        <v>100</v>
      </c>
      <c r="O15" s="1160">
        <f t="shared" si="8"/>
        <v>100</v>
      </c>
      <c r="P15" s="1160">
        <f t="shared" si="8"/>
        <v>100</v>
      </c>
      <c r="Q15" s="1160">
        <f t="shared" si="8"/>
        <v>100</v>
      </c>
      <c r="R15" s="1160">
        <f t="shared" si="8"/>
        <v>100</v>
      </c>
      <c r="S15" s="1202">
        <f t="shared" si="8"/>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1253</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36" t="s">
        <v>45</v>
      </c>
      <c r="D25" s="3037"/>
      <c r="E25" s="3037"/>
      <c r="F25" s="3037"/>
      <c r="G25" s="3037"/>
      <c r="H25" s="3037"/>
      <c r="I25" s="3037"/>
      <c r="J25" s="3037"/>
      <c r="K25" s="3037"/>
      <c r="L25" s="3037"/>
      <c r="M25" s="3037"/>
      <c r="N25" s="3037"/>
      <c r="O25" s="3037"/>
      <c r="P25" s="3037"/>
      <c r="Q25" s="303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c r="Q28" s="14">
        <f t="shared" ref="Q28:Q91" si="16">(SUMIF($20:$20,P28,$21:$21)-SUMIF($20:$20,$P$27,$21:$21)+100)/100</f>
        <v>1</v>
      </c>
      <c r="R28" s="703">
        <f>IF(B28="",0,ROUND($R$27*C28*E28*G28*I28*K28*M28*O28*Q28,0))</f>
        <v>0</v>
      </c>
      <c r="S28" s="334">
        <f>ROUND(R28*B28,0)</f>
        <v>0</v>
      </c>
      <c r="T28" s="1182">
        <f>ROUND(R28*B28/10000,0)</f>
        <v>0</v>
      </c>
      <c r="U28" s="1314">
        <f t="shared" ref="U28:U91" si="17">ROUND(W28*B28,0)</f>
        <v>0</v>
      </c>
      <c r="V28" s="1314">
        <f t="shared" ref="V28:V91" si="18">ROUND(W28*B28/10000,0)</f>
        <v>0</v>
      </c>
      <c r="W28" s="1311"/>
      <c r="X28" s="1314">
        <f t="shared" ref="X28:X91" si="19">ROUND(Z28*B28,0)</f>
        <v>0</v>
      </c>
      <c r="Y28" s="1314">
        <f t="shared" ref="Y28:Y91" si="20">ROUND(Z28*B28/10000,0)</f>
        <v>0</v>
      </c>
      <c r="Z28" s="1311"/>
    </row>
    <row r="29" spans="1:45">
      <c r="A29" s="75"/>
      <c r="B29" s="24"/>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c r="Q29" s="14">
        <f t="shared" si="16"/>
        <v>1</v>
      </c>
      <c r="R29" s="703">
        <f t="shared" ref="R29:R92" si="21">IF(B29="",0,ROUND($R$27*C29*E29*G29*I29*K29*M29*O29*Q29,0))</f>
        <v>0</v>
      </c>
      <c r="S29" s="334">
        <f t="shared" ref="S29:S92" si="22">ROUND(R29*B29,0)</f>
        <v>0</v>
      </c>
      <c r="T29" s="1182">
        <f t="shared" ref="T29:T92" si="23">ROUND(R29*B29/10000,0)</f>
        <v>0</v>
      </c>
      <c r="U29" s="1314">
        <f t="shared" si="17"/>
        <v>0</v>
      </c>
      <c r="V29" s="1314">
        <f t="shared" si="18"/>
        <v>0</v>
      </c>
      <c r="W29" s="1311"/>
      <c r="X29" s="1314">
        <f t="shared" si="19"/>
        <v>0</v>
      </c>
      <c r="Y29" s="1314">
        <f t="shared" si="20"/>
        <v>0</v>
      </c>
      <c r="Z29" s="1311"/>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1</v>
      </c>
      <c r="R30" s="703">
        <f t="shared" si="21"/>
        <v>0</v>
      </c>
      <c r="S30" s="334">
        <f t="shared" si="22"/>
        <v>0</v>
      </c>
      <c r="T30" s="1182">
        <f t="shared" si="23"/>
        <v>0</v>
      </c>
      <c r="U30" s="1314">
        <f t="shared" si="17"/>
        <v>0</v>
      </c>
      <c r="V30" s="1314">
        <f t="shared" si="18"/>
        <v>0</v>
      </c>
      <c r="W30" s="1311"/>
      <c r="X30" s="1314">
        <f t="shared" si="19"/>
        <v>0</v>
      </c>
      <c r="Y30" s="1314">
        <f t="shared" si="20"/>
        <v>0</v>
      </c>
      <c r="Z30" s="1311"/>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1</v>
      </c>
      <c r="R31" s="703">
        <f t="shared" si="21"/>
        <v>0</v>
      </c>
      <c r="S31" s="334">
        <f t="shared" si="22"/>
        <v>0</v>
      </c>
      <c r="T31" s="1182">
        <f t="shared" si="23"/>
        <v>0</v>
      </c>
      <c r="U31" s="1314">
        <f t="shared" si="17"/>
        <v>0</v>
      </c>
      <c r="V31" s="1314">
        <f t="shared" si="18"/>
        <v>0</v>
      </c>
      <c r="W31" s="1311"/>
      <c r="X31" s="1314">
        <f t="shared" si="19"/>
        <v>0</v>
      </c>
      <c r="Y31" s="1314">
        <f t="shared" si="20"/>
        <v>0</v>
      </c>
      <c r="Z31" s="1311"/>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1</v>
      </c>
      <c r="R32" s="703">
        <f t="shared" si="21"/>
        <v>0</v>
      </c>
      <c r="S32" s="334">
        <f t="shared" si="22"/>
        <v>0</v>
      </c>
      <c r="T32" s="1182">
        <f t="shared" si="23"/>
        <v>0</v>
      </c>
      <c r="U32" s="1314">
        <f t="shared" si="17"/>
        <v>0</v>
      </c>
      <c r="V32" s="1314">
        <f t="shared" si="18"/>
        <v>0</v>
      </c>
      <c r="W32" s="1311"/>
      <c r="X32" s="1314">
        <f t="shared" si="19"/>
        <v>0</v>
      </c>
      <c r="Y32" s="1314">
        <f t="shared" si="20"/>
        <v>0</v>
      </c>
      <c r="Z32" s="1311"/>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1</v>
      </c>
      <c r="R33" s="703">
        <f t="shared" si="21"/>
        <v>0</v>
      </c>
      <c r="S33" s="334">
        <f t="shared" si="22"/>
        <v>0</v>
      </c>
      <c r="T33" s="1182">
        <f t="shared" si="23"/>
        <v>0</v>
      </c>
      <c r="U33" s="1314">
        <f t="shared" si="17"/>
        <v>0</v>
      </c>
      <c r="V33" s="1314">
        <f t="shared" si="18"/>
        <v>0</v>
      </c>
      <c r="W33" s="1311"/>
      <c r="X33" s="1314">
        <f t="shared" si="19"/>
        <v>0</v>
      </c>
      <c r="Y33" s="1314">
        <f t="shared" si="20"/>
        <v>0</v>
      </c>
      <c r="Z33" s="1311"/>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1</v>
      </c>
      <c r="R34" s="703">
        <f t="shared" si="21"/>
        <v>0</v>
      </c>
      <c r="S34" s="334">
        <f t="shared" si="22"/>
        <v>0</v>
      </c>
      <c r="T34" s="1182">
        <f t="shared" si="23"/>
        <v>0</v>
      </c>
      <c r="U34" s="1314">
        <f t="shared" si="17"/>
        <v>0</v>
      </c>
      <c r="V34" s="1314">
        <f t="shared" si="18"/>
        <v>0</v>
      </c>
      <c r="W34" s="1311"/>
      <c r="X34" s="1314">
        <f t="shared" si="19"/>
        <v>0</v>
      </c>
      <c r="Y34" s="1314">
        <f t="shared" si="20"/>
        <v>0</v>
      </c>
      <c r="Z34" s="1311"/>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1</v>
      </c>
      <c r="R35" s="703">
        <f t="shared" si="21"/>
        <v>0</v>
      </c>
      <c r="S35" s="334">
        <f t="shared" si="22"/>
        <v>0</v>
      </c>
      <c r="T35" s="1182">
        <f t="shared" si="23"/>
        <v>0</v>
      </c>
      <c r="U35" s="1314">
        <f t="shared" si="17"/>
        <v>0</v>
      </c>
      <c r="V35" s="1314">
        <f t="shared" si="18"/>
        <v>0</v>
      </c>
      <c r="W35" s="1311"/>
      <c r="X35" s="1314">
        <f t="shared" si="19"/>
        <v>0</v>
      </c>
      <c r="Y35" s="1314">
        <f t="shared" si="20"/>
        <v>0</v>
      </c>
      <c r="Z35" s="1311"/>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1</v>
      </c>
      <c r="R36" s="703">
        <f t="shared" si="21"/>
        <v>0</v>
      </c>
      <c r="S36" s="334">
        <f t="shared" si="22"/>
        <v>0</v>
      </c>
      <c r="T36" s="1182">
        <f t="shared" si="23"/>
        <v>0</v>
      </c>
      <c r="U36" s="1314">
        <f t="shared" si="17"/>
        <v>0</v>
      </c>
      <c r="V36" s="1314">
        <f t="shared" si="18"/>
        <v>0</v>
      </c>
      <c r="W36" s="1311"/>
      <c r="X36" s="1314">
        <f t="shared" si="19"/>
        <v>0</v>
      </c>
      <c r="Y36" s="1314">
        <f t="shared" si="20"/>
        <v>0</v>
      </c>
      <c r="Z36" s="1311"/>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1</v>
      </c>
      <c r="R37" s="703">
        <f t="shared" si="21"/>
        <v>0</v>
      </c>
      <c r="S37" s="334">
        <f t="shared" si="22"/>
        <v>0</v>
      </c>
      <c r="T37" s="1182">
        <f t="shared" si="23"/>
        <v>0</v>
      </c>
      <c r="U37" s="1314">
        <f t="shared" si="17"/>
        <v>0</v>
      </c>
      <c r="V37" s="1314">
        <f t="shared" si="18"/>
        <v>0</v>
      </c>
      <c r="W37" s="1311"/>
      <c r="X37" s="1314">
        <f t="shared" si="19"/>
        <v>0</v>
      </c>
      <c r="Y37" s="1314">
        <f t="shared" si="20"/>
        <v>0</v>
      </c>
      <c r="Z37" s="1311"/>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1</v>
      </c>
      <c r="R38" s="703">
        <f t="shared" si="21"/>
        <v>0</v>
      </c>
      <c r="S38" s="334">
        <f t="shared" si="22"/>
        <v>0</v>
      </c>
      <c r="T38" s="1182">
        <f t="shared" si="23"/>
        <v>0</v>
      </c>
      <c r="U38" s="1314">
        <f t="shared" si="17"/>
        <v>0</v>
      </c>
      <c r="V38" s="1314">
        <f t="shared" si="18"/>
        <v>0</v>
      </c>
      <c r="W38" s="1311"/>
      <c r="X38" s="1314">
        <f t="shared" si="19"/>
        <v>0</v>
      </c>
      <c r="Y38" s="1314">
        <f t="shared" si="20"/>
        <v>0</v>
      </c>
      <c r="Z38" s="1311"/>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1</v>
      </c>
      <c r="R39" s="703">
        <f t="shared" si="21"/>
        <v>0</v>
      </c>
      <c r="S39" s="334">
        <f t="shared" si="22"/>
        <v>0</v>
      </c>
      <c r="T39" s="1182">
        <f t="shared" si="23"/>
        <v>0</v>
      </c>
      <c r="U39" s="1314">
        <f t="shared" si="17"/>
        <v>0</v>
      </c>
      <c r="V39" s="1314">
        <f t="shared" si="18"/>
        <v>0</v>
      </c>
      <c r="W39" s="1311"/>
      <c r="X39" s="1314">
        <f t="shared" si="19"/>
        <v>0</v>
      </c>
      <c r="Y39" s="1314">
        <f t="shared" si="20"/>
        <v>0</v>
      </c>
      <c r="Z39" s="1311"/>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1</v>
      </c>
      <c r="R40" s="703">
        <f t="shared" si="21"/>
        <v>0</v>
      </c>
      <c r="S40" s="334">
        <f t="shared" si="22"/>
        <v>0</v>
      </c>
      <c r="T40" s="1182">
        <f t="shared" si="23"/>
        <v>0</v>
      </c>
      <c r="U40" s="1314">
        <f t="shared" si="17"/>
        <v>0</v>
      </c>
      <c r="V40" s="1314">
        <f t="shared" si="18"/>
        <v>0</v>
      </c>
      <c r="W40" s="1311"/>
      <c r="X40" s="1314">
        <f t="shared" si="19"/>
        <v>0</v>
      </c>
      <c r="Y40" s="1314">
        <f t="shared" si="20"/>
        <v>0</v>
      </c>
      <c r="Z40" s="1311"/>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1</v>
      </c>
      <c r="R41" s="703">
        <f t="shared" si="21"/>
        <v>0</v>
      </c>
      <c r="S41" s="334">
        <f t="shared" si="22"/>
        <v>0</v>
      </c>
      <c r="T41" s="1182">
        <f t="shared" si="23"/>
        <v>0</v>
      </c>
      <c r="U41" s="1314">
        <f t="shared" si="17"/>
        <v>0</v>
      </c>
      <c r="V41" s="1314">
        <f t="shared" si="18"/>
        <v>0</v>
      </c>
      <c r="W41" s="1311"/>
      <c r="X41" s="1314">
        <f t="shared" si="19"/>
        <v>0</v>
      </c>
      <c r="Y41" s="1314">
        <f t="shared" si="20"/>
        <v>0</v>
      </c>
      <c r="Z41" s="1311"/>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1</v>
      </c>
      <c r="R42" s="703">
        <f t="shared" si="21"/>
        <v>0</v>
      </c>
      <c r="S42" s="334">
        <f t="shared" si="22"/>
        <v>0</v>
      </c>
      <c r="T42" s="1182">
        <f t="shared" si="23"/>
        <v>0</v>
      </c>
      <c r="U42" s="1314">
        <f t="shared" si="17"/>
        <v>0</v>
      </c>
      <c r="V42" s="1314">
        <f t="shared" si="18"/>
        <v>0</v>
      </c>
      <c r="W42" s="1311"/>
      <c r="X42" s="1314">
        <f t="shared" si="19"/>
        <v>0</v>
      </c>
      <c r="Y42" s="1314">
        <f t="shared" si="20"/>
        <v>0</v>
      </c>
      <c r="Z42" s="1311"/>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1</v>
      </c>
      <c r="R43" s="703">
        <f t="shared" si="21"/>
        <v>0</v>
      </c>
      <c r="S43" s="334">
        <f t="shared" si="22"/>
        <v>0</v>
      </c>
      <c r="T43" s="1182">
        <f t="shared" si="23"/>
        <v>0</v>
      </c>
      <c r="U43" s="1314">
        <f t="shared" si="17"/>
        <v>0</v>
      </c>
      <c r="V43" s="1314">
        <f t="shared" si="18"/>
        <v>0</v>
      </c>
      <c r="W43" s="1311"/>
      <c r="X43" s="1314">
        <f t="shared" si="19"/>
        <v>0</v>
      </c>
      <c r="Y43" s="1314">
        <f t="shared" si="20"/>
        <v>0</v>
      </c>
      <c r="Z43" s="1311"/>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1</v>
      </c>
      <c r="R44" s="703">
        <f t="shared" si="21"/>
        <v>0</v>
      </c>
      <c r="S44" s="334">
        <f t="shared" si="22"/>
        <v>0</v>
      </c>
      <c r="T44" s="1182">
        <f t="shared" si="23"/>
        <v>0</v>
      </c>
      <c r="U44" s="1314">
        <f t="shared" si="17"/>
        <v>0</v>
      </c>
      <c r="V44" s="1314">
        <f t="shared" si="18"/>
        <v>0</v>
      </c>
      <c r="W44" s="1311"/>
      <c r="X44" s="1314">
        <f t="shared" si="19"/>
        <v>0</v>
      </c>
      <c r="Y44" s="1314">
        <f t="shared" si="20"/>
        <v>0</v>
      </c>
      <c r="Z44" s="1311"/>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1</v>
      </c>
      <c r="R45" s="703">
        <f t="shared" si="21"/>
        <v>0</v>
      </c>
      <c r="S45" s="334">
        <f t="shared" si="22"/>
        <v>0</v>
      </c>
      <c r="T45" s="1182">
        <f t="shared" si="23"/>
        <v>0</v>
      </c>
      <c r="U45" s="1314">
        <f t="shared" si="17"/>
        <v>0</v>
      </c>
      <c r="V45" s="1314">
        <f t="shared" si="18"/>
        <v>0</v>
      </c>
      <c r="W45" s="1311"/>
      <c r="X45" s="1314">
        <f t="shared" si="19"/>
        <v>0</v>
      </c>
      <c r="Y45" s="1314">
        <f t="shared" si="20"/>
        <v>0</v>
      </c>
      <c r="Z45" s="1311"/>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1</v>
      </c>
      <c r="R46" s="703">
        <f t="shared" si="21"/>
        <v>0</v>
      </c>
      <c r="S46" s="334">
        <f t="shared" si="22"/>
        <v>0</v>
      </c>
      <c r="T46" s="1182">
        <f t="shared" si="23"/>
        <v>0</v>
      </c>
      <c r="U46" s="1314">
        <f t="shared" si="17"/>
        <v>0</v>
      </c>
      <c r="V46" s="1314">
        <f t="shared" si="18"/>
        <v>0</v>
      </c>
      <c r="W46" s="1311"/>
      <c r="X46" s="1314">
        <f t="shared" si="19"/>
        <v>0</v>
      </c>
      <c r="Y46" s="1314">
        <f t="shared" si="20"/>
        <v>0</v>
      </c>
      <c r="Z46" s="1311"/>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1</v>
      </c>
      <c r="R47" s="703">
        <f t="shared" si="21"/>
        <v>0</v>
      </c>
      <c r="S47" s="334">
        <f t="shared" si="22"/>
        <v>0</v>
      </c>
      <c r="T47" s="1182">
        <f t="shared" si="23"/>
        <v>0</v>
      </c>
      <c r="U47" s="1314">
        <f t="shared" si="17"/>
        <v>0</v>
      </c>
      <c r="V47" s="1314">
        <f t="shared" si="18"/>
        <v>0</v>
      </c>
      <c r="W47" s="1311"/>
      <c r="X47" s="1314">
        <f t="shared" si="19"/>
        <v>0</v>
      </c>
      <c r="Y47" s="1314">
        <f t="shared" si="20"/>
        <v>0</v>
      </c>
      <c r="Z47" s="1311"/>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1</v>
      </c>
      <c r="R48" s="703">
        <f t="shared" si="21"/>
        <v>0</v>
      </c>
      <c r="S48" s="334">
        <f t="shared" si="22"/>
        <v>0</v>
      </c>
      <c r="T48" s="1182">
        <f t="shared" si="23"/>
        <v>0</v>
      </c>
      <c r="U48" s="1314">
        <f t="shared" si="17"/>
        <v>0</v>
      </c>
      <c r="V48" s="1314">
        <f t="shared" si="18"/>
        <v>0</v>
      </c>
      <c r="W48" s="1311"/>
      <c r="X48" s="1314">
        <f t="shared" si="19"/>
        <v>0</v>
      </c>
      <c r="Y48" s="1314">
        <f t="shared" si="20"/>
        <v>0</v>
      </c>
      <c r="Z48" s="1311"/>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1</v>
      </c>
      <c r="R49" s="703">
        <f t="shared" si="21"/>
        <v>0</v>
      </c>
      <c r="S49" s="334">
        <f t="shared" si="22"/>
        <v>0</v>
      </c>
      <c r="T49" s="1182">
        <f t="shared" si="23"/>
        <v>0</v>
      </c>
      <c r="U49" s="1314">
        <f t="shared" si="17"/>
        <v>0</v>
      </c>
      <c r="V49" s="1314">
        <f t="shared" si="18"/>
        <v>0</v>
      </c>
      <c r="W49" s="1311"/>
      <c r="X49" s="1314">
        <f t="shared" si="19"/>
        <v>0</v>
      </c>
      <c r="Y49" s="1314">
        <f t="shared" si="20"/>
        <v>0</v>
      </c>
      <c r="Z49" s="1311"/>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1</v>
      </c>
      <c r="R50" s="703">
        <f t="shared" si="21"/>
        <v>0</v>
      </c>
      <c r="S50" s="334">
        <f t="shared" si="22"/>
        <v>0</v>
      </c>
      <c r="T50" s="1182">
        <f t="shared" si="23"/>
        <v>0</v>
      </c>
      <c r="U50" s="1314">
        <f t="shared" si="17"/>
        <v>0</v>
      </c>
      <c r="V50" s="1314">
        <f t="shared" si="18"/>
        <v>0</v>
      </c>
      <c r="W50" s="1311"/>
      <c r="X50" s="1314">
        <f t="shared" si="19"/>
        <v>0</v>
      </c>
      <c r="Y50" s="1314">
        <f t="shared" si="20"/>
        <v>0</v>
      </c>
      <c r="Z50" s="1311"/>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1</v>
      </c>
      <c r="R51" s="703">
        <f t="shared" si="21"/>
        <v>0</v>
      </c>
      <c r="S51" s="334">
        <f t="shared" si="22"/>
        <v>0</v>
      </c>
      <c r="T51" s="1182">
        <f t="shared" si="23"/>
        <v>0</v>
      </c>
      <c r="U51" s="1314">
        <f t="shared" si="17"/>
        <v>0</v>
      </c>
      <c r="V51" s="1314">
        <f t="shared" si="18"/>
        <v>0</v>
      </c>
      <c r="W51" s="1311"/>
      <c r="X51" s="1314">
        <f t="shared" si="19"/>
        <v>0</v>
      </c>
      <c r="Y51" s="1314">
        <f t="shared" si="20"/>
        <v>0</v>
      </c>
      <c r="Z51" s="1311"/>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1</v>
      </c>
      <c r="R52" s="703">
        <f t="shared" si="21"/>
        <v>0</v>
      </c>
      <c r="S52" s="334">
        <f t="shared" si="22"/>
        <v>0</v>
      </c>
      <c r="T52" s="1182">
        <f t="shared" si="23"/>
        <v>0</v>
      </c>
      <c r="U52" s="1314">
        <f t="shared" si="17"/>
        <v>0</v>
      </c>
      <c r="V52" s="1314">
        <f t="shared" si="18"/>
        <v>0</v>
      </c>
      <c r="W52" s="1311"/>
      <c r="X52" s="1314">
        <f t="shared" si="19"/>
        <v>0</v>
      </c>
      <c r="Y52" s="1314">
        <f t="shared" si="20"/>
        <v>0</v>
      </c>
      <c r="Z52" s="1311"/>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1</v>
      </c>
      <c r="R53" s="703">
        <f t="shared" si="21"/>
        <v>0</v>
      </c>
      <c r="S53" s="334">
        <f t="shared" si="22"/>
        <v>0</v>
      </c>
      <c r="T53" s="1182">
        <f t="shared" si="23"/>
        <v>0</v>
      </c>
      <c r="U53" s="1314">
        <f t="shared" si="17"/>
        <v>0</v>
      </c>
      <c r="V53" s="1314">
        <f t="shared" si="18"/>
        <v>0</v>
      </c>
      <c r="W53" s="1311"/>
      <c r="X53" s="1314">
        <f t="shared" si="19"/>
        <v>0</v>
      </c>
      <c r="Y53" s="1314">
        <f t="shared" si="20"/>
        <v>0</v>
      </c>
      <c r="Z53" s="1311"/>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1</v>
      </c>
      <c r="R54" s="703">
        <f t="shared" si="21"/>
        <v>0</v>
      </c>
      <c r="S54" s="334">
        <f t="shared" si="22"/>
        <v>0</v>
      </c>
      <c r="T54" s="1182">
        <f t="shared" si="23"/>
        <v>0</v>
      </c>
      <c r="U54" s="1314">
        <f t="shared" si="17"/>
        <v>0</v>
      </c>
      <c r="V54" s="1314">
        <f t="shared" si="18"/>
        <v>0</v>
      </c>
      <c r="W54" s="1311"/>
      <c r="X54" s="1314">
        <f t="shared" si="19"/>
        <v>0</v>
      </c>
      <c r="Y54" s="1314">
        <f t="shared" si="20"/>
        <v>0</v>
      </c>
      <c r="Z54" s="1311"/>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1</v>
      </c>
      <c r="R55" s="703">
        <f t="shared" si="21"/>
        <v>0</v>
      </c>
      <c r="S55" s="334">
        <f t="shared" si="22"/>
        <v>0</v>
      </c>
      <c r="T55" s="1182">
        <f t="shared" si="23"/>
        <v>0</v>
      </c>
      <c r="U55" s="1314">
        <f t="shared" si="17"/>
        <v>0</v>
      </c>
      <c r="V55" s="1314">
        <f t="shared" si="18"/>
        <v>0</v>
      </c>
      <c r="W55" s="1311"/>
      <c r="X55" s="1314">
        <f t="shared" si="19"/>
        <v>0</v>
      </c>
      <c r="Y55" s="1314">
        <f t="shared" si="20"/>
        <v>0</v>
      </c>
      <c r="Z55" s="1311"/>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1</v>
      </c>
      <c r="R56" s="703">
        <f t="shared" si="21"/>
        <v>0</v>
      </c>
      <c r="S56" s="334">
        <f t="shared" si="22"/>
        <v>0</v>
      </c>
      <c r="T56" s="1182">
        <f t="shared" si="23"/>
        <v>0</v>
      </c>
      <c r="U56" s="1314">
        <f t="shared" si="17"/>
        <v>0</v>
      </c>
      <c r="V56" s="1314">
        <f t="shared" si="18"/>
        <v>0</v>
      </c>
      <c r="W56" s="1311"/>
      <c r="X56" s="1314">
        <f t="shared" si="19"/>
        <v>0</v>
      </c>
      <c r="Y56" s="1314">
        <f t="shared" si="20"/>
        <v>0</v>
      </c>
      <c r="Z56" s="1311"/>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1</v>
      </c>
      <c r="R57" s="703">
        <f t="shared" si="21"/>
        <v>0</v>
      </c>
      <c r="S57" s="334">
        <f t="shared" si="22"/>
        <v>0</v>
      </c>
      <c r="T57" s="1182">
        <f t="shared" si="23"/>
        <v>0</v>
      </c>
      <c r="U57" s="1314">
        <f t="shared" si="17"/>
        <v>0</v>
      </c>
      <c r="V57" s="1314">
        <f t="shared" si="18"/>
        <v>0</v>
      </c>
      <c r="W57" s="1311"/>
      <c r="X57" s="1314">
        <f t="shared" si="19"/>
        <v>0</v>
      </c>
      <c r="Y57" s="1314">
        <f t="shared" si="20"/>
        <v>0</v>
      </c>
      <c r="Z57" s="1311"/>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1</v>
      </c>
      <c r="R58" s="703">
        <f t="shared" si="21"/>
        <v>0</v>
      </c>
      <c r="S58" s="334">
        <f t="shared" si="22"/>
        <v>0</v>
      </c>
      <c r="T58" s="1182">
        <f t="shared" si="23"/>
        <v>0</v>
      </c>
      <c r="U58" s="1314">
        <f t="shared" si="17"/>
        <v>0</v>
      </c>
      <c r="V58" s="1314">
        <f t="shared" si="18"/>
        <v>0</v>
      </c>
      <c r="W58" s="1311"/>
      <c r="X58" s="1314">
        <f t="shared" si="19"/>
        <v>0</v>
      </c>
      <c r="Y58" s="1314">
        <f t="shared" si="20"/>
        <v>0</v>
      </c>
      <c r="Z58" s="1311"/>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1</v>
      </c>
      <c r="R59" s="703">
        <f t="shared" si="21"/>
        <v>0</v>
      </c>
      <c r="S59" s="334">
        <f t="shared" si="22"/>
        <v>0</v>
      </c>
      <c r="T59" s="1182">
        <f t="shared" si="23"/>
        <v>0</v>
      </c>
      <c r="U59" s="1314">
        <f t="shared" si="17"/>
        <v>0</v>
      </c>
      <c r="V59" s="1314">
        <f t="shared" si="18"/>
        <v>0</v>
      </c>
      <c r="W59" s="1311"/>
      <c r="X59" s="1314">
        <f t="shared" si="19"/>
        <v>0</v>
      </c>
      <c r="Y59" s="1314">
        <f t="shared" si="20"/>
        <v>0</v>
      </c>
      <c r="Z59" s="1311"/>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1</v>
      </c>
      <c r="R60" s="703">
        <f t="shared" si="21"/>
        <v>0</v>
      </c>
      <c r="S60" s="334">
        <f t="shared" si="22"/>
        <v>0</v>
      </c>
      <c r="T60" s="1182">
        <f t="shared" si="23"/>
        <v>0</v>
      </c>
      <c r="U60" s="1314">
        <f t="shared" si="17"/>
        <v>0</v>
      </c>
      <c r="V60" s="1314">
        <f t="shared" si="18"/>
        <v>0</v>
      </c>
      <c r="W60" s="1311"/>
      <c r="X60" s="1314">
        <f t="shared" si="19"/>
        <v>0</v>
      </c>
      <c r="Y60" s="1314">
        <f t="shared" si="20"/>
        <v>0</v>
      </c>
      <c r="Z60" s="1311"/>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1</v>
      </c>
      <c r="R61" s="703">
        <f t="shared" si="21"/>
        <v>0</v>
      </c>
      <c r="S61" s="334">
        <f t="shared" si="22"/>
        <v>0</v>
      </c>
      <c r="T61" s="1182">
        <f t="shared" si="23"/>
        <v>0</v>
      </c>
      <c r="U61" s="1314">
        <f t="shared" si="17"/>
        <v>0</v>
      </c>
      <c r="V61" s="1314">
        <f t="shared" si="18"/>
        <v>0</v>
      </c>
      <c r="W61" s="1311"/>
      <c r="X61" s="1314">
        <f t="shared" si="19"/>
        <v>0</v>
      </c>
      <c r="Y61" s="1314">
        <f t="shared" si="20"/>
        <v>0</v>
      </c>
      <c r="Z61" s="1311"/>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1</v>
      </c>
      <c r="R62" s="703">
        <f t="shared" si="21"/>
        <v>0</v>
      </c>
      <c r="S62" s="334">
        <f t="shared" si="22"/>
        <v>0</v>
      </c>
      <c r="T62" s="1182">
        <f t="shared" si="23"/>
        <v>0</v>
      </c>
      <c r="U62" s="1314">
        <f t="shared" si="17"/>
        <v>0</v>
      </c>
      <c r="V62" s="1314">
        <f t="shared" si="18"/>
        <v>0</v>
      </c>
      <c r="W62" s="1311"/>
      <c r="X62" s="1314">
        <f t="shared" si="19"/>
        <v>0</v>
      </c>
      <c r="Y62" s="1314">
        <f t="shared" si="20"/>
        <v>0</v>
      </c>
      <c r="Z62" s="1311"/>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1</v>
      </c>
      <c r="R63" s="703">
        <f t="shared" si="21"/>
        <v>0</v>
      </c>
      <c r="S63" s="334">
        <f t="shared" si="22"/>
        <v>0</v>
      </c>
      <c r="T63" s="1182">
        <f t="shared" si="23"/>
        <v>0</v>
      </c>
      <c r="U63" s="1314">
        <f t="shared" si="17"/>
        <v>0</v>
      </c>
      <c r="V63" s="1314">
        <f t="shared" si="18"/>
        <v>0</v>
      </c>
      <c r="W63" s="1311"/>
      <c r="X63" s="1314">
        <f t="shared" si="19"/>
        <v>0</v>
      </c>
      <c r="Y63" s="1314">
        <f t="shared" si="20"/>
        <v>0</v>
      </c>
      <c r="Z63" s="1311"/>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1</v>
      </c>
      <c r="R64" s="703">
        <f t="shared" si="21"/>
        <v>0</v>
      </c>
      <c r="S64" s="334">
        <f t="shared" si="22"/>
        <v>0</v>
      </c>
      <c r="T64" s="1182">
        <f t="shared" si="23"/>
        <v>0</v>
      </c>
      <c r="U64" s="1314">
        <f t="shared" si="17"/>
        <v>0</v>
      </c>
      <c r="V64" s="1314">
        <f t="shared" si="18"/>
        <v>0</v>
      </c>
      <c r="W64" s="1311"/>
      <c r="X64" s="1314">
        <f t="shared" si="19"/>
        <v>0</v>
      </c>
      <c r="Y64" s="1314">
        <f t="shared" si="20"/>
        <v>0</v>
      </c>
      <c r="Z64" s="1311"/>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1</v>
      </c>
      <c r="R65" s="703">
        <f t="shared" si="21"/>
        <v>0</v>
      </c>
      <c r="S65" s="334">
        <f t="shared" si="22"/>
        <v>0</v>
      </c>
      <c r="T65" s="1182">
        <f t="shared" si="23"/>
        <v>0</v>
      </c>
      <c r="U65" s="1314">
        <f t="shared" si="17"/>
        <v>0</v>
      </c>
      <c r="V65" s="1314">
        <f t="shared" si="18"/>
        <v>0</v>
      </c>
      <c r="W65" s="1311"/>
      <c r="X65" s="1314">
        <f t="shared" si="19"/>
        <v>0</v>
      </c>
      <c r="Y65" s="1314">
        <f t="shared" si="20"/>
        <v>0</v>
      </c>
      <c r="Z65" s="1311"/>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1</v>
      </c>
      <c r="R66" s="703">
        <f t="shared" si="21"/>
        <v>0</v>
      </c>
      <c r="S66" s="334">
        <f t="shared" si="22"/>
        <v>0</v>
      </c>
      <c r="T66" s="1182">
        <f t="shared" si="23"/>
        <v>0</v>
      </c>
      <c r="U66" s="1314">
        <f t="shared" si="17"/>
        <v>0</v>
      </c>
      <c r="V66" s="1314">
        <f t="shared" si="18"/>
        <v>0</v>
      </c>
      <c r="W66" s="1311"/>
      <c r="X66" s="1314">
        <f t="shared" si="19"/>
        <v>0</v>
      </c>
      <c r="Y66" s="1314">
        <f t="shared" si="20"/>
        <v>0</v>
      </c>
      <c r="Z66" s="1311"/>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1</v>
      </c>
      <c r="R67" s="703">
        <f t="shared" si="21"/>
        <v>0</v>
      </c>
      <c r="S67" s="334">
        <f t="shared" si="22"/>
        <v>0</v>
      </c>
      <c r="T67" s="1182">
        <f t="shared" si="23"/>
        <v>0</v>
      </c>
      <c r="U67" s="1314">
        <f t="shared" si="17"/>
        <v>0</v>
      </c>
      <c r="V67" s="1314">
        <f t="shared" si="18"/>
        <v>0</v>
      </c>
      <c r="W67" s="1311"/>
      <c r="X67" s="1314">
        <f t="shared" si="19"/>
        <v>0</v>
      </c>
      <c r="Y67" s="1314">
        <f t="shared" si="20"/>
        <v>0</v>
      </c>
      <c r="Z67" s="1311"/>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1</v>
      </c>
      <c r="R68" s="703">
        <f t="shared" si="21"/>
        <v>0</v>
      </c>
      <c r="S68" s="334">
        <f t="shared" si="22"/>
        <v>0</v>
      </c>
      <c r="T68" s="1182">
        <f t="shared" si="23"/>
        <v>0</v>
      </c>
      <c r="U68" s="1314">
        <f t="shared" si="17"/>
        <v>0</v>
      </c>
      <c r="V68" s="1314">
        <f t="shared" si="18"/>
        <v>0</v>
      </c>
      <c r="W68" s="1311"/>
      <c r="X68" s="1314">
        <f t="shared" si="19"/>
        <v>0</v>
      </c>
      <c r="Y68" s="1314">
        <f t="shared" si="20"/>
        <v>0</v>
      </c>
      <c r="Z68" s="1311"/>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1</v>
      </c>
      <c r="R69" s="703">
        <f t="shared" si="21"/>
        <v>0</v>
      </c>
      <c r="S69" s="334">
        <f t="shared" si="22"/>
        <v>0</v>
      </c>
      <c r="T69" s="1182">
        <f t="shared" si="23"/>
        <v>0</v>
      </c>
      <c r="U69" s="1314">
        <f t="shared" si="17"/>
        <v>0</v>
      </c>
      <c r="V69" s="1314">
        <f t="shared" si="18"/>
        <v>0</v>
      </c>
      <c r="W69" s="1311"/>
      <c r="X69" s="1314">
        <f t="shared" si="19"/>
        <v>0</v>
      </c>
      <c r="Y69" s="1314">
        <f t="shared" si="20"/>
        <v>0</v>
      </c>
      <c r="Z69" s="1311"/>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1</v>
      </c>
      <c r="R70" s="703">
        <f t="shared" si="21"/>
        <v>0</v>
      </c>
      <c r="S70" s="334">
        <f t="shared" si="22"/>
        <v>0</v>
      </c>
      <c r="T70" s="1182">
        <f t="shared" si="23"/>
        <v>0</v>
      </c>
      <c r="U70" s="1314">
        <f t="shared" si="17"/>
        <v>0</v>
      </c>
      <c r="V70" s="1314">
        <f t="shared" si="18"/>
        <v>0</v>
      </c>
      <c r="W70" s="1311"/>
      <c r="X70" s="1314">
        <f t="shared" si="19"/>
        <v>0</v>
      </c>
      <c r="Y70" s="1314">
        <f t="shared" si="20"/>
        <v>0</v>
      </c>
      <c r="Z70" s="1311"/>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1</v>
      </c>
      <c r="R71" s="703">
        <f t="shared" si="21"/>
        <v>0</v>
      </c>
      <c r="S71" s="334">
        <f t="shared" si="22"/>
        <v>0</v>
      </c>
      <c r="T71" s="1182">
        <f t="shared" si="23"/>
        <v>0</v>
      </c>
      <c r="U71" s="1314">
        <f t="shared" si="17"/>
        <v>0</v>
      </c>
      <c r="V71" s="1314">
        <f t="shared" si="18"/>
        <v>0</v>
      </c>
      <c r="W71" s="1311"/>
      <c r="X71" s="1314">
        <f t="shared" si="19"/>
        <v>0</v>
      </c>
      <c r="Y71" s="1314">
        <f t="shared" si="20"/>
        <v>0</v>
      </c>
      <c r="Z71" s="1311"/>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1</v>
      </c>
      <c r="R72" s="703">
        <f t="shared" si="21"/>
        <v>0</v>
      </c>
      <c r="S72" s="334">
        <f t="shared" si="22"/>
        <v>0</v>
      </c>
      <c r="T72" s="1182">
        <f t="shared" si="23"/>
        <v>0</v>
      </c>
      <c r="U72" s="1314">
        <f t="shared" si="17"/>
        <v>0</v>
      </c>
      <c r="V72" s="1314">
        <f t="shared" si="18"/>
        <v>0</v>
      </c>
      <c r="W72" s="1311"/>
      <c r="X72" s="1314">
        <f t="shared" si="19"/>
        <v>0</v>
      </c>
      <c r="Y72" s="1314">
        <f t="shared" si="20"/>
        <v>0</v>
      </c>
      <c r="Z72" s="1311"/>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1</v>
      </c>
      <c r="R73" s="703">
        <f t="shared" si="21"/>
        <v>0</v>
      </c>
      <c r="S73" s="334">
        <f t="shared" si="22"/>
        <v>0</v>
      </c>
      <c r="T73" s="1182">
        <f t="shared" si="23"/>
        <v>0</v>
      </c>
      <c r="U73" s="1314">
        <f t="shared" si="17"/>
        <v>0</v>
      </c>
      <c r="V73" s="1314">
        <f t="shared" si="18"/>
        <v>0</v>
      </c>
      <c r="W73" s="1311"/>
      <c r="X73" s="1314">
        <f t="shared" si="19"/>
        <v>0</v>
      </c>
      <c r="Y73" s="1314">
        <f t="shared" si="20"/>
        <v>0</v>
      </c>
      <c r="Z73" s="1311"/>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1</v>
      </c>
      <c r="R74" s="703">
        <f t="shared" si="21"/>
        <v>0</v>
      </c>
      <c r="S74" s="334">
        <f t="shared" si="22"/>
        <v>0</v>
      </c>
      <c r="T74" s="1182">
        <f t="shared" si="23"/>
        <v>0</v>
      </c>
      <c r="U74" s="1314">
        <f t="shared" si="17"/>
        <v>0</v>
      </c>
      <c r="V74" s="1314">
        <f t="shared" si="18"/>
        <v>0</v>
      </c>
      <c r="W74" s="1311"/>
      <c r="X74" s="1314">
        <f t="shared" si="19"/>
        <v>0</v>
      </c>
      <c r="Y74" s="1314">
        <f t="shared" si="20"/>
        <v>0</v>
      </c>
      <c r="Z74" s="1311"/>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1</v>
      </c>
      <c r="R75" s="703">
        <f t="shared" si="21"/>
        <v>0</v>
      </c>
      <c r="S75" s="334">
        <f t="shared" si="22"/>
        <v>0</v>
      </c>
      <c r="T75" s="1182">
        <f t="shared" si="23"/>
        <v>0</v>
      </c>
      <c r="U75" s="1314">
        <f t="shared" si="17"/>
        <v>0</v>
      </c>
      <c r="V75" s="1314">
        <f t="shared" si="18"/>
        <v>0</v>
      </c>
      <c r="W75" s="1311"/>
      <c r="X75" s="1314">
        <f t="shared" si="19"/>
        <v>0</v>
      </c>
      <c r="Y75" s="1314">
        <f t="shared" si="20"/>
        <v>0</v>
      </c>
      <c r="Z75" s="1311"/>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1</v>
      </c>
      <c r="R76" s="703">
        <f t="shared" si="21"/>
        <v>0</v>
      </c>
      <c r="S76" s="334">
        <f t="shared" si="22"/>
        <v>0</v>
      </c>
      <c r="T76" s="1182">
        <f t="shared" si="23"/>
        <v>0</v>
      </c>
      <c r="U76" s="1314">
        <f t="shared" si="17"/>
        <v>0</v>
      </c>
      <c r="V76" s="1314">
        <f t="shared" si="18"/>
        <v>0</v>
      </c>
      <c r="W76" s="1311"/>
      <c r="X76" s="1314">
        <f t="shared" si="19"/>
        <v>0</v>
      </c>
      <c r="Y76" s="1314">
        <f t="shared" si="20"/>
        <v>0</v>
      </c>
      <c r="Z76" s="1311"/>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1</v>
      </c>
      <c r="R77" s="703">
        <f t="shared" si="21"/>
        <v>0</v>
      </c>
      <c r="S77" s="334">
        <f t="shared" si="22"/>
        <v>0</v>
      </c>
      <c r="T77" s="1182">
        <f t="shared" si="23"/>
        <v>0</v>
      </c>
      <c r="U77" s="1314">
        <f t="shared" si="17"/>
        <v>0</v>
      </c>
      <c r="V77" s="1314">
        <f t="shared" si="18"/>
        <v>0</v>
      </c>
      <c r="W77" s="1311"/>
      <c r="X77" s="1314">
        <f t="shared" si="19"/>
        <v>0</v>
      </c>
      <c r="Y77" s="1314">
        <f t="shared" si="20"/>
        <v>0</v>
      </c>
      <c r="Z77" s="1311"/>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1</v>
      </c>
      <c r="R78" s="703">
        <f t="shared" si="21"/>
        <v>0</v>
      </c>
      <c r="S78" s="334">
        <f t="shared" si="22"/>
        <v>0</v>
      </c>
      <c r="T78" s="1182">
        <f t="shared" si="23"/>
        <v>0</v>
      </c>
      <c r="U78" s="1314">
        <f t="shared" si="17"/>
        <v>0</v>
      </c>
      <c r="V78" s="1314">
        <f t="shared" si="18"/>
        <v>0</v>
      </c>
      <c r="W78" s="1311"/>
      <c r="X78" s="1314">
        <f t="shared" si="19"/>
        <v>0</v>
      </c>
      <c r="Y78" s="1314">
        <f t="shared" si="20"/>
        <v>0</v>
      </c>
      <c r="Z78" s="1311"/>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1</v>
      </c>
      <c r="R79" s="703">
        <f t="shared" si="21"/>
        <v>0</v>
      </c>
      <c r="S79" s="334">
        <f t="shared" si="22"/>
        <v>0</v>
      </c>
      <c r="T79" s="1182">
        <f t="shared" si="23"/>
        <v>0</v>
      </c>
      <c r="U79" s="1314">
        <f t="shared" si="17"/>
        <v>0</v>
      </c>
      <c r="V79" s="1314">
        <f t="shared" si="18"/>
        <v>0</v>
      </c>
      <c r="W79" s="1311"/>
      <c r="X79" s="1314">
        <f t="shared" si="19"/>
        <v>0</v>
      </c>
      <c r="Y79" s="1314">
        <f t="shared" si="20"/>
        <v>0</v>
      </c>
      <c r="Z79" s="1311"/>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1</v>
      </c>
      <c r="R80" s="703">
        <f t="shared" si="21"/>
        <v>0</v>
      </c>
      <c r="S80" s="334">
        <f t="shared" si="22"/>
        <v>0</v>
      </c>
      <c r="T80" s="1182">
        <f t="shared" si="23"/>
        <v>0</v>
      </c>
      <c r="U80" s="1314">
        <f t="shared" si="17"/>
        <v>0</v>
      </c>
      <c r="V80" s="1314">
        <f t="shared" si="18"/>
        <v>0</v>
      </c>
      <c r="W80" s="1311"/>
      <c r="X80" s="1314">
        <f t="shared" si="19"/>
        <v>0</v>
      </c>
      <c r="Y80" s="1314">
        <f t="shared" si="20"/>
        <v>0</v>
      </c>
      <c r="Z80" s="1311"/>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1</v>
      </c>
      <c r="R81" s="703">
        <f t="shared" si="21"/>
        <v>0</v>
      </c>
      <c r="S81" s="334">
        <f t="shared" si="22"/>
        <v>0</v>
      </c>
      <c r="T81" s="1182">
        <f t="shared" si="23"/>
        <v>0</v>
      </c>
      <c r="U81" s="1314">
        <f t="shared" si="17"/>
        <v>0</v>
      </c>
      <c r="V81" s="1314">
        <f t="shared" si="18"/>
        <v>0</v>
      </c>
      <c r="W81" s="1311"/>
      <c r="X81" s="1314">
        <f t="shared" si="19"/>
        <v>0</v>
      </c>
      <c r="Y81" s="1314">
        <f t="shared" si="20"/>
        <v>0</v>
      </c>
      <c r="Z81" s="1311"/>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1</v>
      </c>
      <c r="R82" s="703">
        <f t="shared" si="21"/>
        <v>0</v>
      </c>
      <c r="S82" s="334">
        <f t="shared" si="22"/>
        <v>0</v>
      </c>
      <c r="T82" s="1182">
        <f t="shared" si="23"/>
        <v>0</v>
      </c>
      <c r="U82" s="1314">
        <f t="shared" si="17"/>
        <v>0</v>
      </c>
      <c r="V82" s="1314">
        <f t="shared" si="18"/>
        <v>0</v>
      </c>
      <c r="W82" s="1311"/>
      <c r="X82" s="1314">
        <f t="shared" si="19"/>
        <v>0</v>
      </c>
      <c r="Y82" s="1314">
        <f t="shared" si="20"/>
        <v>0</v>
      </c>
      <c r="Z82" s="1311"/>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1</v>
      </c>
      <c r="R83" s="703">
        <f t="shared" si="21"/>
        <v>0</v>
      </c>
      <c r="S83" s="334">
        <f t="shared" si="22"/>
        <v>0</v>
      </c>
      <c r="T83" s="1182">
        <f t="shared" si="23"/>
        <v>0</v>
      </c>
      <c r="U83" s="1314">
        <f t="shared" si="17"/>
        <v>0</v>
      </c>
      <c r="V83" s="1314">
        <f t="shared" si="18"/>
        <v>0</v>
      </c>
      <c r="W83" s="1311"/>
      <c r="X83" s="1314">
        <f t="shared" si="19"/>
        <v>0</v>
      </c>
      <c r="Y83" s="1314">
        <f t="shared" si="20"/>
        <v>0</v>
      </c>
      <c r="Z83" s="1311"/>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1</v>
      </c>
      <c r="R84" s="703">
        <f t="shared" si="21"/>
        <v>0</v>
      </c>
      <c r="S84" s="334">
        <f t="shared" si="22"/>
        <v>0</v>
      </c>
      <c r="T84" s="1182">
        <f t="shared" si="23"/>
        <v>0</v>
      </c>
      <c r="U84" s="1314">
        <f t="shared" si="17"/>
        <v>0</v>
      </c>
      <c r="V84" s="1314">
        <f t="shared" si="18"/>
        <v>0</v>
      </c>
      <c r="W84" s="1311"/>
      <c r="X84" s="1314">
        <f t="shared" si="19"/>
        <v>0</v>
      </c>
      <c r="Y84" s="1314">
        <f t="shared" si="20"/>
        <v>0</v>
      </c>
      <c r="Z84" s="1311"/>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1</v>
      </c>
      <c r="R85" s="703">
        <f t="shared" si="21"/>
        <v>0</v>
      </c>
      <c r="S85" s="334">
        <f t="shared" si="22"/>
        <v>0</v>
      </c>
      <c r="T85" s="1182">
        <f t="shared" si="23"/>
        <v>0</v>
      </c>
      <c r="U85" s="1314">
        <f t="shared" si="17"/>
        <v>0</v>
      </c>
      <c r="V85" s="1314">
        <f t="shared" si="18"/>
        <v>0</v>
      </c>
      <c r="W85" s="1311"/>
      <c r="X85" s="1314">
        <f t="shared" si="19"/>
        <v>0</v>
      </c>
      <c r="Y85" s="1314">
        <f t="shared" si="20"/>
        <v>0</v>
      </c>
      <c r="Z85" s="1311"/>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1</v>
      </c>
      <c r="R86" s="703">
        <f t="shared" si="21"/>
        <v>0</v>
      </c>
      <c r="S86" s="334">
        <f t="shared" si="22"/>
        <v>0</v>
      </c>
      <c r="T86" s="1182">
        <f t="shared" si="23"/>
        <v>0</v>
      </c>
      <c r="U86" s="1314">
        <f t="shared" si="17"/>
        <v>0</v>
      </c>
      <c r="V86" s="1314">
        <f t="shared" si="18"/>
        <v>0</v>
      </c>
      <c r="W86" s="1311"/>
      <c r="X86" s="1314">
        <f t="shared" si="19"/>
        <v>0</v>
      </c>
      <c r="Y86" s="1314">
        <f t="shared" si="20"/>
        <v>0</v>
      </c>
      <c r="Z86" s="1311"/>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1</v>
      </c>
      <c r="R87" s="703">
        <f t="shared" si="21"/>
        <v>0</v>
      </c>
      <c r="S87" s="334">
        <f t="shared" si="22"/>
        <v>0</v>
      </c>
      <c r="T87" s="1182">
        <f t="shared" si="23"/>
        <v>0</v>
      </c>
      <c r="U87" s="1314">
        <f t="shared" si="17"/>
        <v>0</v>
      </c>
      <c r="V87" s="1314">
        <f t="shared" si="18"/>
        <v>0</v>
      </c>
      <c r="W87" s="1311"/>
      <c r="X87" s="1314">
        <f t="shared" si="19"/>
        <v>0</v>
      </c>
      <c r="Y87" s="1314">
        <f t="shared" si="20"/>
        <v>0</v>
      </c>
      <c r="Z87" s="1311"/>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1</v>
      </c>
      <c r="R88" s="703">
        <f t="shared" si="21"/>
        <v>0</v>
      </c>
      <c r="S88" s="334">
        <f t="shared" si="22"/>
        <v>0</v>
      </c>
      <c r="T88" s="1182">
        <f t="shared" si="23"/>
        <v>0</v>
      </c>
      <c r="U88" s="1314">
        <f t="shared" si="17"/>
        <v>0</v>
      </c>
      <c r="V88" s="1314">
        <f t="shared" si="18"/>
        <v>0</v>
      </c>
      <c r="W88" s="1311"/>
      <c r="X88" s="1314">
        <f t="shared" si="19"/>
        <v>0</v>
      </c>
      <c r="Y88" s="1314">
        <f t="shared" si="20"/>
        <v>0</v>
      </c>
      <c r="Z88" s="1311"/>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1</v>
      </c>
      <c r="R89" s="703">
        <f t="shared" si="21"/>
        <v>0</v>
      </c>
      <c r="S89" s="334">
        <f t="shared" si="22"/>
        <v>0</v>
      </c>
      <c r="T89" s="1182">
        <f t="shared" si="23"/>
        <v>0</v>
      </c>
      <c r="U89" s="1314">
        <f t="shared" si="17"/>
        <v>0</v>
      </c>
      <c r="V89" s="1314">
        <f t="shared" si="18"/>
        <v>0</v>
      </c>
      <c r="W89" s="1311"/>
      <c r="X89" s="1314">
        <f t="shared" si="19"/>
        <v>0</v>
      </c>
      <c r="Y89" s="1314">
        <f t="shared" si="20"/>
        <v>0</v>
      </c>
      <c r="Z89" s="1311"/>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1</v>
      </c>
      <c r="R90" s="703">
        <f t="shared" si="21"/>
        <v>0</v>
      </c>
      <c r="S90" s="334">
        <f t="shared" si="22"/>
        <v>0</v>
      </c>
      <c r="T90" s="1182">
        <f t="shared" si="23"/>
        <v>0</v>
      </c>
      <c r="U90" s="1314">
        <f t="shared" si="17"/>
        <v>0</v>
      </c>
      <c r="V90" s="1314">
        <f t="shared" si="18"/>
        <v>0</v>
      </c>
      <c r="W90" s="1311"/>
      <c r="X90" s="1314">
        <f t="shared" si="19"/>
        <v>0</v>
      </c>
      <c r="Y90" s="1314">
        <f t="shared" si="20"/>
        <v>0</v>
      </c>
      <c r="Z90" s="1311"/>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1</v>
      </c>
      <c r="R91" s="703">
        <f t="shared" si="21"/>
        <v>0</v>
      </c>
      <c r="S91" s="334">
        <f t="shared" si="22"/>
        <v>0</v>
      </c>
      <c r="T91" s="1182">
        <f t="shared" si="23"/>
        <v>0</v>
      </c>
      <c r="U91" s="1314">
        <f t="shared" si="17"/>
        <v>0</v>
      </c>
      <c r="V91" s="1314">
        <f t="shared" si="18"/>
        <v>0</v>
      </c>
      <c r="W91" s="1311"/>
      <c r="X91" s="1314">
        <f t="shared" si="19"/>
        <v>0</v>
      </c>
      <c r="Y91" s="1314">
        <f t="shared" si="20"/>
        <v>0</v>
      </c>
      <c r="Z91" s="1311"/>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1</v>
      </c>
      <c r="R92" s="703">
        <f t="shared" si="21"/>
        <v>0</v>
      </c>
      <c r="S92" s="334">
        <f t="shared" si="22"/>
        <v>0</v>
      </c>
      <c r="T92" s="1182">
        <f t="shared" si="23"/>
        <v>0</v>
      </c>
      <c r="U92" s="1314">
        <f t="shared" ref="U92:U155" si="32">ROUND(W92*B92,0)</f>
        <v>0</v>
      </c>
      <c r="V92" s="1314">
        <f t="shared" ref="V92:V155" si="33">ROUND(W92*B92/10000,0)</f>
        <v>0</v>
      </c>
      <c r="W92" s="1311"/>
      <c r="X92" s="1314">
        <f t="shared" ref="X92:X155" si="34">ROUND(Z92*B92,0)</f>
        <v>0</v>
      </c>
      <c r="Y92" s="1314">
        <f t="shared" ref="Y92:Y155" si="35">ROUND(Z92*B92/10000,0)</f>
        <v>0</v>
      </c>
      <c r="Z92" s="1311"/>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1</v>
      </c>
      <c r="R93" s="703">
        <f t="shared" ref="R93:R156" si="36">IF(B93="",0,ROUND($R$27*C93*E93*G93*I93*K93*M93*O93*Q93,0))</f>
        <v>0</v>
      </c>
      <c r="S93" s="334">
        <f t="shared" ref="S93:S156" si="37">ROUND(R93*B93,0)</f>
        <v>0</v>
      </c>
      <c r="T93" s="1182">
        <f t="shared" ref="T93:T156" si="38">ROUND(R93*B93/10000,0)</f>
        <v>0</v>
      </c>
      <c r="U93" s="1314">
        <f t="shared" si="32"/>
        <v>0</v>
      </c>
      <c r="V93" s="1314">
        <f t="shared" si="33"/>
        <v>0</v>
      </c>
      <c r="W93" s="1311"/>
      <c r="X93" s="1314">
        <f t="shared" si="34"/>
        <v>0</v>
      </c>
      <c r="Y93" s="1314">
        <f t="shared" si="35"/>
        <v>0</v>
      </c>
      <c r="Z93" s="1311"/>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1</v>
      </c>
      <c r="R94" s="703">
        <f t="shared" si="36"/>
        <v>0</v>
      </c>
      <c r="S94" s="334">
        <f t="shared" si="37"/>
        <v>0</v>
      </c>
      <c r="T94" s="1182">
        <f t="shared" si="38"/>
        <v>0</v>
      </c>
      <c r="U94" s="1314">
        <f t="shared" si="32"/>
        <v>0</v>
      </c>
      <c r="V94" s="1314">
        <f t="shared" si="33"/>
        <v>0</v>
      </c>
      <c r="W94" s="1311"/>
      <c r="X94" s="1314">
        <f t="shared" si="34"/>
        <v>0</v>
      </c>
      <c r="Y94" s="1314">
        <f t="shared" si="35"/>
        <v>0</v>
      </c>
      <c r="Z94" s="1311"/>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1</v>
      </c>
      <c r="R95" s="703">
        <f t="shared" si="36"/>
        <v>0</v>
      </c>
      <c r="S95" s="334">
        <f t="shared" si="37"/>
        <v>0</v>
      </c>
      <c r="T95" s="1182">
        <f t="shared" si="38"/>
        <v>0</v>
      </c>
      <c r="U95" s="1314">
        <f t="shared" si="32"/>
        <v>0</v>
      </c>
      <c r="V95" s="1314">
        <f t="shared" si="33"/>
        <v>0</v>
      </c>
      <c r="W95" s="1311"/>
      <c r="X95" s="1314">
        <f t="shared" si="34"/>
        <v>0</v>
      </c>
      <c r="Y95" s="1314">
        <f t="shared" si="35"/>
        <v>0</v>
      </c>
      <c r="Z95" s="1311"/>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1</v>
      </c>
      <c r="R96" s="703">
        <f t="shared" si="36"/>
        <v>0</v>
      </c>
      <c r="S96" s="334">
        <f t="shared" si="37"/>
        <v>0</v>
      </c>
      <c r="T96" s="1182">
        <f t="shared" si="38"/>
        <v>0</v>
      </c>
      <c r="U96" s="1314">
        <f t="shared" si="32"/>
        <v>0</v>
      </c>
      <c r="V96" s="1314">
        <f t="shared" si="33"/>
        <v>0</v>
      </c>
      <c r="W96" s="1311"/>
      <c r="X96" s="1314">
        <f t="shared" si="34"/>
        <v>0</v>
      </c>
      <c r="Y96" s="1314">
        <f t="shared" si="35"/>
        <v>0</v>
      </c>
      <c r="Z96" s="1311"/>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1</v>
      </c>
      <c r="R97" s="703">
        <f t="shared" si="36"/>
        <v>0</v>
      </c>
      <c r="S97" s="334">
        <f t="shared" si="37"/>
        <v>0</v>
      </c>
      <c r="T97" s="1182">
        <f t="shared" si="38"/>
        <v>0</v>
      </c>
      <c r="U97" s="1314">
        <f t="shared" si="32"/>
        <v>0</v>
      </c>
      <c r="V97" s="1314">
        <f t="shared" si="33"/>
        <v>0</v>
      </c>
      <c r="W97" s="1311"/>
      <c r="X97" s="1314">
        <f t="shared" si="34"/>
        <v>0</v>
      </c>
      <c r="Y97" s="1314">
        <f t="shared" si="35"/>
        <v>0</v>
      </c>
      <c r="Z97" s="1311"/>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1</v>
      </c>
      <c r="R98" s="703">
        <f t="shared" si="36"/>
        <v>0</v>
      </c>
      <c r="S98" s="334">
        <f t="shared" si="37"/>
        <v>0</v>
      </c>
      <c r="T98" s="1182">
        <f t="shared" si="38"/>
        <v>0</v>
      </c>
      <c r="U98" s="1314">
        <f t="shared" si="32"/>
        <v>0</v>
      </c>
      <c r="V98" s="1314">
        <f t="shared" si="33"/>
        <v>0</v>
      </c>
      <c r="W98" s="1311"/>
      <c r="X98" s="1314">
        <f t="shared" si="34"/>
        <v>0</v>
      </c>
      <c r="Y98" s="1314">
        <f t="shared" si="35"/>
        <v>0</v>
      </c>
      <c r="Z98" s="1311"/>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1</v>
      </c>
      <c r="R99" s="703">
        <f t="shared" si="36"/>
        <v>0</v>
      </c>
      <c r="S99" s="334">
        <f t="shared" si="37"/>
        <v>0</v>
      </c>
      <c r="T99" s="1182">
        <f t="shared" si="38"/>
        <v>0</v>
      </c>
      <c r="U99" s="1314">
        <f t="shared" si="32"/>
        <v>0</v>
      </c>
      <c r="V99" s="1314">
        <f t="shared" si="33"/>
        <v>0</v>
      </c>
      <c r="W99" s="1311"/>
      <c r="X99" s="1314">
        <f t="shared" si="34"/>
        <v>0</v>
      </c>
      <c r="Y99" s="1314">
        <f t="shared" si="35"/>
        <v>0</v>
      </c>
      <c r="Z99" s="1311"/>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1</v>
      </c>
      <c r="R100" s="703">
        <f t="shared" si="36"/>
        <v>0</v>
      </c>
      <c r="S100" s="334">
        <f t="shared" si="37"/>
        <v>0</v>
      </c>
      <c r="T100" s="1182">
        <f t="shared" si="38"/>
        <v>0</v>
      </c>
      <c r="U100" s="1314">
        <f t="shared" si="32"/>
        <v>0</v>
      </c>
      <c r="V100" s="1314">
        <f t="shared" si="33"/>
        <v>0</v>
      </c>
      <c r="W100" s="1311"/>
      <c r="X100" s="1314">
        <f t="shared" si="34"/>
        <v>0</v>
      </c>
      <c r="Y100" s="1314">
        <f t="shared" si="35"/>
        <v>0</v>
      </c>
      <c r="Z100" s="1311"/>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1</v>
      </c>
      <c r="R101" s="703">
        <f t="shared" si="36"/>
        <v>0</v>
      </c>
      <c r="S101" s="334">
        <f t="shared" si="37"/>
        <v>0</v>
      </c>
      <c r="T101" s="1182">
        <f t="shared" si="38"/>
        <v>0</v>
      </c>
      <c r="U101" s="1314">
        <f t="shared" si="32"/>
        <v>0</v>
      </c>
      <c r="V101" s="1314">
        <f t="shared" si="33"/>
        <v>0</v>
      </c>
      <c r="W101" s="1311"/>
      <c r="X101" s="1314">
        <f t="shared" si="34"/>
        <v>0</v>
      </c>
      <c r="Y101" s="1314">
        <f t="shared" si="35"/>
        <v>0</v>
      </c>
      <c r="Z101" s="1311"/>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1</v>
      </c>
      <c r="R102" s="703">
        <f t="shared" si="36"/>
        <v>0</v>
      </c>
      <c r="S102" s="334">
        <f t="shared" si="37"/>
        <v>0</v>
      </c>
      <c r="T102" s="1182">
        <f t="shared" si="38"/>
        <v>0</v>
      </c>
      <c r="U102" s="1314">
        <f t="shared" si="32"/>
        <v>0</v>
      </c>
      <c r="V102" s="1314">
        <f t="shared" si="33"/>
        <v>0</v>
      </c>
      <c r="W102" s="1311"/>
      <c r="X102" s="1314">
        <f t="shared" si="34"/>
        <v>0</v>
      </c>
      <c r="Y102" s="1314">
        <f t="shared" si="35"/>
        <v>0</v>
      </c>
      <c r="Z102" s="1311"/>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1</v>
      </c>
      <c r="R103" s="703">
        <f t="shared" si="36"/>
        <v>0</v>
      </c>
      <c r="S103" s="334">
        <f t="shared" si="37"/>
        <v>0</v>
      </c>
      <c r="T103" s="1182">
        <f t="shared" si="38"/>
        <v>0</v>
      </c>
      <c r="U103" s="1314">
        <f t="shared" si="32"/>
        <v>0</v>
      </c>
      <c r="V103" s="1314">
        <f t="shared" si="33"/>
        <v>0</v>
      </c>
      <c r="W103" s="1311"/>
      <c r="X103" s="1314">
        <f t="shared" si="34"/>
        <v>0</v>
      </c>
      <c r="Y103" s="1314">
        <f t="shared" si="35"/>
        <v>0</v>
      </c>
      <c r="Z103" s="1311"/>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1</v>
      </c>
      <c r="R104" s="703">
        <f t="shared" si="36"/>
        <v>0</v>
      </c>
      <c r="S104" s="334">
        <f t="shared" si="37"/>
        <v>0</v>
      </c>
      <c r="T104" s="1182">
        <f t="shared" si="38"/>
        <v>0</v>
      </c>
      <c r="U104" s="1314">
        <f t="shared" si="32"/>
        <v>0</v>
      </c>
      <c r="V104" s="1314">
        <f t="shared" si="33"/>
        <v>0</v>
      </c>
      <c r="W104" s="1311"/>
      <c r="X104" s="1314">
        <f t="shared" si="34"/>
        <v>0</v>
      </c>
      <c r="Y104" s="1314">
        <f t="shared" si="35"/>
        <v>0</v>
      </c>
      <c r="Z104" s="1311"/>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1</v>
      </c>
      <c r="R105" s="703">
        <f t="shared" si="36"/>
        <v>0</v>
      </c>
      <c r="S105" s="334">
        <f t="shared" si="37"/>
        <v>0</v>
      </c>
      <c r="T105" s="1182">
        <f t="shared" si="38"/>
        <v>0</v>
      </c>
      <c r="U105" s="1314">
        <f t="shared" si="32"/>
        <v>0</v>
      </c>
      <c r="V105" s="1314">
        <f t="shared" si="33"/>
        <v>0</v>
      </c>
      <c r="W105" s="1311"/>
      <c r="X105" s="1314">
        <f t="shared" si="34"/>
        <v>0</v>
      </c>
      <c r="Y105" s="1314">
        <f t="shared" si="35"/>
        <v>0</v>
      </c>
      <c r="Z105" s="1311"/>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1</v>
      </c>
      <c r="R106" s="703">
        <f t="shared" si="36"/>
        <v>0</v>
      </c>
      <c r="S106" s="334">
        <f t="shared" si="37"/>
        <v>0</v>
      </c>
      <c r="T106" s="1182">
        <f t="shared" si="38"/>
        <v>0</v>
      </c>
      <c r="U106" s="1314">
        <f t="shared" si="32"/>
        <v>0</v>
      </c>
      <c r="V106" s="1314">
        <f t="shared" si="33"/>
        <v>0</v>
      </c>
      <c r="W106" s="1311"/>
      <c r="X106" s="1314">
        <f t="shared" si="34"/>
        <v>0</v>
      </c>
      <c r="Y106" s="1314">
        <f t="shared" si="35"/>
        <v>0</v>
      </c>
      <c r="Z106" s="1311"/>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1</v>
      </c>
      <c r="R107" s="703">
        <f t="shared" si="36"/>
        <v>0</v>
      </c>
      <c r="S107" s="334">
        <f t="shared" si="37"/>
        <v>0</v>
      </c>
      <c r="T107" s="1182">
        <f t="shared" si="38"/>
        <v>0</v>
      </c>
      <c r="U107" s="1314">
        <f t="shared" si="32"/>
        <v>0</v>
      </c>
      <c r="V107" s="1314">
        <f t="shared" si="33"/>
        <v>0</v>
      </c>
      <c r="W107" s="1311"/>
      <c r="X107" s="1314">
        <f t="shared" si="34"/>
        <v>0</v>
      </c>
      <c r="Y107" s="1314">
        <f t="shared" si="35"/>
        <v>0</v>
      </c>
      <c r="Z107" s="1311"/>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1</v>
      </c>
      <c r="R108" s="703">
        <f t="shared" si="36"/>
        <v>0</v>
      </c>
      <c r="S108" s="334">
        <f t="shared" si="37"/>
        <v>0</v>
      </c>
      <c r="T108" s="1182">
        <f t="shared" si="38"/>
        <v>0</v>
      </c>
      <c r="U108" s="1314">
        <f t="shared" si="32"/>
        <v>0</v>
      </c>
      <c r="V108" s="1314">
        <f t="shared" si="33"/>
        <v>0</v>
      </c>
      <c r="W108" s="1311"/>
      <c r="X108" s="1314">
        <f t="shared" si="34"/>
        <v>0</v>
      </c>
      <c r="Y108" s="1314">
        <f t="shared" si="35"/>
        <v>0</v>
      </c>
      <c r="Z108" s="1311"/>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1</v>
      </c>
      <c r="R109" s="703">
        <f t="shared" si="36"/>
        <v>0</v>
      </c>
      <c r="S109" s="334">
        <f t="shared" si="37"/>
        <v>0</v>
      </c>
      <c r="T109" s="1182">
        <f t="shared" si="38"/>
        <v>0</v>
      </c>
      <c r="U109" s="1314">
        <f t="shared" si="32"/>
        <v>0</v>
      </c>
      <c r="V109" s="1314">
        <f t="shared" si="33"/>
        <v>0</v>
      </c>
      <c r="W109" s="1311"/>
      <c r="X109" s="1314">
        <f t="shared" si="34"/>
        <v>0</v>
      </c>
      <c r="Y109" s="1314">
        <f t="shared" si="35"/>
        <v>0</v>
      </c>
      <c r="Z109" s="1311"/>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1</v>
      </c>
      <c r="R110" s="703">
        <f t="shared" si="36"/>
        <v>0</v>
      </c>
      <c r="S110" s="334">
        <f t="shared" si="37"/>
        <v>0</v>
      </c>
      <c r="T110" s="1182">
        <f t="shared" si="38"/>
        <v>0</v>
      </c>
      <c r="U110" s="1314">
        <f t="shared" si="32"/>
        <v>0</v>
      </c>
      <c r="V110" s="1314">
        <f t="shared" si="33"/>
        <v>0</v>
      </c>
      <c r="W110" s="1311"/>
      <c r="X110" s="1314">
        <f t="shared" si="34"/>
        <v>0</v>
      </c>
      <c r="Y110" s="1314">
        <f t="shared" si="35"/>
        <v>0</v>
      </c>
      <c r="Z110" s="1311"/>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1</v>
      </c>
      <c r="R111" s="703">
        <f t="shared" si="36"/>
        <v>0</v>
      </c>
      <c r="S111" s="334">
        <f t="shared" si="37"/>
        <v>0</v>
      </c>
      <c r="T111" s="1182">
        <f t="shared" si="38"/>
        <v>0</v>
      </c>
      <c r="U111" s="1314">
        <f t="shared" si="32"/>
        <v>0</v>
      </c>
      <c r="V111" s="1314">
        <f t="shared" si="33"/>
        <v>0</v>
      </c>
      <c r="W111" s="1311"/>
      <c r="X111" s="1314">
        <f t="shared" si="34"/>
        <v>0</v>
      </c>
      <c r="Y111" s="1314">
        <f t="shared" si="35"/>
        <v>0</v>
      </c>
      <c r="Z111" s="1311"/>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1</v>
      </c>
      <c r="R112" s="703">
        <f t="shared" si="36"/>
        <v>0</v>
      </c>
      <c r="S112" s="334">
        <f t="shared" si="37"/>
        <v>0</v>
      </c>
      <c r="T112" s="1182">
        <f t="shared" si="38"/>
        <v>0</v>
      </c>
      <c r="U112" s="1314">
        <f t="shared" si="32"/>
        <v>0</v>
      </c>
      <c r="V112" s="1314">
        <f t="shared" si="33"/>
        <v>0</v>
      </c>
      <c r="W112" s="1311"/>
      <c r="X112" s="1314">
        <f t="shared" si="34"/>
        <v>0</v>
      </c>
      <c r="Y112" s="1314">
        <f t="shared" si="35"/>
        <v>0</v>
      </c>
      <c r="Z112" s="1311"/>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1</v>
      </c>
      <c r="R113" s="703">
        <f t="shared" si="36"/>
        <v>0</v>
      </c>
      <c r="S113" s="334">
        <f t="shared" si="37"/>
        <v>0</v>
      </c>
      <c r="T113" s="1182">
        <f t="shared" si="38"/>
        <v>0</v>
      </c>
      <c r="U113" s="1314">
        <f t="shared" si="32"/>
        <v>0</v>
      </c>
      <c r="V113" s="1314">
        <f t="shared" si="33"/>
        <v>0</v>
      </c>
      <c r="W113" s="1311"/>
      <c r="X113" s="1314">
        <f t="shared" si="34"/>
        <v>0</v>
      </c>
      <c r="Y113" s="1314">
        <f t="shared" si="35"/>
        <v>0</v>
      </c>
      <c r="Z113" s="1311"/>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1</v>
      </c>
      <c r="R114" s="703">
        <f t="shared" si="36"/>
        <v>0</v>
      </c>
      <c r="S114" s="334">
        <f t="shared" si="37"/>
        <v>0</v>
      </c>
      <c r="T114" s="1182">
        <f t="shared" si="38"/>
        <v>0</v>
      </c>
      <c r="U114" s="1314">
        <f t="shared" si="32"/>
        <v>0</v>
      </c>
      <c r="V114" s="1314">
        <f t="shared" si="33"/>
        <v>0</v>
      </c>
      <c r="W114" s="1311"/>
      <c r="X114" s="1314">
        <f t="shared" si="34"/>
        <v>0</v>
      </c>
      <c r="Y114" s="1314">
        <f t="shared" si="35"/>
        <v>0</v>
      </c>
      <c r="Z114" s="1311"/>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1</v>
      </c>
      <c r="R115" s="703">
        <f t="shared" si="36"/>
        <v>0</v>
      </c>
      <c r="S115" s="334">
        <f t="shared" si="37"/>
        <v>0</v>
      </c>
      <c r="T115" s="1182">
        <f t="shared" si="38"/>
        <v>0</v>
      </c>
      <c r="U115" s="1314">
        <f t="shared" si="32"/>
        <v>0</v>
      </c>
      <c r="V115" s="1314">
        <f t="shared" si="33"/>
        <v>0</v>
      </c>
      <c r="W115" s="1311"/>
      <c r="X115" s="1314">
        <f t="shared" si="34"/>
        <v>0</v>
      </c>
      <c r="Y115" s="1314">
        <f t="shared" si="35"/>
        <v>0</v>
      </c>
      <c r="Z115" s="1311"/>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1</v>
      </c>
      <c r="R116" s="703">
        <f t="shared" si="36"/>
        <v>0</v>
      </c>
      <c r="S116" s="334">
        <f t="shared" si="37"/>
        <v>0</v>
      </c>
      <c r="T116" s="1182">
        <f t="shared" si="38"/>
        <v>0</v>
      </c>
      <c r="U116" s="1314">
        <f t="shared" si="32"/>
        <v>0</v>
      </c>
      <c r="V116" s="1314">
        <f t="shared" si="33"/>
        <v>0</v>
      </c>
      <c r="W116" s="1311"/>
      <c r="X116" s="1314">
        <f t="shared" si="34"/>
        <v>0</v>
      </c>
      <c r="Y116" s="1314">
        <f t="shared" si="35"/>
        <v>0</v>
      </c>
      <c r="Z116" s="1311"/>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1</v>
      </c>
      <c r="R117" s="703">
        <f t="shared" si="36"/>
        <v>0</v>
      </c>
      <c r="S117" s="334">
        <f t="shared" si="37"/>
        <v>0</v>
      </c>
      <c r="T117" s="1182">
        <f t="shared" si="38"/>
        <v>0</v>
      </c>
      <c r="U117" s="1314">
        <f t="shared" si="32"/>
        <v>0</v>
      </c>
      <c r="V117" s="1314">
        <f t="shared" si="33"/>
        <v>0</v>
      </c>
      <c r="W117" s="1311"/>
      <c r="X117" s="1314">
        <f t="shared" si="34"/>
        <v>0</v>
      </c>
      <c r="Y117" s="1314">
        <f t="shared" si="35"/>
        <v>0</v>
      </c>
      <c r="Z117" s="1311"/>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1</v>
      </c>
      <c r="R118" s="703">
        <f t="shared" si="36"/>
        <v>0</v>
      </c>
      <c r="S118" s="334">
        <f t="shared" si="37"/>
        <v>0</v>
      </c>
      <c r="T118" s="1182">
        <f t="shared" si="38"/>
        <v>0</v>
      </c>
      <c r="U118" s="1314">
        <f t="shared" si="32"/>
        <v>0</v>
      </c>
      <c r="V118" s="1314">
        <f t="shared" si="33"/>
        <v>0</v>
      </c>
      <c r="W118" s="1311"/>
      <c r="X118" s="1314">
        <f t="shared" si="34"/>
        <v>0</v>
      </c>
      <c r="Y118" s="1314">
        <f t="shared" si="35"/>
        <v>0</v>
      </c>
      <c r="Z118" s="1311"/>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1</v>
      </c>
      <c r="R119" s="703">
        <f t="shared" si="36"/>
        <v>0</v>
      </c>
      <c r="S119" s="334">
        <f t="shared" si="37"/>
        <v>0</v>
      </c>
      <c r="T119" s="1182">
        <f t="shared" si="38"/>
        <v>0</v>
      </c>
      <c r="U119" s="1314">
        <f t="shared" si="32"/>
        <v>0</v>
      </c>
      <c r="V119" s="1314">
        <f t="shared" si="33"/>
        <v>0</v>
      </c>
      <c r="W119" s="1311"/>
      <c r="X119" s="1314">
        <f t="shared" si="34"/>
        <v>0</v>
      </c>
      <c r="Y119" s="1314">
        <f t="shared" si="35"/>
        <v>0</v>
      </c>
      <c r="Z119" s="1311"/>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1</v>
      </c>
      <c r="R120" s="703">
        <f t="shared" si="36"/>
        <v>0</v>
      </c>
      <c r="S120" s="334">
        <f t="shared" si="37"/>
        <v>0</v>
      </c>
      <c r="T120" s="1182">
        <f t="shared" si="38"/>
        <v>0</v>
      </c>
      <c r="U120" s="1314">
        <f t="shared" si="32"/>
        <v>0</v>
      </c>
      <c r="V120" s="1314">
        <f t="shared" si="33"/>
        <v>0</v>
      </c>
      <c r="W120" s="1311"/>
      <c r="X120" s="1314">
        <f t="shared" si="34"/>
        <v>0</v>
      </c>
      <c r="Y120" s="1314">
        <f t="shared" si="35"/>
        <v>0</v>
      </c>
      <c r="Z120" s="1311"/>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1</v>
      </c>
      <c r="R121" s="703">
        <f t="shared" si="36"/>
        <v>0</v>
      </c>
      <c r="S121" s="334">
        <f t="shared" si="37"/>
        <v>0</v>
      </c>
      <c r="T121" s="1182">
        <f t="shared" si="38"/>
        <v>0</v>
      </c>
      <c r="U121" s="1314">
        <f t="shared" si="32"/>
        <v>0</v>
      </c>
      <c r="V121" s="1314">
        <f t="shared" si="33"/>
        <v>0</v>
      </c>
      <c r="W121" s="1311"/>
      <c r="X121" s="1314">
        <f t="shared" si="34"/>
        <v>0</v>
      </c>
      <c r="Y121" s="1314">
        <f t="shared" si="35"/>
        <v>0</v>
      </c>
      <c r="Z121" s="1311"/>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1</v>
      </c>
      <c r="R122" s="703">
        <f t="shared" si="36"/>
        <v>0</v>
      </c>
      <c r="S122" s="334">
        <f t="shared" si="37"/>
        <v>0</v>
      </c>
      <c r="T122" s="1182">
        <f t="shared" si="38"/>
        <v>0</v>
      </c>
      <c r="U122" s="1314">
        <f t="shared" si="32"/>
        <v>0</v>
      </c>
      <c r="V122" s="1314">
        <f t="shared" si="33"/>
        <v>0</v>
      </c>
      <c r="W122" s="1311"/>
      <c r="X122" s="1314">
        <f t="shared" si="34"/>
        <v>0</v>
      </c>
      <c r="Y122" s="1314">
        <f t="shared" si="35"/>
        <v>0</v>
      </c>
      <c r="Z122" s="1311"/>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1</v>
      </c>
      <c r="R123" s="703">
        <f t="shared" si="36"/>
        <v>0</v>
      </c>
      <c r="S123" s="334">
        <f t="shared" si="37"/>
        <v>0</v>
      </c>
      <c r="T123" s="1182">
        <f t="shared" si="38"/>
        <v>0</v>
      </c>
      <c r="U123" s="1314">
        <f t="shared" si="32"/>
        <v>0</v>
      </c>
      <c r="V123" s="1314">
        <f t="shared" si="33"/>
        <v>0</v>
      </c>
      <c r="W123" s="1311"/>
      <c r="X123" s="1314">
        <f t="shared" si="34"/>
        <v>0</v>
      </c>
      <c r="Y123" s="1314">
        <f t="shared" si="35"/>
        <v>0</v>
      </c>
      <c r="Z123" s="1311"/>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1</v>
      </c>
      <c r="R124" s="703">
        <f t="shared" si="36"/>
        <v>0</v>
      </c>
      <c r="S124" s="334">
        <f t="shared" si="37"/>
        <v>0</v>
      </c>
      <c r="T124" s="1182">
        <f t="shared" si="38"/>
        <v>0</v>
      </c>
      <c r="U124" s="1314">
        <f t="shared" si="32"/>
        <v>0</v>
      </c>
      <c r="V124" s="1314">
        <f t="shared" si="33"/>
        <v>0</v>
      </c>
      <c r="W124" s="1311"/>
      <c r="X124" s="1314">
        <f t="shared" si="34"/>
        <v>0</v>
      </c>
      <c r="Y124" s="1314">
        <f t="shared" si="35"/>
        <v>0</v>
      </c>
      <c r="Z124" s="1311"/>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1</v>
      </c>
      <c r="R125" s="703">
        <f t="shared" si="36"/>
        <v>0</v>
      </c>
      <c r="S125" s="334">
        <f t="shared" si="37"/>
        <v>0</v>
      </c>
      <c r="T125" s="1182">
        <f t="shared" si="38"/>
        <v>0</v>
      </c>
      <c r="U125" s="1314">
        <f t="shared" si="32"/>
        <v>0</v>
      </c>
      <c r="V125" s="1314">
        <f t="shared" si="33"/>
        <v>0</v>
      </c>
      <c r="W125" s="1311"/>
      <c r="X125" s="1314">
        <f t="shared" si="34"/>
        <v>0</v>
      </c>
      <c r="Y125" s="1314">
        <f t="shared" si="35"/>
        <v>0</v>
      </c>
      <c r="Z125" s="1311"/>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1</v>
      </c>
      <c r="R126" s="703">
        <f t="shared" si="36"/>
        <v>0</v>
      </c>
      <c r="S126" s="334">
        <f t="shared" si="37"/>
        <v>0</v>
      </c>
      <c r="T126" s="1182">
        <f t="shared" si="38"/>
        <v>0</v>
      </c>
      <c r="U126" s="1314">
        <f t="shared" si="32"/>
        <v>0</v>
      </c>
      <c r="V126" s="1314">
        <f t="shared" si="33"/>
        <v>0</v>
      </c>
      <c r="W126" s="1311"/>
      <c r="X126" s="1314">
        <f t="shared" si="34"/>
        <v>0</v>
      </c>
      <c r="Y126" s="1314">
        <f t="shared" si="35"/>
        <v>0</v>
      </c>
      <c r="Z126" s="1311"/>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1</v>
      </c>
      <c r="R127" s="703">
        <f t="shared" si="36"/>
        <v>0</v>
      </c>
      <c r="S127" s="334">
        <f t="shared" si="37"/>
        <v>0</v>
      </c>
      <c r="T127" s="1182">
        <f t="shared" si="38"/>
        <v>0</v>
      </c>
      <c r="U127" s="1314">
        <f t="shared" si="32"/>
        <v>0</v>
      </c>
      <c r="V127" s="1314">
        <f t="shared" si="33"/>
        <v>0</v>
      </c>
      <c r="W127" s="1311"/>
      <c r="X127" s="1314">
        <f t="shared" si="34"/>
        <v>0</v>
      </c>
      <c r="Y127" s="1314">
        <f t="shared" si="35"/>
        <v>0</v>
      </c>
      <c r="Z127" s="1311"/>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1</v>
      </c>
      <c r="R128" s="703">
        <f t="shared" si="36"/>
        <v>0</v>
      </c>
      <c r="S128" s="334">
        <f t="shared" si="37"/>
        <v>0</v>
      </c>
      <c r="T128" s="1182">
        <f t="shared" si="38"/>
        <v>0</v>
      </c>
      <c r="U128" s="1314">
        <f t="shared" si="32"/>
        <v>0</v>
      </c>
      <c r="V128" s="1314">
        <f t="shared" si="33"/>
        <v>0</v>
      </c>
      <c r="W128" s="1311"/>
      <c r="X128" s="1314">
        <f t="shared" si="34"/>
        <v>0</v>
      </c>
      <c r="Y128" s="1314">
        <f t="shared" si="35"/>
        <v>0</v>
      </c>
      <c r="Z128" s="1311"/>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1</v>
      </c>
      <c r="R129" s="703">
        <f t="shared" si="36"/>
        <v>0</v>
      </c>
      <c r="S129" s="334">
        <f t="shared" si="37"/>
        <v>0</v>
      </c>
      <c r="T129" s="1182">
        <f t="shared" si="38"/>
        <v>0</v>
      </c>
      <c r="U129" s="1314">
        <f t="shared" si="32"/>
        <v>0</v>
      </c>
      <c r="V129" s="1314">
        <f t="shared" si="33"/>
        <v>0</v>
      </c>
      <c r="W129" s="1311"/>
      <c r="X129" s="1314">
        <f t="shared" si="34"/>
        <v>0</v>
      </c>
      <c r="Y129" s="1314">
        <f t="shared" si="35"/>
        <v>0</v>
      </c>
      <c r="Z129" s="1311"/>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1</v>
      </c>
      <c r="R130" s="703">
        <f t="shared" si="36"/>
        <v>0</v>
      </c>
      <c r="S130" s="334">
        <f t="shared" si="37"/>
        <v>0</v>
      </c>
      <c r="T130" s="1182">
        <f t="shared" si="38"/>
        <v>0</v>
      </c>
      <c r="U130" s="1314">
        <f t="shared" si="32"/>
        <v>0</v>
      </c>
      <c r="V130" s="1314">
        <f t="shared" si="33"/>
        <v>0</v>
      </c>
      <c r="W130" s="1311"/>
      <c r="X130" s="1314">
        <f t="shared" si="34"/>
        <v>0</v>
      </c>
      <c r="Y130" s="1314">
        <f t="shared" si="35"/>
        <v>0</v>
      </c>
      <c r="Z130" s="1311"/>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1</v>
      </c>
      <c r="R131" s="703">
        <f t="shared" si="36"/>
        <v>0</v>
      </c>
      <c r="S131" s="334">
        <f t="shared" si="37"/>
        <v>0</v>
      </c>
      <c r="T131" s="1182">
        <f t="shared" si="38"/>
        <v>0</v>
      </c>
      <c r="U131" s="1314">
        <f t="shared" si="32"/>
        <v>0</v>
      </c>
      <c r="V131" s="1314">
        <f t="shared" si="33"/>
        <v>0</v>
      </c>
      <c r="W131" s="1311"/>
      <c r="X131" s="1314">
        <f t="shared" si="34"/>
        <v>0</v>
      </c>
      <c r="Y131" s="1314">
        <f t="shared" si="35"/>
        <v>0</v>
      </c>
      <c r="Z131" s="1311"/>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1</v>
      </c>
      <c r="R132" s="703">
        <f t="shared" si="36"/>
        <v>0</v>
      </c>
      <c r="S132" s="334">
        <f t="shared" si="37"/>
        <v>0</v>
      </c>
      <c r="T132" s="1182">
        <f t="shared" si="38"/>
        <v>0</v>
      </c>
      <c r="U132" s="1314">
        <f t="shared" si="32"/>
        <v>0</v>
      </c>
      <c r="V132" s="1314">
        <f t="shared" si="33"/>
        <v>0</v>
      </c>
      <c r="W132" s="1311"/>
      <c r="X132" s="1314">
        <f t="shared" si="34"/>
        <v>0</v>
      </c>
      <c r="Y132" s="1314">
        <f t="shared" si="35"/>
        <v>0</v>
      </c>
      <c r="Z132" s="1311"/>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1</v>
      </c>
      <c r="R133" s="703">
        <f t="shared" si="36"/>
        <v>0</v>
      </c>
      <c r="S133" s="334">
        <f t="shared" si="37"/>
        <v>0</v>
      </c>
      <c r="T133" s="1182">
        <f t="shared" si="38"/>
        <v>0</v>
      </c>
      <c r="U133" s="1314">
        <f t="shared" si="32"/>
        <v>0</v>
      </c>
      <c r="V133" s="1314">
        <f t="shared" si="33"/>
        <v>0</v>
      </c>
      <c r="W133" s="1311"/>
      <c r="X133" s="1314">
        <f t="shared" si="34"/>
        <v>0</v>
      </c>
      <c r="Y133" s="1314">
        <f t="shared" si="35"/>
        <v>0</v>
      </c>
      <c r="Z133" s="1311"/>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1</v>
      </c>
      <c r="R134" s="703">
        <f t="shared" si="36"/>
        <v>0</v>
      </c>
      <c r="S134" s="334">
        <f t="shared" si="37"/>
        <v>0</v>
      </c>
      <c r="T134" s="1182">
        <f t="shared" si="38"/>
        <v>0</v>
      </c>
      <c r="U134" s="1314">
        <f t="shared" si="32"/>
        <v>0</v>
      </c>
      <c r="V134" s="1314">
        <f t="shared" si="33"/>
        <v>0</v>
      </c>
      <c r="W134" s="1311"/>
      <c r="X134" s="1314">
        <f t="shared" si="34"/>
        <v>0</v>
      </c>
      <c r="Y134" s="1314">
        <f t="shared" si="35"/>
        <v>0</v>
      </c>
      <c r="Z134" s="1311"/>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1</v>
      </c>
      <c r="R135" s="703">
        <f t="shared" si="36"/>
        <v>0</v>
      </c>
      <c r="S135" s="334">
        <f t="shared" si="37"/>
        <v>0</v>
      </c>
      <c r="T135" s="1182">
        <f t="shared" si="38"/>
        <v>0</v>
      </c>
      <c r="U135" s="1314">
        <f t="shared" si="32"/>
        <v>0</v>
      </c>
      <c r="V135" s="1314">
        <f t="shared" si="33"/>
        <v>0</v>
      </c>
      <c r="W135" s="1311"/>
      <c r="X135" s="1314">
        <f t="shared" si="34"/>
        <v>0</v>
      </c>
      <c r="Y135" s="1314">
        <f t="shared" si="35"/>
        <v>0</v>
      </c>
      <c r="Z135" s="1311"/>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1</v>
      </c>
      <c r="R136" s="703">
        <f t="shared" si="36"/>
        <v>0</v>
      </c>
      <c r="S136" s="334">
        <f t="shared" si="37"/>
        <v>0</v>
      </c>
      <c r="T136" s="1182">
        <f t="shared" si="38"/>
        <v>0</v>
      </c>
      <c r="U136" s="1314">
        <f t="shared" si="32"/>
        <v>0</v>
      </c>
      <c r="V136" s="1314">
        <f t="shared" si="33"/>
        <v>0</v>
      </c>
      <c r="W136" s="1311"/>
      <c r="X136" s="1314">
        <f t="shared" si="34"/>
        <v>0</v>
      </c>
      <c r="Y136" s="1314">
        <f t="shared" si="35"/>
        <v>0</v>
      </c>
      <c r="Z136" s="1311"/>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1</v>
      </c>
      <c r="R137" s="703">
        <f t="shared" si="36"/>
        <v>0</v>
      </c>
      <c r="S137" s="334">
        <f t="shared" si="37"/>
        <v>0</v>
      </c>
      <c r="T137" s="1182">
        <f t="shared" si="38"/>
        <v>0</v>
      </c>
      <c r="U137" s="1314">
        <f t="shared" si="32"/>
        <v>0</v>
      </c>
      <c r="V137" s="1314">
        <f t="shared" si="33"/>
        <v>0</v>
      </c>
      <c r="W137" s="1311"/>
      <c r="X137" s="1314">
        <f t="shared" si="34"/>
        <v>0</v>
      </c>
      <c r="Y137" s="1314">
        <f t="shared" si="35"/>
        <v>0</v>
      </c>
      <c r="Z137" s="1311"/>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1</v>
      </c>
      <c r="R138" s="703">
        <f t="shared" si="36"/>
        <v>0</v>
      </c>
      <c r="S138" s="334">
        <f t="shared" si="37"/>
        <v>0</v>
      </c>
      <c r="T138" s="1182">
        <f t="shared" si="38"/>
        <v>0</v>
      </c>
      <c r="U138" s="1314">
        <f t="shared" si="32"/>
        <v>0</v>
      </c>
      <c r="V138" s="1314">
        <f t="shared" si="33"/>
        <v>0</v>
      </c>
      <c r="W138" s="1311"/>
      <c r="X138" s="1314">
        <f t="shared" si="34"/>
        <v>0</v>
      </c>
      <c r="Y138" s="1314">
        <f t="shared" si="35"/>
        <v>0</v>
      </c>
      <c r="Z138" s="1311"/>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1</v>
      </c>
      <c r="R139" s="703">
        <f t="shared" si="36"/>
        <v>0</v>
      </c>
      <c r="S139" s="334">
        <f t="shared" si="37"/>
        <v>0</v>
      </c>
      <c r="T139" s="1182">
        <f t="shared" si="38"/>
        <v>0</v>
      </c>
      <c r="U139" s="1314">
        <f t="shared" si="32"/>
        <v>0</v>
      </c>
      <c r="V139" s="1314">
        <f t="shared" si="33"/>
        <v>0</v>
      </c>
      <c r="W139" s="1311"/>
      <c r="X139" s="1314">
        <f t="shared" si="34"/>
        <v>0</v>
      </c>
      <c r="Y139" s="1314">
        <f t="shared" si="35"/>
        <v>0</v>
      </c>
      <c r="Z139" s="1311"/>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1</v>
      </c>
      <c r="R140" s="703">
        <f t="shared" si="36"/>
        <v>0</v>
      </c>
      <c r="S140" s="334">
        <f t="shared" si="37"/>
        <v>0</v>
      </c>
      <c r="T140" s="1182">
        <f t="shared" si="38"/>
        <v>0</v>
      </c>
      <c r="U140" s="1314">
        <f t="shared" si="32"/>
        <v>0</v>
      </c>
      <c r="V140" s="1314">
        <f t="shared" si="33"/>
        <v>0</v>
      </c>
      <c r="W140" s="1311"/>
      <c r="X140" s="1314">
        <f t="shared" si="34"/>
        <v>0</v>
      </c>
      <c r="Y140" s="1314">
        <f t="shared" si="35"/>
        <v>0</v>
      </c>
      <c r="Z140" s="1311"/>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1</v>
      </c>
      <c r="R141" s="703">
        <f t="shared" si="36"/>
        <v>0</v>
      </c>
      <c r="S141" s="334">
        <f t="shared" si="37"/>
        <v>0</v>
      </c>
      <c r="T141" s="1182">
        <f t="shared" si="38"/>
        <v>0</v>
      </c>
      <c r="U141" s="1314">
        <f t="shared" si="32"/>
        <v>0</v>
      </c>
      <c r="V141" s="1314">
        <f t="shared" si="33"/>
        <v>0</v>
      </c>
      <c r="W141" s="1311"/>
      <c r="X141" s="1314">
        <f t="shared" si="34"/>
        <v>0</v>
      </c>
      <c r="Y141" s="1314">
        <f t="shared" si="35"/>
        <v>0</v>
      </c>
      <c r="Z141" s="1311"/>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1</v>
      </c>
      <c r="R142" s="703">
        <f t="shared" si="36"/>
        <v>0</v>
      </c>
      <c r="S142" s="334">
        <f t="shared" si="37"/>
        <v>0</v>
      </c>
      <c r="T142" s="1182">
        <f t="shared" si="38"/>
        <v>0</v>
      </c>
      <c r="U142" s="1314">
        <f t="shared" si="32"/>
        <v>0</v>
      </c>
      <c r="V142" s="1314">
        <f t="shared" si="33"/>
        <v>0</v>
      </c>
      <c r="W142" s="1311"/>
      <c r="X142" s="1314">
        <f t="shared" si="34"/>
        <v>0</v>
      </c>
      <c r="Y142" s="1314">
        <f t="shared" si="35"/>
        <v>0</v>
      </c>
      <c r="Z142" s="1311"/>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1</v>
      </c>
      <c r="R143" s="703">
        <f t="shared" si="36"/>
        <v>0</v>
      </c>
      <c r="S143" s="334">
        <f t="shared" si="37"/>
        <v>0</v>
      </c>
      <c r="T143" s="1182">
        <f t="shared" si="38"/>
        <v>0</v>
      </c>
      <c r="U143" s="1314">
        <f t="shared" si="32"/>
        <v>0</v>
      </c>
      <c r="V143" s="1314">
        <f t="shared" si="33"/>
        <v>0</v>
      </c>
      <c r="W143" s="1311"/>
      <c r="X143" s="1314">
        <f t="shared" si="34"/>
        <v>0</v>
      </c>
      <c r="Y143" s="1314">
        <f t="shared" si="35"/>
        <v>0</v>
      </c>
      <c r="Z143" s="1311"/>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1</v>
      </c>
      <c r="R144" s="703">
        <f t="shared" si="36"/>
        <v>0</v>
      </c>
      <c r="S144" s="334">
        <f t="shared" si="37"/>
        <v>0</v>
      </c>
      <c r="T144" s="1182">
        <f t="shared" si="38"/>
        <v>0</v>
      </c>
      <c r="U144" s="1314">
        <f t="shared" si="32"/>
        <v>0</v>
      </c>
      <c r="V144" s="1314">
        <f t="shared" si="33"/>
        <v>0</v>
      </c>
      <c r="W144" s="1311"/>
      <c r="X144" s="1314">
        <f t="shared" si="34"/>
        <v>0</v>
      </c>
      <c r="Y144" s="1314">
        <f t="shared" si="35"/>
        <v>0</v>
      </c>
      <c r="Z144" s="1311"/>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1</v>
      </c>
      <c r="R145" s="703">
        <f t="shared" si="36"/>
        <v>0</v>
      </c>
      <c r="S145" s="334">
        <f t="shared" si="37"/>
        <v>0</v>
      </c>
      <c r="T145" s="1182">
        <f t="shared" si="38"/>
        <v>0</v>
      </c>
      <c r="U145" s="1314">
        <f t="shared" si="32"/>
        <v>0</v>
      </c>
      <c r="V145" s="1314">
        <f t="shared" si="33"/>
        <v>0</v>
      </c>
      <c r="W145" s="1311"/>
      <c r="X145" s="1314">
        <f t="shared" si="34"/>
        <v>0</v>
      </c>
      <c r="Y145" s="1314">
        <f t="shared" si="35"/>
        <v>0</v>
      </c>
      <c r="Z145" s="1311"/>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1</v>
      </c>
      <c r="R146" s="703">
        <f t="shared" si="36"/>
        <v>0</v>
      </c>
      <c r="S146" s="334">
        <f t="shared" si="37"/>
        <v>0</v>
      </c>
      <c r="T146" s="1182">
        <f t="shared" si="38"/>
        <v>0</v>
      </c>
      <c r="U146" s="1314">
        <f t="shared" si="32"/>
        <v>0</v>
      </c>
      <c r="V146" s="1314">
        <f t="shared" si="33"/>
        <v>0</v>
      </c>
      <c r="W146" s="1311"/>
      <c r="X146" s="1314">
        <f t="shared" si="34"/>
        <v>0</v>
      </c>
      <c r="Y146" s="1314">
        <f t="shared" si="35"/>
        <v>0</v>
      </c>
      <c r="Z146" s="1311"/>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1</v>
      </c>
      <c r="R147" s="703">
        <f t="shared" si="36"/>
        <v>0</v>
      </c>
      <c r="S147" s="334">
        <f t="shared" si="37"/>
        <v>0</v>
      </c>
      <c r="T147" s="1182">
        <f t="shared" si="38"/>
        <v>0</v>
      </c>
      <c r="U147" s="1314">
        <f t="shared" si="32"/>
        <v>0</v>
      </c>
      <c r="V147" s="1314">
        <f t="shared" si="33"/>
        <v>0</v>
      </c>
      <c r="W147" s="1311"/>
      <c r="X147" s="1314">
        <f t="shared" si="34"/>
        <v>0</v>
      </c>
      <c r="Y147" s="1314">
        <f t="shared" si="35"/>
        <v>0</v>
      </c>
      <c r="Z147" s="1311"/>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1</v>
      </c>
      <c r="R148" s="703">
        <f t="shared" si="36"/>
        <v>0</v>
      </c>
      <c r="S148" s="334">
        <f t="shared" si="37"/>
        <v>0</v>
      </c>
      <c r="T148" s="1182">
        <f t="shared" si="38"/>
        <v>0</v>
      </c>
      <c r="U148" s="1314">
        <f t="shared" si="32"/>
        <v>0</v>
      </c>
      <c r="V148" s="1314">
        <f t="shared" si="33"/>
        <v>0</v>
      </c>
      <c r="W148" s="1311"/>
      <c r="X148" s="1314">
        <f t="shared" si="34"/>
        <v>0</v>
      </c>
      <c r="Y148" s="1314">
        <f t="shared" si="35"/>
        <v>0</v>
      </c>
      <c r="Z148" s="1311"/>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1</v>
      </c>
      <c r="R149" s="703">
        <f t="shared" si="36"/>
        <v>0</v>
      </c>
      <c r="S149" s="334">
        <f t="shared" si="37"/>
        <v>0</v>
      </c>
      <c r="T149" s="1182">
        <f t="shared" si="38"/>
        <v>0</v>
      </c>
      <c r="U149" s="1314">
        <f t="shared" si="32"/>
        <v>0</v>
      </c>
      <c r="V149" s="1314">
        <f t="shared" si="33"/>
        <v>0</v>
      </c>
      <c r="W149" s="1311"/>
      <c r="X149" s="1314">
        <f t="shared" si="34"/>
        <v>0</v>
      </c>
      <c r="Y149" s="1314">
        <f t="shared" si="35"/>
        <v>0</v>
      </c>
      <c r="Z149" s="1311"/>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1</v>
      </c>
      <c r="R150" s="703">
        <f t="shared" si="36"/>
        <v>0</v>
      </c>
      <c r="S150" s="334">
        <f t="shared" si="37"/>
        <v>0</v>
      </c>
      <c r="T150" s="1182">
        <f t="shared" si="38"/>
        <v>0</v>
      </c>
      <c r="U150" s="1314">
        <f t="shared" si="32"/>
        <v>0</v>
      </c>
      <c r="V150" s="1314">
        <f t="shared" si="33"/>
        <v>0</v>
      </c>
      <c r="W150" s="1311"/>
      <c r="X150" s="1314">
        <f t="shared" si="34"/>
        <v>0</v>
      </c>
      <c r="Y150" s="1314">
        <f t="shared" si="35"/>
        <v>0</v>
      </c>
      <c r="Z150" s="1311"/>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1</v>
      </c>
      <c r="R151" s="703">
        <f t="shared" si="36"/>
        <v>0</v>
      </c>
      <c r="S151" s="334">
        <f t="shared" si="37"/>
        <v>0</v>
      </c>
      <c r="T151" s="1182">
        <f t="shared" si="38"/>
        <v>0</v>
      </c>
      <c r="U151" s="1314">
        <f t="shared" si="32"/>
        <v>0</v>
      </c>
      <c r="V151" s="1314">
        <f t="shared" si="33"/>
        <v>0</v>
      </c>
      <c r="W151" s="1311"/>
      <c r="X151" s="1314">
        <f t="shared" si="34"/>
        <v>0</v>
      </c>
      <c r="Y151" s="1314">
        <f t="shared" si="35"/>
        <v>0</v>
      </c>
      <c r="Z151" s="1311"/>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1</v>
      </c>
      <c r="R152" s="703">
        <f t="shared" si="36"/>
        <v>0</v>
      </c>
      <c r="S152" s="334">
        <f t="shared" si="37"/>
        <v>0</v>
      </c>
      <c r="T152" s="1182">
        <f t="shared" si="38"/>
        <v>0</v>
      </c>
      <c r="U152" s="1314">
        <f t="shared" si="32"/>
        <v>0</v>
      </c>
      <c r="V152" s="1314">
        <f t="shared" si="33"/>
        <v>0</v>
      </c>
      <c r="W152" s="1311"/>
      <c r="X152" s="1314">
        <f t="shared" si="34"/>
        <v>0</v>
      </c>
      <c r="Y152" s="1314">
        <f t="shared" si="35"/>
        <v>0</v>
      </c>
      <c r="Z152" s="1311"/>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1</v>
      </c>
      <c r="R153" s="703">
        <f t="shared" si="36"/>
        <v>0</v>
      </c>
      <c r="S153" s="334">
        <f t="shared" si="37"/>
        <v>0</v>
      </c>
      <c r="T153" s="1182">
        <f t="shared" si="38"/>
        <v>0</v>
      </c>
      <c r="U153" s="1314">
        <f t="shared" si="32"/>
        <v>0</v>
      </c>
      <c r="V153" s="1314">
        <f t="shared" si="33"/>
        <v>0</v>
      </c>
      <c r="W153" s="1311"/>
      <c r="X153" s="1314">
        <f t="shared" si="34"/>
        <v>0</v>
      </c>
      <c r="Y153" s="1314">
        <f t="shared" si="35"/>
        <v>0</v>
      </c>
      <c r="Z153" s="1311"/>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1</v>
      </c>
      <c r="R154" s="703">
        <f t="shared" si="36"/>
        <v>0</v>
      </c>
      <c r="S154" s="334">
        <f t="shared" si="37"/>
        <v>0</v>
      </c>
      <c r="T154" s="1182">
        <f t="shared" si="38"/>
        <v>0</v>
      </c>
      <c r="U154" s="1314">
        <f t="shared" si="32"/>
        <v>0</v>
      </c>
      <c r="V154" s="1314">
        <f t="shared" si="33"/>
        <v>0</v>
      </c>
      <c r="W154" s="1311"/>
      <c r="X154" s="1314">
        <f t="shared" si="34"/>
        <v>0</v>
      </c>
      <c r="Y154" s="1314">
        <f t="shared" si="35"/>
        <v>0</v>
      </c>
      <c r="Z154" s="1311"/>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1</v>
      </c>
      <c r="R155" s="703">
        <f t="shared" si="36"/>
        <v>0</v>
      </c>
      <c r="S155" s="334">
        <f t="shared" si="37"/>
        <v>0</v>
      </c>
      <c r="T155" s="1182">
        <f t="shared" si="38"/>
        <v>0</v>
      </c>
      <c r="U155" s="1314">
        <f t="shared" si="32"/>
        <v>0</v>
      </c>
      <c r="V155" s="1314">
        <f t="shared" si="33"/>
        <v>0</v>
      </c>
      <c r="W155" s="1311"/>
      <c r="X155" s="1314">
        <f t="shared" si="34"/>
        <v>0</v>
      </c>
      <c r="Y155" s="1314">
        <f t="shared" si="35"/>
        <v>0</v>
      </c>
      <c r="Z155" s="1311"/>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1</v>
      </c>
      <c r="R156" s="703">
        <f t="shared" si="36"/>
        <v>0</v>
      </c>
      <c r="S156" s="334">
        <f t="shared" si="37"/>
        <v>0</v>
      </c>
      <c r="T156" s="1182">
        <f t="shared" si="38"/>
        <v>0</v>
      </c>
      <c r="U156" s="1314">
        <f t="shared" ref="U156:U219" si="47">ROUND(W156*B156,0)</f>
        <v>0</v>
      </c>
      <c r="V156" s="1314">
        <f t="shared" ref="V156:V219" si="48">ROUND(W156*B156/10000,0)</f>
        <v>0</v>
      </c>
      <c r="W156" s="1311"/>
      <c r="X156" s="1314">
        <f t="shared" ref="X156:X219" si="49">ROUND(Z156*B156,0)</f>
        <v>0</v>
      </c>
      <c r="Y156" s="1314">
        <f t="shared" ref="Y156:Y219" si="50">ROUND(Z156*B156/10000,0)</f>
        <v>0</v>
      </c>
      <c r="Z156" s="1311"/>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1</v>
      </c>
      <c r="R157" s="703">
        <f t="shared" ref="R157:R220" si="51">IF(B157="",0,ROUND($R$27*C157*E157*G157*I157*K157*M157*O157*Q157,0))</f>
        <v>0</v>
      </c>
      <c r="S157" s="334">
        <f t="shared" ref="S157:S220" si="52">ROUND(R157*B157,0)</f>
        <v>0</v>
      </c>
      <c r="T157" s="1182">
        <f t="shared" ref="T157:T220" si="53">ROUND(R157*B157/10000,0)</f>
        <v>0</v>
      </c>
      <c r="U157" s="1314">
        <f t="shared" si="47"/>
        <v>0</v>
      </c>
      <c r="V157" s="1314">
        <f t="shared" si="48"/>
        <v>0</v>
      </c>
      <c r="W157" s="1311"/>
      <c r="X157" s="1314">
        <f t="shared" si="49"/>
        <v>0</v>
      </c>
      <c r="Y157" s="1314">
        <f t="shared" si="50"/>
        <v>0</v>
      </c>
      <c r="Z157" s="1311"/>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1</v>
      </c>
      <c r="R158" s="703">
        <f t="shared" si="51"/>
        <v>0</v>
      </c>
      <c r="S158" s="334">
        <f t="shared" si="52"/>
        <v>0</v>
      </c>
      <c r="T158" s="1182">
        <f t="shared" si="53"/>
        <v>0</v>
      </c>
      <c r="U158" s="1314">
        <f t="shared" si="47"/>
        <v>0</v>
      </c>
      <c r="V158" s="1314">
        <f t="shared" si="48"/>
        <v>0</v>
      </c>
      <c r="W158" s="1311"/>
      <c r="X158" s="1314">
        <f t="shared" si="49"/>
        <v>0</v>
      </c>
      <c r="Y158" s="1314">
        <f t="shared" si="50"/>
        <v>0</v>
      </c>
      <c r="Z158" s="1311"/>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1</v>
      </c>
      <c r="R159" s="703">
        <f t="shared" si="51"/>
        <v>0</v>
      </c>
      <c r="S159" s="334">
        <f t="shared" si="52"/>
        <v>0</v>
      </c>
      <c r="T159" s="1182">
        <f t="shared" si="53"/>
        <v>0</v>
      </c>
      <c r="U159" s="1314">
        <f t="shared" si="47"/>
        <v>0</v>
      </c>
      <c r="V159" s="1314">
        <f t="shared" si="48"/>
        <v>0</v>
      </c>
      <c r="W159" s="1311"/>
      <c r="X159" s="1314">
        <f t="shared" si="49"/>
        <v>0</v>
      </c>
      <c r="Y159" s="1314">
        <f t="shared" si="50"/>
        <v>0</v>
      </c>
      <c r="Z159" s="1311"/>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1</v>
      </c>
      <c r="R160" s="703">
        <f t="shared" si="51"/>
        <v>0</v>
      </c>
      <c r="S160" s="334">
        <f t="shared" si="52"/>
        <v>0</v>
      </c>
      <c r="T160" s="1182">
        <f t="shared" si="53"/>
        <v>0</v>
      </c>
      <c r="U160" s="1314">
        <f t="shared" si="47"/>
        <v>0</v>
      </c>
      <c r="V160" s="1314">
        <f t="shared" si="48"/>
        <v>0</v>
      </c>
      <c r="W160" s="1311"/>
      <c r="X160" s="1314">
        <f t="shared" si="49"/>
        <v>0</v>
      </c>
      <c r="Y160" s="1314">
        <f t="shared" si="50"/>
        <v>0</v>
      </c>
      <c r="Z160" s="1311"/>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1</v>
      </c>
      <c r="R161" s="703">
        <f t="shared" si="51"/>
        <v>0</v>
      </c>
      <c r="S161" s="334">
        <f t="shared" si="52"/>
        <v>0</v>
      </c>
      <c r="T161" s="1182">
        <f t="shared" si="53"/>
        <v>0</v>
      </c>
      <c r="U161" s="1314">
        <f t="shared" si="47"/>
        <v>0</v>
      </c>
      <c r="V161" s="1314">
        <f t="shared" si="48"/>
        <v>0</v>
      </c>
      <c r="W161" s="1311"/>
      <c r="X161" s="1314">
        <f t="shared" si="49"/>
        <v>0</v>
      </c>
      <c r="Y161" s="1314">
        <f t="shared" si="50"/>
        <v>0</v>
      </c>
      <c r="Z161" s="1311"/>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1</v>
      </c>
      <c r="R162" s="703">
        <f t="shared" si="51"/>
        <v>0</v>
      </c>
      <c r="S162" s="334">
        <f t="shared" si="52"/>
        <v>0</v>
      </c>
      <c r="T162" s="1182">
        <f t="shared" si="53"/>
        <v>0</v>
      </c>
      <c r="U162" s="1314">
        <f t="shared" si="47"/>
        <v>0</v>
      </c>
      <c r="V162" s="1314">
        <f t="shared" si="48"/>
        <v>0</v>
      </c>
      <c r="W162" s="1311"/>
      <c r="X162" s="1314">
        <f t="shared" si="49"/>
        <v>0</v>
      </c>
      <c r="Y162" s="1314">
        <f t="shared" si="50"/>
        <v>0</v>
      </c>
      <c r="Z162" s="1311"/>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1</v>
      </c>
      <c r="R163" s="703">
        <f t="shared" si="51"/>
        <v>0</v>
      </c>
      <c r="S163" s="334">
        <f t="shared" si="52"/>
        <v>0</v>
      </c>
      <c r="T163" s="1182">
        <f t="shared" si="53"/>
        <v>0</v>
      </c>
      <c r="U163" s="1314">
        <f t="shared" si="47"/>
        <v>0</v>
      </c>
      <c r="V163" s="1314">
        <f t="shared" si="48"/>
        <v>0</v>
      </c>
      <c r="W163" s="1311"/>
      <c r="X163" s="1314">
        <f t="shared" si="49"/>
        <v>0</v>
      </c>
      <c r="Y163" s="1314">
        <f t="shared" si="50"/>
        <v>0</v>
      </c>
      <c r="Z163" s="1311"/>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1</v>
      </c>
      <c r="R164" s="703">
        <f t="shared" si="51"/>
        <v>0</v>
      </c>
      <c r="S164" s="334">
        <f t="shared" si="52"/>
        <v>0</v>
      </c>
      <c r="T164" s="1182">
        <f t="shared" si="53"/>
        <v>0</v>
      </c>
      <c r="U164" s="1314">
        <f t="shared" si="47"/>
        <v>0</v>
      </c>
      <c r="V164" s="1314">
        <f t="shared" si="48"/>
        <v>0</v>
      </c>
      <c r="W164" s="1311"/>
      <c r="X164" s="1314">
        <f t="shared" si="49"/>
        <v>0</v>
      </c>
      <c r="Y164" s="1314">
        <f t="shared" si="50"/>
        <v>0</v>
      </c>
      <c r="Z164" s="1311"/>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1</v>
      </c>
      <c r="R165" s="703">
        <f t="shared" si="51"/>
        <v>0</v>
      </c>
      <c r="S165" s="334">
        <f t="shared" si="52"/>
        <v>0</v>
      </c>
      <c r="T165" s="1182">
        <f t="shared" si="53"/>
        <v>0</v>
      </c>
      <c r="U165" s="1314">
        <f t="shared" si="47"/>
        <v>0</v>
      </c>
      <c r="V165" s="1314">
        <f t="shared" si="48"/>
        <v>0</v>
      </c>
      <c r="W165" s="1311"/>
      <c r="X165" s="1314">
        <f t="shared" si="49"/>
        <v>0</v>
      </c>
      <c r="Y165" s="1314">
        <f t="shared" si="50"/>
        <v>0</v>
      </c>
      <c r="Z165" s="1311"/>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1</v>
      </c>
      <c r="R166" s="703">
        <f t="shared" si="51"/>
        <v>0</v>
      </c>
      <c r="S166" s="334">
        <f t="shared" si="52"/>
        <v>0</v>
      </c>
      <c r="T166" s="1182">
        <f t="shared" si="53"/>
        <v>0</v>
      </c>
      <c r="U166" s="1314">
        <f t="shared" si="47"/>
        <v>0</v>
      </c>
      <c r="V166" s="1314">
        <f t="shared" si="48"/>
        <v>0</v>
      </c>
      <c r="W166" s="1311"/>
      <c r="X166" s="1314">
        <f t="shared" si="49"/>
        <v>0</v>
      </c>
      <c r="Y166" s="1314">
        <f t="shared" si="50"/>
        <v>0</v>
      </c>
      <c r="Z166" s="1311"/>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1</v>
      </c>
      <c r="R167" s="703">
        <f t="shared" si="51"/>
        <v>0</v>
      </c>
      <c r="S167" s="334">
        <f t="shared" si="52"/>
        <v>0</v>
      </c>
      <c r="T167" s="1182">
        <f t="shared" si="53"/>
        <v>0</v>
      </c>
      <c r="U167" s="1314">
        <f t="shared" si="47"/>
        <v>0</v>
      </c>
      <c r="V167" s="1314">
        <f t="shared" si="48"/>
        <v>0</v>
      </c>
      <c r="W167" s="1311"/>
      <c r="X167" s="1314">
        <f t="shared" si="49"/>
        <v>0</v>
      </c>
      <c r="Y167" s="1314">
        <f t="shared" si="50"/>
        <v>0</v>
      </c>
      <c r="Z167" s="1311"/>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1</v>
      </c>
      <c r="R168" s="703">
        <f t="shared" si="51"/>
        <v>0</v>
      </c>
      <c r="S168" s="334">
        <f t="shared" si="52"/>
        <v>0</v>
      </c>
      <c r="T168" s="1182">
        <f t="shared" si="53"/>
        <v>0</v>
      </c>
      <c r="U168" s="1314">
        <f t="shared" si="47"/>
        <v>0</v>
      </c>
      <c r="V168" s="1314">
        <f t="shared" si="48"/>
        <v>0</v>
      </c>
      <c r="W168" s="1311"/>
      <c r="X168" s="1314">
        <f t="shared" si="49"/>
        <v>0</v>
      </c>
      <c r="Y168" s="1314">
        <f t="shared" si="50"/>
        <v>0</v>
      </c>
      <c r="Z168" s="1311"/>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1</v>
      </c>
      <c r="R169" s="703">
        <f t="shared" si="51"/>
        <v>0</v>
      </c>
      <c r="S169" s="334">
        <f t="shared" si="52"/>
        <v>0</v>
      </c>
      <c r="T169" s="1182">
        <f t="shared" si="53"/>
        <v>0</v>
      </c>
      <c r="U169" s="1314">
        <f t="shared" si="47"/>
        <v>0</v>
      </c>
      <c r="V169" s="1314">
        <f t="shared" si="48"/>
        <v>0</v>
      </c>
      <c r="W169" s="1311"/>
      <c r="X169" s="1314">
        <f t="shared" si="49"/>
        <v>0</v>
      </c>
      <c r="Y169" s="1314">
        <f t="shared" si="50"/>
        <v>0</v>
      </c>
      <c r="Z169" s="1311"/>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1</v>
      </c>
      <c r="R170" s="703">
        <f t="shared" si="51"/>
        <v>0</v>
      </c>
      <c r="S170" s="334">
        <f t="shared" si="52"/>
        <v>0</v>
      </c>
      <c r="T170" s="1182">
        <f t="shared" si="53"/>
        <v>0</v>
      </c>
      <c r="U170" s="1314">
        <f t="shared" si="47"/>
        <v>0</v>
      </c>
      <c r="V170" s="1314">
        <f t="shared" si="48"/>
        <v>0</v>
      </c>
      <c r="W170" s="1311"/>
      <c r="X170" s="1314">
        <f t="shared" si="49"/>
        <v>0</v>
      </c>
      <c r="Y170" s="1314">
        <f t="shared" si="50"/>
        <v>0</v>
      </c>
      <c r="Z170" s="1311"/>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1</v>
      </c>
      <c r="R171" s="703">
        <f t="shared" si="51"/>
        <v>0</v>
      </c>
      <c r="S171" s="334">
        <f t="shared" si="52"/>
        <v>0</v>
      </c>
      <c r="T171" s="1182">
        <f t="shared" si="53"/>
        <v>0</v>
      </c>
      <c r="U171" s="1314">
        <f t="shared" si="47"/>
        <v>0</v>
      </c>
      <c r="V171" s="1314">
        <f t="shared" si="48"/>
        <v>0</v>
      </c>
      <c r="W171" s="1311"/>
      <c r="X171" s="1314">
        <f t="shared" si="49"/>
        <v>0</v>
      </c>
      <c r="Y171" s="1314">
        <f t="shared" si="50"/>
        <v>0</v>
      </c>
      <c r="Z171" s="1311"/>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1</v>
      </c>
      <c r="R172" s="703">
        <f t="shared" si="51"/>
        <v>0</v>
      </c>
      <c r="S172" s="334">
        <f t="shared" si="52"/>
        <v>0</v>
      </c>
      <c r="T172" s="1182">
        <f t="shared" si="53"/>
        <v>0</v>
      </c>
      <c r="U172" s="1314">
        <f t="shared" si="47"/>
        <v>0</v>
      </c>
      <c r="V172" s="1314">
        <f t="shared" si="48"/>
        <v>0</v>
      </c>
      <c r="W172" s="1311"/>
      <c r="X172" s="1314">
        <f t="shared" si="49"/>
        <v>0</v>
      </c>
      <c r="Y172" s="1314">
        <f t="shared" si="50"/>
        <v>0</v>
      </c>
      <c r="Z172" s="1311"/>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1</v>
      </c>
      <c r="R173" s="703">
        <f t="shared" si="51"/>
        <v>0</v>
      </c>
      <c r="S173" s="334">
        <f t="shared" si="52"/>
        <v>0</v>
      </c>
      <c r="T173" s="1182">
        <f t="shared" si="53"/>
        <v>0</v>
      </c>
      <c r="U173" s="1314">
        <f t="shared" si="47"/>
        <v>0</v>
      </c>
      <c r="V173" s="1314">
        <f t="shared" si="48"/>
        <v>0</v>
      </c>
      <c r="W173" s="1311"/>
      <c r="X173" s="1314">
        <f t="shared" si="49"/>
        <v>0</v>
      </c>
      <c r="Y173" s="1314">
        <f t="shared" si="50"/>
        <v>0</v>
      </c>
      <c r="Z173" s="1311"/>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1</v>
      </c>
      <c r="R174" s="703">
        <f t="shared" si="51"/>
        <v>0</v>
      </c>
      <c r="S174" s="334">
        <f t="shared" si="52"/>
        <v>0</v>
      </c>
      <c r="T174" s="1182">
        <f t="shared" si="53"/>
        <v>0</v>
      </c>
      <c r="U174" s="1314">
        <f t="shared" si="47"/>
        <v>0</v>
      </c>
      <c r="V174" s="1314">
        <f t="shared" si="48"/>
        <v>0</v>
      </c>
      <c r="W174" s="1311"/>
      <c r="X174" s="1314">
        <f t="shared" si="49"/>
        <v>0</v>
      </c>
      <c r="Y174" s="1314">
        <f t="shared" si="50"/>
        <v>0</v>
      </c>
      <c r="Z174" s="1311"/>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1</v>
      </c>
      <c r="R175" s="703">
        <f t="shared" si="51"/>
        <v>0</v>
      </c>
      <c r="S175" s="334">
        <f t="shared" si="52"/>
        <v>0</v>
      </c>
      <c r="T175" s="1182">
        <f t="shared" si="53"/>
        <v>0</v>
      </c>
      <c r="U175" s="1314">
        <f t="shared" si="47"/>
        <v>0</v>
      </c>
      <c r="V175" s="1314">
        <f t="shared" si="48"/>
        <v>0</v>
      </c>
      <c r="W175" s="1311"/>
      <c r="X175" s="1314">
        <f t="shared" si="49"/>
        <v>0</v>
      </c>
      <c r="Y175" s="1314">
        <f t="shared" si="50"/>
        <v>0</v>
      </c>
      <c r="Z175" s="1311"/>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1</v>
      </c>
      <c r="R176" s="703">
        <f t="shared" si="51"/>
        <v>0</v>
      </c>
      <c r="S176" s="334">
        <f t="shared" si="52"/>
        <v>0</v>
      </c>
      <c r="T176" s="1182">
        <f t="shared" si="53"/>
        <v>0</v>
      </c>
      <c r="U176" s="1314">
        <f t="shared" si="47"/>
        <v>0</v>
      </c>
      <c r="V176" s="1314">
        <f t="shared" si="48"/>
        <v>0</v>
      </c>
      <c r="W176" s="1311"/>
      <c r="X176" s="1314">
        <f t="shared" si="49"/>
        <v>0</v>
      </c>
      <c r="Y176" s="1314">
        <f t="shared" si="50"/>
        <v>0</v>
      </c>
      <c r="Z176" s="1311"/>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1</v>
      </c>
      <c r="R177" s="703">
        <f t="shared" si="51"/>
        <v>0</v>
      </c>
      <c r="S177" s="334">
        <f t="shared" si="52"/>
        <v>0</v>
      </c>
      <c r="T177" s="1182">
        <f t="shared" si="53"/>
        <v>0</v>
      </c>
      <c r="U177" s="1314">
        <f t="shared" si="47"/>
        <v>0</v>
      </c>
      <c r="V177" s="1314">
        <f t="shared" si="48"/>
        <v>0</v>
      </c>
      <c r="W177" s="1311"/>
      <c r="X177" s="1314">
        <f t="shared" si="49"/>
        <v>0</v>
      </c>
      <c r="Y177" s="1314">
        <f t="shared" si="50"/>
        <v>0</v>
      </c>
      <c r="Z177" s="1311"/>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1</v>
      </c>
      <c r="R178" s="703">
        <f t="shared" si="51"/>
        <v>0</v>
      </c>
      <c r="S178" s="334">
        <f t="shared" si="52"/>
        <v>0</v>
      </c>
      <c r="T178" s="1182">
        <f t="shared" si="53"/>
        <v>0</v>
      </c>
      <c r="U178" s="1314">
        <f t="shared" si="47"/>
        <v>0</v>
      </c>
      <c r="V178" s="1314">
        <f t="shared" si="48"/>
        <v>0</v>
      </c>
      <c r="W178" s="1311"/>
      <c r="X178" s="1314">
        <f t="shared" si="49"/>
        <v>0</v>
      </c>
      <c r="Y178" s="1314">
        <f t="shared" si="50"/>
        <v>0</v>
      </c>
      <c r="Z178" s="1311"/>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1</v>
      </c>
      <c r="R179" s="703">
        <f t="shared" si="51"/>
        <v>0</v>
      </c>
      <c r="S179" s="334">
        <f t="shared" si="52"/>
        <v>0</v>
      </c>
      <c r="T179" s="1182">
        <f t="shared" si="53"/>
        <v>0</v>
      </c>
      <c r="U179" s="1314">
        <f t="shared" si="47"/>
        <v>0</v>
      </c>
      <c r="V179" s="1314">
        <f t="shared" si="48"/>
        <v>0</v>
      </c>
      <c r="W179" s="1311"/>
      <c r="X179" s="1314">
        <f t="shared" si="49"/>
        <v>0</v>
      </c>
      <c r="Y179" s="1314">
        <f t="shared" si="50"/>
        <v>0</v>
      </c>
      <c r="Z179" s="1311"/>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1</v>
      </c>
      <c r="R180" s="703">
        <f t="shared" si="51"/>
        <v>0</v>
      </c>
      <c r="S180" s="334">
        <f t="shared" si="52"/>
        <v>0</v>
      </c>
      <c r="T180" s="1182">
        <f t="shared" si="53"/>
        <v>0</v>
      </c>
      <c r="U180" s="1314">
        <f t="shared" si="47"/>
        <v>0</v>
      </c>
      <c r="V180" s="1314">
        <f t="shared" si="48"/>
        <v>0</v>
      </c>
      <c r="W180" s="1311"/>
      <c r="X180" s="1314">
        <f t="shared" si="49"/>
        <v>0</v>
      </c>
      <c r="Y180" s="1314">
        <f t="shared" si="50"/>
        <v>0</v>
      </c>
      <c r="Z180" s="1311"/>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1</v>
      </c>
      <c r="R181" s="703">
        <f t="shared" si="51"/>
        <v>0</v>
      </c>
      <c r="S181" s="334">
        <f t="shared" si="52"/>
        <v>0</v>
      </c>
      <c r="T181" s="1182">
        <f t="shared" si="53"/>
        <v>0</v>
      </c>
      <c r="U181" s="1314">
        <f t="shared" si="47"/>
        <v>0</v>
      </c>
      <c r="V181" s="1314">
        <f t="shared" si="48"/>
        <v>0</v>
      </c>
      <c r="W181" s="1311"/>
      <c r="X181" s="1314">
        <f t="shared" si="49"/>
        <v>0</v>
      </c>
      <c r="Y181" s="1314">
        <f t="shared" si="50"/>
        <v>0</v>
      </c>
      <c r="Z181" s="1311"/>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1</v>
      </c>
      <c r="R182" s="703">
        <f t="shared" si="51"/>
        <v>0</v>
      </c>
      <c r="S182" s="334">
        <f t="shared" si="52"/>
        <v>0</v>
      </c>
      <c r="T182" s="1182">
        <f t="shared" si="53"/>
        <v>0</v>
      </c>
      <c r="U182" s="1314">
        <f t="shared" si="47"/>
        <v>0</v>
      </c>
      <c r="V182" s="1314">
        <f t="shared" si="48"/>
        <v>0</v>
      </c>
      <c r="W182" s="1311"/>
      <c r="X182" s="1314">
        <f t="shared" si="49"/>
        <v>0</v>
      </c>
      <c r="Y182" s="1314">
        <f t="shared" si="50"/>
        <v>0</v>
      </c>
      <c r="Z182" s="1311"/>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1</v>
      </c>
      <c r="R183" s="703">
        <f t="shared" si="51"/>
        <v>0</v>
      </c>
      <c r="S183" s="334">
        <f t="shared" si="52"/>
        <v>0</v>
      </c>
      <c r="T183" s="1182">
        <f t="shared" si="53"/>
        <v>0</v>
      </c>
      <c r="U183" s="1314">
        <f t="shared" si="47"/>
        <v>0</v>
      </c>
      <c r="V183" s="1314">
        <f t="shared" si="48"/>
        <v>0</v>
      </c>
      <c r="W183" s="1311"/>
      <c r="X183" s="1314">
        <f t="shared" si="49"/>
        <v>0</v>
      </c>
      <c r="Y183" s="1314">
        <f t="shared" si="50"/>
        <v>0</v>
      </c>
      <c r="Z183" s="1311"/>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1</v>
      </c>
      <c r="R184" s="703">
        <f t="shared" si="51"/>
        <v>0</v>
      </c>
      <c r="S184" s="334">
        <f t="shared" si="52"/>
        <v>0</v>
      </c>
      <c r="T184" s="1182">
        <f t="shared" si="53"/>
        <v>0</v>
      </c>
      <c r="U184" s="1314">
        <f t="shared" si="47"/>
        <v>0</v>
      </c>
      <c r="V184" s="1314">
        <f t="shared" si="48"/>
        <v>0</v>
      </c>
      <c r="W184" s="1311"/>
      <c r="X184" s="1314">
        <f t="shared" si="49"/>
        <v>0</v>
      </c>
      <c r="Y184" s="1314">
        <f t="shared" si="50"/>
        <v>0</v>
      </c>
      <c r="Z184" s="1311"/>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1</v>
      </c>
      <c r="R185" s="703">
        <f t="shared" si="51"/>
        <v>0</v>
      </c>
      <c r="S185" s="334">
        <f t="shared" si="52"/>
        <v>0</v>
      </c>
      <c r="T185" s="1182">
        <f t="shared" si="53"/>
        <v>0</v>
      </c>
      <c r="U185" s="1314">
        <f t="shared" si="47"/>
        <v>0</v>
      </c>
      <c r="V185" s="1314">
        <f t="shared" si="48"/>
        <v>0</v>
      </c>
      <c r="W185" s="1311"/>
      <c r="X185" s="1314">
        <f t="shared" si="49"/>
        <v>0</v>
      </c>
      <c r="Y185" s="1314">
        <f t="shared" si="50"/>
        <v>0</v>
      </c>
      <c r="Z185" s="1311"/>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1</v>
      </c>
      <c r="R186" s="703">
        <f t="shared" si="51"/>
        <v>0</v>
      </c>
      <c r="S186" s="334">
        <f t="shared" si="52"/>
        <v>0</v>
      </c>
      <c r="T186" s="1182">
        <f t="shared" si="53"/>
        <v>0</v>
      </c>
      <c r="U186" s="1314">
        <f t="shared" si="47"/>
        <v>0</v>
      </c>
      <c r="V186" s="1314">
        <f t="shared" si="48"/>
        <v>0</v>
      </c>
      <c r="W186" s="1311"/>
      <c r="X186" s="1314">
        <f t="shared" si="49"/>
        <v>0</v>
      </c>
      <c r="Y186" s="1314">
        <f t="shared" si="50"/>
        <v>0</v>
      </c>
      <c r="Z186" s="1311"/>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1</v>
      </c>
      <c r="R187" s="703">
        <f t="shared" si="51"/>
        <v>0</v>
      </c>
      <c r="S187" s="334">
        <f t="shared" si="52"/>
        <v>0</v>
      </c>
      <c r="T187" s="1182">
        <f t="shared" si="53"/>
        <v>0</v>
      </c>
      <c r="U187" s="1314">
        <f t="shared" si="47"/>
        <v>0</v>
      </c>
      <c r="V187" s="1314">
        <f t="shared" si="48"/>
        <v>0</v>
      </c>
      <c r="W187" s="1311"/>
      <c r="X187" s="1314">
        <f t="shared" si="49"/>
        <v>0</v>
      </c>
      <c r="Y187" s="1314">
        <f t="shared" si="50"/>
        <v>0</v>
      </c>
      <c r="Z187" s="1311"/>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1</v>
      </c>
      <c r="R188" s="703">
        <f t="shared" si="51"/>
        <v>0</v>
      </c>
      <c r="S188" s="334">
        <f t="shared" si="52"/>
        <v>0</v>
      </c>
      <c r="T188" s="1182">
        <f t="shared" si="53"/>
        <v>0</v>
      </c>
      <c r="U188" s="1314">
        <f t="shared" si="47"/>
        <v>0</v>
      </c>
      <c r="V188" s="1314">
        <f t="shared" si="48"/>
        <v>0</v>
      </c>
      <c r="W188" s="1311"/>
      <c r="X188" s="1314">
        <f t="shared" si="49"/>
        <v>0</v>
      </c>
      <c r="Y188" s="1314">
        <f t="shared" si="50"/>
        <v>0</v>
      </c>
      <c r="Z188" s="1311"/>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1</v>
      </c>
      <c r="R189" s="703">
        <f t="shared" si="51"/>
        <v>0</v>
      </c>
      <c r="S189" s="334">
        <f t="shared" si="52"/>
        <v>0</v>
      </c>
      <c r="T189" s="1182">
        <f t="shared" si="53"/>
        <v>0</v>
      </c>
      <c r="U189" s="1314">
        <f t="shared" si="47"/>
        <v>0</v>
      </c>
      <c r="V189" s="1314">
        <f t="shared" si="48"/>
        <v>0</v>
      </c>
      <c r="W189" s="1311"/>
      <c r="X189" s="1314">
        <f t="shared" si="49"/>
        <v>0</v>
      </c>
      <c r="Y189" s="1314">
        <f t="shared" si="50"/>
        <v>0</v>
      </c>
      <c r="Z189" s="1311"/>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1</v>
      </c>
      <c r="R190" s="703">
        <f t="shared" si="51"/>
        <v>0</v>
      </c>
      <c r="S190" s="334">
        <f t="shared" si="52"/>
        <v>0</v>
      </c>
      <c r="T190" s="1182">
        <f t="shared" si="53"/>
        <v>0</v>
      </c>
      <c r="U190" s="1314">
        <f t="shared" si="47"/>
        <v>0</v>
      </c>
      <c r="V190" s="1314">
        <f t="shared" si="48"/>
        <v>0</v>
      </c>
      <c r="W190" s="1311"/>
      <c r="X190" s="1314">
        <f t="shared" si="49"/>
        <v>0</v>
      </c>
      <c r="Y190" s="1314">
        <f t="shared" si="50"/>
        <v>0</v>
      </c>
      <c r="Z190" s="1311"/>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1</v>
      </c>
      <c r="R191" s="703">
        <f t="shared" si="51"/>
        <v>0</v>
      </c>
      <c r="S191" s="334">
        <f t="shared" si="52"/>
        <v>0</v>
      </c>
      <c r="T191" s="1182">
        <f t="shared" si="53"/>
        <v>0</v>
      </c>
      <c r="U191" s="1314">
        <f t="shared" si="47"/>
        <v>0</v>
      </c>
      <c r="V191" s="1314">
        <f t="shared" si="48"/>
        <v>0</v>
      </c>
      <c r="W191" s="1311"/>
      <c r="X191" s="1314">
        <f t="shared" si="49"/>
        <v>0</v>
      </c>
      <c r="Y191" s="1314">
        <f t="shared" si="50"/>
        <v>0</v>
      </c>
      <c r="Z191" s="1311"/>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1</v>
      </c>
      <c r="R192" s="703">
        <f t="shared" si="51"/>
        <v>0</v>
      </c>
      <c r="S192" s="334">
        <f t="shared" si="52"/>
        <v>0</v>
      </c>
      <c r="T192" s="1182">
        <f t="shared" si="53"/>
        <v>0</v>
      </c>
      <c r="U192" s="1314">
        <f t="shared" si="47"/>
        <v>0</v>
      </c>
      <c r="V192" s="1314">
        <f t="shared" si="48"/>
        <v>0</v>
      </c>
      <c r="W192" s="1311"/>
      <c r="X192" s="1314">
        <f t="shared" si="49"/>
        <v>0</v>
      </c>
      <c r="Y192" s="1314">
        <f t="shared" si="50"/>
        <v>0</v>
      </c>
      <c r="Z192" s="1311"/>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1</v>
      </c>
      <c r="R193" s="703">
        <f t="shared" si="51"/>
        <v>0</v>
      </c>
      <c r="S193" s="334">
        <f t="shared" si="52"/>
        <v>0</v>
      </c>
      <c r="T193" s="1182">
        <f t="shared" si="53"/>
        <v>0</v>
      </c>
      <c r="U193" s="1314">
        <f t="shared" si="47"/>
        <v>0</v>
      </c>
      <c r="V193" s="1314">
        <f t="shared" si="48"/>
        <v>0</v>
      </c>
      <c r="W193" s="1311"/>
      <c r="X193" s="1314">
        <f t="shared" si="49"/>
        <v>0</v>
      </c>
      <c r="Y193" s="1314">
        <f t="shared" si="50"/>
        <v>0</v>
      </c>
      <c r="Z193" s="1311"/>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1</v>
      </c>
      <c r="R194" s="703">
        <f t="shared" si="51"/>
        <v>0</v>
      </c>
      <c r="S194" s="334">
        <f t="shared" si="52"/>
        <v>0</v>
      </c>
      <c r="T194" s="1182">
        <f t="shared" si="53"/>
        <v>0</v>
      </c>
      <c r="U194" s="1314">
        <f t="shared" si="47"/>
        <v>0</v>
      </c>
      <c r="V194" s="1314">
        <f t="shared" si="48"/>
        <v>0</v>
      </c>
      <c r="W194" s="1311"/>
      <c r="X194" s="1314">
        <f t="shared" si="49"/>
        <v>0</v>
      </c>
      <c r="Y194" s="1314">
        <f t="shared" si="50"/>
        <v>0</v>
      </c>
      <c r="Z194" s="1311"/>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1</v>
      </c>
      <c r="R195" s="703">
        <f t="shared" si="51"/>
        <v>0</v>
      </c>
      <c r="S195" s="334">
        <f t="shared" si="52"/>
        <v>0</v>
      </c>
      <c r="T195" s="1182">
        <f t="shared" si="53"/>
        <v>0</v>
      </c>
      <c r="U195" s="1314">
        <f t="shared" si="47"/>
        <v>0</v>
      </c>
      <c r="V195" s="1314">
        <f t="shared" si="48"/>
        <v>0</v>
      </c>
      <c r="W195" s="1311"/>
      <c r="X195" s="1314">
        <f t="shared" si="49"/>
        <v>0</v>
      </c>
      <c r="Y195" s="1314">
        <f t="shared" si="50"/>
        <v>0</v>
      </c>
      <c r="Z195" s="1311"/>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1</v>
      </c>
      <c r="R196" s="703">
        <f t="shared" si="51"/>
        <v>0</v>
      </c>
      <c r="S196" s="334">
        <f t="shared" si="52"/>
        <v>0</v>
      </c>
      <c r="T196" s="1182">
        <f t="shared" si="53"/>
        <v>0</v>
      </c>
      <c r="U196" s="1314">
        <f t="shared" si="47"/>
        <v>0</v>
      </c>
      <c r="V196" s="1314">
        <f t="shared" si="48"/>
        <v>0</v>
      </c>
      <c r="W196" s="1311"/>
      <c r="X196" s="1314">
        <f t="shared" si="49"/>
        <v>0</v>
      </c>
      <c r="Y196" s="1314">
        <f t="shared" si="50"/>
        <v>0</v>
      </c>
      <c r="Z196" s="1311"/>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1</v>
      </c>
      <c r="R197" s="703">
        <f t="shared" si="51"/>
        <v>0</v>
      </c>
      <c r="S197" s="334">
        <f t="shared" si="52"/>
        <v>0</v>
      </c>
      <c r="T197" s="1182">
        <f t="shared" si="53"/>
        <v>0</v>
      </c>
      <c r="U197" s="1314">
        <f t="shared" si="47"/>
        <v>0</v>
      </c>
      <c r="V197" s="1314">
        <f t="shared" si="48"/>
        <v>0</v>
      </c>
      <c r="W197" s="1311"/>
      <c r="X197" s="1314">
        <f t="shared" si="49"/>
        <v>0</v>
      </c>
      <c r="Y197" s="1314">
        <f t="shared" si="50"/>
        <v>0</v>
      </c>
      <c r="Z197" s="1311"/>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1</v>
      </c>
      <c r="R198" s="703">
        <f t="shared" si="51"/>
        <v>0</v>
      </c>
      <c r="S198" s="334">
        <f t="shared" si="52"/>
        <v>0</v>
      </c>
      <c r="T198" s="1182">
        <f t="shared" si="53"/>
        <v>0</v>
      </c>
      <c r="U198" s="1314">
        <f t="shared" si="47"/>
        <v>0</v>
      </c>
      <c r="V198" s="1314">
        <f t="shared" si="48"/>
        <v>0</v>
      </c>
      <c r="W198" s="1311"/>
      <c r="X198" s="1314">
        <f t="shared" si="49"/>
        <v>0</v>
      </c>
      <c r="Y198" s="1314">
        <f t="shared" si="50"/>
        <v>0</v>
      </c>
      <c r="Z198" s="1311"/>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1</v>
      </c>
      <c r="R199" s="703">
        <f t="shared" si="51"/>
        <v>0</v>
      </c>
      <c r="S199" s="334">
        <f t="shared" si="52"/>
        <v>0</v>
      </c>
      <c r="T199" s="1182">
        <f t="shared" si="53"/>
        <v>0</v>
      </c>
      <c r="U199" s="1314">
        <f t="shared" si="47"/>
        <v>0</v>
      </c>
      <c r="V199" s="1314">
        <f t="shared" si="48"/>
        <v>0</v>
      </c>
      <c r="W199" s="1311"/>
      <c r="X199" s="1314">
        <f t="shared" si="49"/>
        <v>0</v>
      </c>
      <c r="Y199" s="1314">
        <f t="shared" si="50"/>
        <v>0</v>
      </c>
      <c r="Z199" s="1311"/>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1</v>
      </c>
      <c r="R200" s="703">
        <f t="shared" si="51"/>
        <v>0</v>
      </c>
      <c r="S200" s="334">
        <f t="shared" si="52"/>
        <v>0</v>
      </c>
      <c r="T200" s="1182">
        <f t="shared" si="53"/>
        <v>0</v>
      </c>
      <c r="U200" s="1314">
        <f t="shared" si="47"/>
        <v>0</v>
      </c>
      <c r="V200" s="1314">
        <f t="shared" si="48"/>
        <v>0</v>
      </c>
      <c r="W200" s="1311"/>
      <c r="X200" s="1314">
        <f t="shared" si="49"/>
        <v>0</v>
      </c>
      <c r="Y200" s="1314">
        <f t="shared" si="50"/>
        <v>0</v>
      </c>
      <c r="Z200" s="1311"/>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1</v>
      </c>
      <c r="R201" s="703">
        <f t="shared" si="51"/>
        <v>0</v>
      </c>
      <c r="S201" s="334">
        <f t="shared" si="52"/>
        <v>0</v>
      </c>
      <c r="T201" s="1182">
        <f t="shared" si="53"/>
        <v>0</v>
      </c>
      <c r="U201" s="1314">
        <f t="shared" si="47"/>
        <v>0</v>
      </c>
      <c r="V201" s="1314">
        <f t="shared" si="48"/>
        <v>0</v>
      </c>
      <c r="W201" s="1311"/>
      <c r="X201" s="1314">
        <f t="shared" si="49"/>
        <v>0</v>
      </c>
      <c r="Y201" s="1314">
        <f t="shared" si="50"/>
        <v>0</v>
      </c>
      <c r="Z201" s="1311"/>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1</v>
      </c>
      <c r="R202" s="703">
        <f t="shared" si="51"/>
        <v>0</v>
      </c>
      <c r="S202" s="334">
        <f t="shared" si="52"/>
        <v>0</v>
      </c>
      <c r="T202" s="1182">
        <f t="shared" si="53"/>
        <v>0</v>
      </c>
      <c r="U202" s="1314">
        <f t="shared" si="47"/>
        <v>0</v>
      </c>
      <c r="V202" s="1314">
        <f t="shared" si="48"/>
        <v>0</v>
      </c>
      <c r="W202" s="1311"/>
      <c r="X202" s="1314">
        <f t="shared" si="49"/>
        <v>0</v>
      </c>
      <c r="Y202" s="1314">
        <f t="shared" si="50"/>
        <v>0</v>
      </c>
      <c r="Z202" s="1311"/>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1</v>
      </c>
      <c r="R203" s="703">
        <f t="shared" si="51"/>
        <v>0</v>
      </c>
      <c r="S203" s="334">
        <f t="shared" si="52"/>
        <v>0</v>
      </c>
      <c r="T203" s="1182">
        <f t="shared" si="53"/>
        <v>0</v>
      </c>
      <c r="U203" s="1314">
        <f t="shared" si="47"/>
        <v>0</v>
      </c>
      <c r="V203" s="1314">
        <f t="shared" si="48"/>
        <v>0</v>
      </c>
      <c r="W203" s="1311"/>
      <c r="X203" s="1314">
        <f t="shared" si="49"/>
        <v>0</v>
      </c>
      <c r="Y203" s="1314">
        <f t="shared" si="50"/>
        <v>0</v>
      </c>
      <c r="Z203" s="1311"/>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1</v>
      </c>
      <c r="R204" s="703">
        <f t="shared" si="51"/>
        <v>0</v>
      </c>
      <c r="S204" s="334">
        <f t="shared" si="52"/>
        <v>0</v>
      </c>
      <c r="T204" s="1182">
        <f t="shared" si="53"/>
        <v>0</v>
      </c>
      <c r="U204" s="1314">
        <f t="shared" si="47"/>
        <v>0</v>
      </c>
      <c r="V204" s="1314">
        <f t="shared" si="48"/>
        <v>0</v>
      </c>
      <c r="W204" s="1311"/>
      <c r="X204" s="1314">
        <f t="shared" si="49"/>
        <v>0</v>
      </c>
      <c r="Y204" s="1314">
        <f t="shared" si="50"/>
        <v>0</v>
      </c>
      <c r="Z204" s="1311"/>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1</v>
      </c>
      <c r="R205" s="703">
        <f t="shared" si="51"/>
        <v>0</v>
      </c>
      <c r="S205" s="334">
        <f t="shared" si="52"/>
        <v>0</v>
      </c>
      <c r="T205" s="1182">
        <f t="shared" si="53"/>
        <v>0</v>
      </c>
      <c r="U205" s="1314">
        <f t="shared" si="47"/>
        <v>0</v>
      </c>
      <c r="V205" s="1314">
        <f t="shared" si="48"/>
        <v>0</v>
      </c>
      <c r="W205" s="1311"/>
      <c r="X205" s="1314">
        <f t="shared" si="49"/>
        <v>0</v>
      </c>
      <c r="Y205" s="1314">
        <f t="shared" si="50"/>
        <v>0</v>
      </c>
      <c r="Z205" s="1311"/>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1</v>
      </c>
      <c r="R206" s="703">
        <f t="shared" si="51"/>
        <v>0</v>
      </c>
      <c r="S206" s="334">
        <f t="shared" si="52"/>
        <v>0</v>
      </c>
      <c r="T206" s="1182">
        <f t="shared" si="53"/>
        <v>0</v>
      </c>
      <c r="U206" s="1314">
        <f t="shared" si="47"/>
        <v>0</v>
      </c>
      <c r="V206" s="1314">
        <f t="shared" si="48"/>
        <v>0</v>
      </c>
      <c r="W206" s="1311"/>
      <c r="X206" s="1314">
        <f t="shared" si="49"/>
        <v>0</v>
      </c>
      <c r="Y206" s="1314">
        <f t="shared" si="50"/>
        <v>0</v>
      </c>
      <c r="Z206" s="1311"/>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1</v>
      </c>
      <c r="R207" s="703">
        <f t="shared" si="51"/>
        <v>0</v>
      </c>
      <c r="S207" s="334">
        <f t="shared" si="52"/>
        <v>0</v>
      </c>
      <c r="T207" s="1182">
        <f t="shared" si="53"/>
        <v>0</v>
      </c>
      <c r="U207" s="1314">
        <f t="shared" si="47"/>
        <v>0</v>
      </c>
      <c r="V207" s="1314">
        <f t="shared" si="48"/>
        <v>0</v>
      </c>
      <c r="W207" s="1311"/>
      <c r="X207" s="1314">
        <f t="shared" si="49"/>
        <v>0</v>
      </c>
      <c r="Y207" s="1314">
        <f t="shared" si="50"/>
        <v>0</v>
      </c>
      <c r="Z207" s="1311"/>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1</v>
      </c>
      <c r="R208" s="703">
        <f t="shared" si="51"/>
        <v>0</v>
      </c>
      <c r="S208" s="334">
        <f t="shared" si="52"/>
        <v>0</v>
      </c>
      <c r="T208" s="1182">
        <f t="shared" si="53"/>
        <v>0</v>
      </c>
      <c r="U208" s="1314">
        <f t="shared" si="47"/>
        <v>0</v>
      </c>
      <c r="V208" s="1314">
        <f t="shared" si="48"/>
        <v>0</v>
      </c>
      <c r="W208" s="1311"/>
      <c r="X208" s="1314">
        <f t="shared" si="49"/>
        <v>0</v>
      </c>
      <c r="Y208" s="1314">
        <f t="shared" si="50"/>
        <v>0</v>
      </c>
      <c r="Z208" s="1311"/>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1</v>
      </c>
      <c r="R209" s="703">
        <f t="shared" si="51"/>
        <v>0</v>
      </c>
      <c r="S209" s="334">
        <f t="shared" si="52"/>
        <v>0</v>
      </c>
      <c r="T209" s="1182">
        <f t="shared" si="53"/>
        <v>0</v>
      </c>
      <c r="U209" s="1314">
        <f t="shared" si="47"/>
        <v>0</v>
      </c>
      <c r="V209" s="1314">
        <f t="shared" si="48"/>
        <v>0</v>
      </c>
      <c r="W209" s="1311"/>
      <c r="X209" s="1314">
        <f t="shared" si="49"/>
        <v>0</v>
      </c>
      <c r="Y209" s="1314">
        <f t="shared" si="50"/>
        <v>0</v>
      </c>
      <c r="Z209" s="1311"/>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1</v>
      </c>
      <c r="R210" s="703">
        <f t="shared" si="51"/>
        <v>0</v>
      </c>
      <c r="S210" s="334">
        <f t="shared" si="52"/>
        <v>0</v>
      </c>
      <c r="T210" s="1182">
        <f t="shared" si="53"/>
        <v>0</v>
      </c>
      <c r="U210" s="1314">
        <f t="shared" si="47"/>
        <v>0</v>
      </c>
      <c r="V210" s="1314">
        <f t="shared" si="48"/>
        <v>0</v>
      </c>
      <c r="W210" s="1311"/>
      <c r="X210" s="1314">
        <f t="shared" si="49"/>
        <v>0</v>
      </c>
      <c r="Y210" s="1314">
        <f t="shared" si="50"/>
        <v>0</v>
      </c>
      <c r="Z210" s="1311"/>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1</v>
      </c>
      <c r="R211" s="703">
        <f t="shared" si="51"/>
        <v>0</v>
      </c>
      <c r="S211" s="334">
        <f t="shared" si="52"/>
        <v>0</v>
      </c>
      <c r="T211" s="1182">
        <f t="shared" si="53"/>
        <v>0</v>
      </c>
      <c r="U211" s="1314">
        <f t="shared" si="47"/>
        <v>0</v>
      </c>
      <c r="V211" s="1314">
        <f t="shared" si="48"/>
        <v>0</v>
      </c>
      <c r="W211" s="1311"/>
      <c r="X211" s="1314">
        <f t="shared" si="49"/>
        <v>0</v>
      </c>
      <c r="Y211" s="1314">
        <f t="shared" si="50"/>
        <v>0</v>
      </c>
      <c r="Z211" s="1311"/>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1</v>
      </c>
      <c r="R212" s="703">
        <f t="shared" si="51"/>
        <v>0</v>
      </c>
      <c r="S212" s="334">
        <f t="shared" si="52"/>
        <v>0</v>
      </c>
      <c r="T212" s="1182">
        <f t="shared" si="53"/>
        <v>0</v>
      </c>
      <c r="U212" s="1314">
        <f t="shared" si="47"/>
        <v>0</v>
      </c>
      <c r="V212" s="1314">
        <f t="shared" si="48"/>
        <v>0</v>
      </c>
      <c r="W212" s="1311"/>
      <c r="X212" s="1314">
        <f t="shared" si="49"/>
        <v>0</v>
      </c>
      <c r="Y212" s="1314">
        <f t="shared" si="50"/>
        <v>0</v>
      </c>
      <c r="Z212" s="1311"/>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1</v>
      </c>
      <c r="R213" s="703">
        <f t="shared" si="51"/>
        <v>0</v>
      </c>
      <c r="S213" s="334">
        <f t="shared" si="52"/>
        <v>0</v>
      </c>
      <c r="T213" s="1182">
        <f t="shared" si="53"/>
        <v>0</v>
      </c>
      <c r="U213" s="1314">
        <f t="shared" si="47"/>
        <v>0</v>
      </c>
      <c r="V213" s="1314">
        <f t="shared" si="48"/>
        <v>0</v>
      </c>
      <c r="W213" s="1311"/>
      <c r="X213" s="1314">
        <f t="shared" si="49"/>
        <v>0</v>
      </c>
      <c r="Y213" s="1314">
        <f t="shared" si="50"/>
        <v>0</v>
      </c>
      <c r="Z213" s="1311"/>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1</v>
      </c>
      <c r="R214" s="703">
        <f t="shared" si="51"/>
        <v>0</v>
      </c>
      <c r="S214" s="334">
        <f t="shared" si="52"/>
        <v>0</v>
      </c>
      <c r="T214" s="1182">
        <f t="shared" si="53"/>
        <v>0</v>
      </c>
      <c r="U214" s="1314">
        <f t="shared" si="47"/>
        <v>0</v>
      </c>
      <c r="V214" s="1314">
        <f t="shared" si="48"/>
        <v>0</v>
      </c>
      <c r="W214" s="1311"/>
      <c r="X214" s="1314">
        <f t="shared" si="49"/>
        <v>0</v>
      </c>
      <c r="Y214" s="1314">
        <f t="shared" si="50"/>
        <v>0</v>
      </c>
      <c r="Z214" s="1311"/>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1</v>
      </c>
      <c r="R215" s="703">
        <f t="shared" si="51"/>
        <v>0</v>
      </c>
      <c r="S215" s="334">
        <f t="shared" si="52"/>
        <v>0</v>
      </c>
      <c r="T215" s="1182">
        <f t="shared" si="53"/>
        <v>0</v>
      </c>
      <c r="U215" s="1314">
        <f t="shared" si="47"/>
        <v>0</v>
      </c>
      <c r="V215" s="1314">
        <f t="shared" si="48"/>
        <v>0</v>
      </c>
      <c r="W215" s="1311"/>
      <c r="X215" s="1314">
        <f t="shared" si="49"/>
        <v>0</v>
      </c>
      <c r="Y215" s="1314">
        <f t="shared" si="50"/>
        <v>0</v>
      </c>
      <c r="Z215" s="1311"/>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1</v>
      </c>
      <c r="R216" s="703">
        <f t="shared" si="51"/>
        <v>0</v>
      </c>
      <c r="S216" s="334">
        <f t="shared" si="52"/>
        <v>0</v>
      </c>
      <c r="T216" s="1182">
        <f t="shared" si="53"/>
        <v>0</v>
      </c>
      <c r="U216" s="1314">
        <f t="shared" si="47"/>
        <v>0</v>
      </c>
      <c r="V216" s="1314">
        <f t="shared" si="48"/>
        <v>0</v>
      </c>
      <c r="W216" s="1311"/>
      <c r="X216" s="1314">
        <f t="shared" si="49"/>
        <v>0</v>
      </c>
      <c r="Y216" s="1314">
        <f t="shared" si="50"/>
        <v>0</v>
      </c>
      <c r="Z216" s="1311"/>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1</v>
      </c>
      <c r="R217" s="703">
        <f t="shared" si="51"/>
        <v>0</v>
      </c>
      <c r="S217" s="334">
        <f t="shared" si="52"/>
        <v>0</v>
      </c>
      <c r="T217" s="1182">
        <f t="shared" si="53"/>
        <v>0</v>
      </c>
      <c r="U217" s="1314">
        <f t="shared" si="47"/>
        <v>0</v>
      </c>
      <c r="V217" s="1314">
        <f t="shared" si="48"/>
        <v>0</v>
      </c>
      <c r="W217" s="1311"/>
      <c r="X217" s="1314">
        <f t="shared" si="49"/>
        <v>0</v>
      </c>
      <c r="Y217" s="1314">
        <f t="shared" si="50"/>
        <v>0</v>
      </c>
      <c r="Z217" s="1311"/>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1</v>
      </c>
      <c r="R218" s="703">
        <f t="shared" si="51"/>
        <v>0</v>
      </c>
      <c r="S218" s="334">
        <f t="shared" si="52"/>
        <v>0</v>
      </c>
      <c r="T218" s="1182">
        <f t="shared" si="53"/>
        <v>0</v>
      </c>
      <c r="U218" s="1314">
        <f t="shared" si="47"/>
        <v>0</v>
      </c>
      <c r="V218" s="1314">
        <f t="shared" si="48"/>
        <v>0</v>
      </c>
      <c r="W218" s="1311"/>
      <c r="X218" s="1314">
        <f t="shared" si="49"/>
        <v>0</v>
      </c>
      <c r="Y218" s="1314">
        <f t="shared" si="50"/>
        <v>0</v>
      </c>
      <c r="Z218" s="1311"/>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1</v>
      </c>
      <c r="R219" s="703">
        <f t="shared" si="51"/>
        <v>0</v>
      </c>
      <c r="S219" s="334">
        <f t="shared" si="52"/>
        <v>0</v>
      </c>
      <c r="T219" s="1182">
        <f t="shared" si="53"/>
        <v>0</v>
      </c>
      <c r="U219" s="1314">
        <f t="shared" si="47"/>
        <v>0</v>
      </c>
      <c r="V219" s="1314">
        <f t="shared" si="48"/>
        <v>0</v>
      </c>
      <c r="W219" s="1311"/>
      <c r="X219" s="1314">
        <f t="shared" si="49"/>
        <v>0</v>
      </c>
      <c r="Y219" s="1314">
        <f t="shared" si="50"/>
        <v>0</v>
      </c>
      <c r="Z219" s="1311"/>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1</v>
      </c>
      <c r="R220" s="703">
        <f t="shared" si="51"/>
        <v>0</v>
      </c>
      <c r="S220" s="334">
        <f t="shared" si="52"/>
        <v>0</v>
      </c>
      <c r="T220" s="1182">
        <f t="shared" si="53"/>
        <v>0</v>
      </c>
      <c r="U220" s="1314">
        <f t="shared" ref="U220:U283" si="62">ROUND(W220*B220,0)</f>
        <v>0</v>
      </c>
      <c r="V220" s="1314">
        <f t="shared" ref="V220:V283" si="63">ROUND(W220*B220/10000,0)</f>
        <v>0</v>
      </c>
      <c r="W220" s="1311"/>
      <c r="X220" s="1314">
        <f t="shared" ref="X220:X283" si="64">ROUND(Z220*B220,0)</f>
        <v>0</v>
      </c>
      <c r="Y220" s="1314">
        <f t="shared" ref="Y220:Y283" si="65">ROUND(Z220*B220/10000,0)</f>
        <v>0</v>
      </c>
      <c r="Z220" s="1311"/>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1</v>
      </c>
      <c r="R221" s="703">
        <f t="shared" ref="R221:R284" si="66">IF(B221="",0,ROUND($R$27*C221*E221*G221*I221*K221*M221*O221*Q221,0))</f>
        <v>0</v>
      </c>
      <c r="S221" s="334">
        <f t="shared" ref="S221:S284" si="67">ROUND(R221*B221,0)</f>
        <v>0</v>
      </c>
      <c r="T221" s="1182">
        <f t="shared" ref="T221:T284" si="68">ROUND(R221*B221/10000,0)</f>
        <v>0</v>
      </c>
      <c r="U221" s="1314">
        <f t="shared" si="62"/>
        <v>0</v>
      </c>
      <c r="V221" s="1314">
        <f t="shared" si="63"/>
        <v>0</v>
      </c>
      <c r="W221" s="1311"/>
      <c r="X221" s="1314">
        <f t="shared" si="64"/>
        <v>0</v>
      </c>
      <c r="Y221" s="1314">
        <f t="shared" si="65"/>
        <v>0</v>
      </c>
      <c r="Z221" s="1311"/>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1</v>
      </c>
      <c r="R222" s="703">
        <f t="shared" si="66"/>
        <v>0</v>
      </c>
      <c r="S222" s="334">
        <f t="shared" si="67"/>
        <v>0</v>
      </c>
      <c r="T222" s="1182">
        <f t="shared" si="68"/>
        <v>0</v>
      </c>
      <c r="U222" s="1314">
        <f t="shared" si="62"/>
        <v>0</v>
      </c>
      <c r="V222" s="1314">
        <f t="shared" si="63"/>
        <v>0</v>
      </c>
      <c r="W222" s="1311"/>
      <c r="X222" s="1314">
        <f t="shared" si="64"/>
        <v>0</v>
      </c>
      <c r="Y222" s="1314">
        <f t="shared" si="65"/>
        <v>0</v>
      </c>
      <c r="Z222" s="1311"/>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1</v>
      </c>
      <c r="R223" s="703">
        <f t="shared" si="66"/>
        <v>0</v>
      </c>
      <c r="S223" s="334">
        <f t="shared" si="67"/>
        <v>0</v>
      </c>
      <c r="T223" s="1182">
        <f t="shared" si="68"/>
        <v>0</v>
      </c>
      <c r="U223" s="1314">
        <f t="shared" si="62"/>
        <v>0</v>
      </c>
      <c r="V223" s="1314">
        <f t="shared" si="63"/>
        <v>0</v>
      </c>
      <c r="W223" s="1311"/>
      <c r="X223" s="1314">
        <f t="shared" si="64"/>
        <v>0</v>
      </c>
      <c r="Y223" s="1314">
        <f t="shared" si="65"/>
        <v>0</v>
      </c>
      <c r="Z223" s="1311"/>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1</v>
      </c>
      <c r="R224" s="703">
        <f t="shared" si="66"/>
        <v>0</v>
      </c>
      <c r="S224" s="334">
        <f t="shared" si="67"/>
        <v>0</v>
      </c>
      <c r="T224" s="1182">
        <f t="shared" si="68"/>
        <v>0</v>
      </c>
      <c r="U224" s="1314">
        <f t="shared" si="62"/>
        <v>0</v>
      </c>
      <c r="V224" s="1314">
        <f t="shared" si="63"/>
        <v>0</v>
      </c>
      <c r="W224" s="1311"/>
      <c r="X224" s="1314">
        <f t="shared" si="64"/>
        <v>0</v>
      </c>
      <c r="Y224" s="1314">
        <f t="shared" si="65"/>
        <v>0</v>
      </c>
      <c r="Z224" s="1311"/>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1</v>
      </c>
      <c r="R225" s="703">
        <f t="shared" si="66"/>
        <v>0</v>
      </c>
      <c r="S225" s="334">
        <f t="shared" si="67"/>
        <v>0</v>
      </c>
      <c r="T225" s="1182">
        <f t="shared" si="68"/>
        <v>0</v>
      </c>
      <c r="U225" s="1314">
        <f t="shared" si="62"/>
        <v>0</v>
      </c>
      <c r="V225" s="1314">
        <f t="shared" si="63"/>
        <v>0</v>
      </c>
      <c r="W225" s="1311"/>
      <c r="X225" s="1314">
        <f t="shared" si="64"/>
        <v>0</v>
      </c>
      <c r="Y225" s="1314">
        <f t="shared" si="65"/>
        <v>0</v>
      </c>
      <c r="Z225" s="1311"/>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1</v>
      </c>
      <c r="R226" s="703">
        <f t="shared" si="66"/>
        <v>0</v>
      </c>
      <c r="S226" s="334">
        <f t="shared" si="67"/>
        <v>0</v>
      </c>
      <c r="T226" s="1182">
        <f t="shared" si="68"/>
        <v>0</v>
      </c>
      <c r="U226" s="1314">
        <f t="shared" si="62"/>
        <v>0</v>
      </c>
      <c r="V226" s="1314">
        <f t="shared" si="63"/>
        <v>0</v>
      </c>
      <c r="W226" s="1311"/>
      <c r="X226" s="1314">
        <f t="shared" si="64"/>
        <v>0</v>
      </c>
      <c r="Y226" s="1314">
        <f t="shared" si="65"/>
        <v>0</v>
      </c>
      <c r="Z226" s="1311"/>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1</v>
      </c>
      <c r="R227" s="703">
        <f t="shared" si="66"/>
        <v>0</v>
      </c>
      <c r="S227" s="334">
        <f t="shared" si="67"/>
        <v>0</v>
      </c>
      <c r="T227" s="1182">
        <f t="shared" si="68"/>
        <v>0</v>
      </c>
      <c r="U227" s="1314">
        <f t="shared" si="62"/>
        <v>0</v>
      </c>
      <c r="V227" s="1314">
        <f t="shared" si="63"/>
        <v>0</v>
      </c>
      <c r="W227" s="1311"/>
      <c r="X227" s="1314">
        <f t="shared" si="64"/>
        <v>0</v>
      </c>
      <c r="Y227" s="1314">
        <f t="shared" si="65"/>
        <v>0</v>
      </c>
      <c r="Z227" s="1311"/>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1</v>
      </c>
      <c r="R228" s="703">
        <f t="shared" si="66"/>
        <v>0</v>
      </c>
      <c r="S228" s="334">
        <f t="shared" si="67"/>
        <v>0</v>
      </c>
      <c r="T228" s="1182">
        <f t="shared" si="68"/>
        <v>0</v>
      </c>
      <c r="U228" s="1314">
        <f t="shared" si="62"/>
        <v>0</v>
      </c>
      <c r="V228" s="1314">
        <f t="shared" si="63"/>
        <v>0</v>
      </c>
      <c r="W228" s="1311"/>
      <c r="X228" s="1314">
        <f t="shared" si="64"/>
        <v>0</v>
      </c>
      <c r="Y228" s="1314">
        <f t="shared" si="65"/>
        <v>0</v>
      </c>
      <c r="Z228" s="1311"/>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1</v>
      </c>
      <c r="R229" s="703">
        <f t="shared" si="66"/>
        <v>0</v>
      </c>
      <c r="S229" s="334">
        <f t="shared" si="67"/>
        <v>0</v>
      </c>
      <c r="T229" s="1182">
        <f t="shared" si="68"/>
        <v>0</v>
      </c>
      <c r="U229" s="1314">
        <f t="shared" si="62"/>
        <v>0</v>
      </c>
      <c r="V229" s="1314">
        <f t="shared" si="63"/>
        <v>0</v>
      </c>
      <c r="W229" s="1311"/>
      <c r="X229" s="1314">
        <f t="shared" si="64"/>
        <v>0</v>
      </c>
      <c r="Y229" s="1314">
        <f t="shared" si="65"/>
        <v>0</v>
      </c>
      <c r="Z229" s="1311"/>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1</v>
      </c>
      <c r="R230" s="703">
        <f t="shared" si="66"/>
        <v>0</v>
      </c>
      <c r="S230" s="334">
        <f t="shared" si="67"/>
        <v>0</v>
      </c>
      <c r="T230" s="1182">
        <f t="shared" si="68"/>
        <v>0</v>
      </c>
      <c r="U230" s="1314">
        <f t="shared" si="62"/>
        <v>0</v>
      </c>
      <c r="V230" s="1314">
        <f t="shared" si="63"/>
        <v>0</v>
      </c>
      <c r="W230" s="1311"/>
      <c r="X230" s="1314">
        <f t="shared" si="64"/>
        <v>0</v>
      </c>
      <c r="Y230" s="1314">
        <f t="shared" si="65"/>
        <v>0</v>
      </c>
      <c r="Z230" s="1311"/>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1</v>
      </c>
      <c r="R231" s="703">
        <f t="shared" si="66"/>
        <v>0</v>
      </c>
      <c r="S231" s="334">
        <f t="shared" si="67"/>
        <v>0</v>
      </c>
      <c r="T231" s="1182">
        <f t="shared" si="68"/>
        <v>0</v>
      </c>
      <c r="U231" s="1314">
        <f t="shared" si="62"/>
        <v>0</v>
      </c>
      <c r="V231" s="1314">
        <f t="shared" si="63"/>
        <v>0</v>
      </c>
      <c r="W231" s="1311"/>
      <c r="X231" s="1314">
        <f t="shared" si="64"/>
        <v>0</v>
      </c>
      <c r="Y231" s="1314">
        <f t="shared" si="65"/>
        <v>0</v>
      </c>
      <c r="Z231" s="1311"/>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1</v>
      </c>
      <c r="R232" s="703">
        <f t="shared" si="66"/>
        <v>0</v>
      </c>
      <c r="S232" s="334">
        <f t="shared" si="67"/>
        <v>0</v>
      </c>
      <c r="T232" s="1182">
        <f t="shared" si="68"/>
        <v>0</v>
      </c>
      <c r="U232" s="1314">
        <f t="shared" si="62"/>
        <v>0</v>
      </c>
      <c r="V232" s="1314">
        <f t="shared" si="63"/>
        <v>0</v>
      </c>
      <c r="W232" s="1311"/>
      <c r="X232" s="1314">
        <f t="shared" si="64"/>
        <v>0</v>
      </c>
      <c r="Y232" s="1314">
        <f t="shared" si="65"/>
        <v>0</v>
      </c>
      <c r="Z232" s="1311"/>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1</v>
      </c>
      <c r="R233" s="703">
        <f t="shared" si="66"/>
        <v>0</v>
      </c>
      <c r="S233" s="334">
        <f t="shared" si="67"/>
        <v>0</v>
      </c>
      <c r="T233" s="1182">
        <f t="shared" si="68"/>
        <v>0</v>
      </c>
      <c r="U233" s="1314">
        <f t="shared" si="62"/>
        <v>0</v>
      </c>
      <c r="V233" s="1314">
        <f t="shared" si="63"/>
        <v>0</v>
      </c>
      <c r="W233" s="1311"/>
      <c r="X233" s="1314">
        <f t="shared" si="64"/>
        <v>0</v>
      </c>
      <c r="Y233" s="1314">
        <f t="shared" si="65"/>
        <v>0</v>
      </c>
      <c r="Z233" s="1311"/>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1</v>
      </c>
      <c r="R234" s="703">
        <f t="shared" si="66"/>
        <v>0</v>
      </c>
      <c r="S234" s="334">
        <f t="shared" si="67"/>
        <v>0</v>
      </c>
      <c r="T234" s="1182">
        <f t="shared" si="68"/>
        <v>0</v>
      </c>
      <c r="U234" s="1314">
        <f t="shared" si="62"/>
        <v>0</v>
      </c>
      <c r="V234" s="1314">
        <f t="shared" si="63"/>
        <v>0</v>
      </c>
      <c r="W234" s="1311"/>
      <c r="X234" s="1314">
        <f t="shared" si="64"/>
        <v>0</v>
      </c>
      <c r="Y234" s="1314">
        <f t="shared" si="65"/>
        <v>0</v>
      </c>
      <c r="Z234" s="1311"/>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1</v>
      </c>
      <c r="R235" s="703">
        <f t="shared" si="66"/>
        <v>0</v>
      </c>
      <c r="S235" s="334">
        <f t="shared" si="67"/>
        <v>0</v>
      </c>
      <c r="T235" s="1182">
        <f t="shared" si="68"/>
        <v>0</v>
      </c>
      <c r="U235" s="1314">
        <f t="shared" si="62"/>
        <v>0</v>
      </c>
      <c r="V235" s="1314">
        <f t="shared" si="63"/>
        <v>0</v>
      </c>
      <c r="W235" s="1311"/>
      <c r="X235" s="1314">
        <f t="shared" si="64"/>
        <v>0</v>
      </c>
      <c r="Y235" s="1314">
        <f t="shared" si="65"/>
        <v>0</v>
      </c>
      <c r="Z235" s="1311"/>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1</v>
      </c>
      <c r="R236" s="703">
        <f t="shared" si="66"/>
        <v>0</v>
      </c>
      <c r="S236" s="334">
        <f t="shared" si="67"/>
        <v>0</v>
      </c>
      <c r="T236" s="1182">
        <f t="shared" si="68"/>
        <v>0</v>
      </c>
      <c r="U236" s="1314">
        <f t="shared" si="62"/>
        <v>0</v>
      </c>
      <c r="V236" s="1314">
        <f t="shared" si="63"/>
        <v>0</v>
      </c>
      <c r="W236" s="1311"/>
      <c r="X236" s="1314">
        <f t="shared" si="64"/>
        <v>0</v>
      </c>
      <c r="Y236" s="1314">
        <f t="shared" si="65"/>
        <v>0</v>
      </c>
      <c r="Z236" s="1311"/>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1</v>
      </c>
      <c r="R237" s="703">
        <f t="shared" si="66"/>
        <v>0</v>
      </c>
      <c r="S237" s="334">
        <f t="shared" si="67"/>
        <v>0</v>
      </c>
      <c r="T237" s="1182">
        <f t="shared" si="68"/>
        <v>0</v>
      </c>
      <c r="U237" s="1314">
        <f t="shared" si="62"/>
        <v>0</v>
      </c>
      <c r="V237" s="1314">
        <f t="shared" si="63"/>
        <v>0</v>
      </c>
      <c r="W237" s="1311"/>
      <c r="X237" s="1314">
        <f t="shared" si="64"/>
        <v>0</v>
      </c>
      <c r="Y237" s="1314">
        <f t="shared" si="65"/>
        <v>0</v>
      </c>
      <c r="Z237" s="1311"/>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1</v>
      </c>
      <c r="R238" s="703">
        <f t="shared" si="66"/>
        <v>0</v>
      </c>
      <c r="S238" s="334">
        <f t="shared" si="67"/>
        <v>0</v>
      </c>
      <c r="T238" s="1182">
        <f t="shared" si="68"/>
        <v>0</v>
      </c>
      <c r="U238" s="1314">
        <f t="shared" si="62"/>
        <v>0</v>
      </c>
      <c r="V238" s="1314">
        <f t="shared" si="63"/>
        <v>0</v>
      </c>
      <c r="W238" s="1311"/>
      <c r="X238" s="1314">
        <f t="shared" si="64"/>
        <v>0</v>
      </c>
      <c r="Y238" s="1314">
        <f t="shared" si="65"/>
        <v>0</v>
      </c>
      <c r="Z238" s="1311"/>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1</v>
      </c>
      <c r="R239" s="703">
        <f t="shared" si="66"/>
        <v>0</v>
      </c>
      <c r="S239" s="334">
        <f t="shared" si="67"/>
        <v>0</v>
      </c>
      <c r="T239" s="1182">
        <f t="shared" si="68"/>
        <v>0</v>
      </c>
      <c r="U239" s="1314">
        <f t="shared" si="62"/>
        <v>0</v>
      </c>
      <c r="V239" s="1314">
        <f t="shared" si="63"/>
        <v>0</v>
      </c>
      <c r="W239" s="1311"/>
      <c r="X239" s="1314">
        <f t="shared" si="64"/>
        <v>0</v>
      </c>
      <c r="Y239" s="1314">
        <f t="shared" si="65"/>
        <v>0</v>
      </c>
      <c r="Z239" s="1311"/>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1</v>
      </c>
      <c r="R240" s="703">
        <f t="shared" si="66"/>
        <v>0</v>
      </c>
      <c r="S240" s="334">
        <f t="shared" si="67"/>
        <v>0</v>
      </c>
      <c r="T240" s="1182">
        <f t="shared" si="68"/>
        <v>0</v>
      </c>
      <c r="U240" s="1314">
        <f t="shared" si="62"/>
        <v>0</v>
      </c>
      <c r="V240" s="1314">
        <f t="shared" si="63"/>
        <v>0</v>
      </c>
      <c r="W240" s="1311"/>
      <c r="X240" s="1314">
        <f t="shared" si="64"/>
        <v>0</v>
      </c>
      <c r="Y240" s="1314">
        <f t="shared" si="65"/>
        <v>0</v>
      </c>
      <c r="Z240" s="1311"/>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1</v>
      </c>
      <c r="R241" s="703">
        <f t="shared" si="66"/>
        <v>0</v>
      </c>
      <c r="S241" s="334">
        <f t="shared" si="67"/>
        <v>0</v>
      </c>
      <c r="T241" s="1182">
        <f t="shared" si="68"/>
        <v>0</v>
      </c>
      <c r="U241" s="1314">
        <f t="shared" si="62"/>
        <v>0</v>
      </c>
      <c r="V241" s="1314">
        <f t="shared" si="63"/>
        <v>0</v>
      </c>
      <c r="W241" s="1311"/>
      <c r="X241" s="1314">
        <f t="shared" si="64"/>
        <v>0</v>
      </c>
      <c r="Y241" s="1314">
        <f t="shared" si="65"/>
        <v>0</v>
      </c>
      <c r="Z241" s="1311"/>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1</v>
      </c>
      <c r="R242" s="703">
        <f t="shared" si="66"/>
        <v>0</v>
      </c>
      <c r="S242" s="334">
        <f t="shared" si="67"/>
        <v>0</v>
      </c>
      <c r="T242" s="1182">
        <f t="shared" si="68"/>
        <v>0</v>
      </c>
      <c r="U242" s="1314">
        <f t="shared" si="62"/>
        <v>0</v>
      </c>
      <c r="V242" s="1314">
        <f t="shared" si="63"/>
        <v>0</v>
      </c>
      <c r="W242" s="1311"/>
      <c r="X242" s="1314">
        <f t="shared" si="64"/>
        <v>0</v>
      </c>
      <c r="Y242" s="1314">
        <f t="shared" si="65"/>
        <v>0</v>
      </c>
      <c r="Z242" s="1311"/>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1</v>
      </c>
      <c r="R243" s="703">
        <f t="shared" si="66"/>
        <v>0</v>
      </c>
      <c r="S243" s="334">
        <f t="shared" si="67"/>
        <v>0</v>
      </c>
      <c r="T243" s="1182">
        <f t="shared" si="68"/>
        <v>0</v>
      </c>
      <c r="U243" s="1314">
        <f t="shared" si="62"/>
        <v>0</v>
      </c>
      <c r="V243" s="1314">
        <f t="shared" si="63"/>
        <v>0</v>
      </c>
      <c r="W243" s="1311"/>
      <c r="X243" s="1314">
        <f t="shared" si="64"/>
        <v>0</v>
      </c>
      <c r="Y243" s="1314">
        <f t="shared" si="65"/>
        <v>0</v>
      </c>
      <c r="Z243" s="1311"/>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1</v>
      </c>
      <c r="R244" s="703">
        <f t="shared" si="66"/>
        <v>0</v>
      </c>
      <c r="S244" s="334">
        <f t="shared" si="67"/>
        <v>0</v>
      </c>
      <c r="T244" s="1182">
        <f t="shared" si="68"/>
        <v>0</v>
      </c>
      <c r="U244" s="1314">
        <f t="shared" si="62"/>
        <v>0</v>
      </c>
      <c r="V244" s="1314">
        <f t="shared" si="63"/>
        <v>0</v>
      </c>
      <c r="W244" s="1311"/>
      <c r="X244" s="1314">
        <f t="shared" si="64"/>
        <v>0</v>
      </c>
      <c r="Y244" s="1314">
        <f t="shared" si="65"/>
        <v>0</v>
      </c>
      <c r="Z244" s="1311"/>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1</v>
      </c>
      <c r="R245" s="703">
        <f t="shared" si="66"/>
        <v>0</v>
      </c>
      <c r="S245" s="334">
        <f t="shared" si="67"/>
        <v>0</v>
      </c>
      <c r="T245" s="1182">
        <f t="shared" si="68"/>
        <v>0</v>
      </c>
      <c r="U245" s="1314">
        <f t="shared" si="62"/>
        <v>0</v>
      </c>
      <c r="V245" s="1314">
        <f t="shared" si="63"/>
        <v>0</v>
      </c>
      <c r="W245" s="1311"/>
      <c r="X245" s="1314">
        <f t="shared" si="64"/>
        <v>0</v>
      </c>
      <c r="Y245" s="1314">
        <f t="shared" si="65"/>
        <v>0</v>
      </c>
      <c r="Z245" s="1311"/>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1</v>
      </c>
      <c r="R246" s="703">
        <f t="shared" si="66"/>
        <v>0</v>
      </c>
      <c r="S246" s="334">
        <f t="shared" si="67"/>
        <v>0</v>
      </c>
      <c r="T246" s="1182">
        <f t="shared" si="68"/>
        <v>0</v>
      </c>
      <c r="U246" s="1314">
        <f t="shared" si="62"/>
        <v>0</v>
      </c>
      <c r="V246" s="1314">
        <f t="shared" si="63"/>
        <v>0</v>
      </c>
      <c r="W246" s="1311"/>
      <c r="X246" s="1314">
        <f t="shared" si="64"/>
        <v>0</v>
      </c>
      <c r="Y246" s="1314">
        <f t="shared" si="65"/>
        <v>0</v>
      </c>
      <c r="Z246" s="1311"/>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1</v>
      </c>
      <c r="R247" s="703">
        <f t="shared" si="66"/>
        <v>0</v>
      </c>
      <c r="S247" s="334">
        <f t="shared" si="67"/>
        <v>0</v>
      </c>
      <c r="T247" s="1182">
        <f t="shared" si="68"/>
        <v>0</v>
      </c>
      <c r="U247" s="1314">
        <f t="shared" si="62"/>
        <v>0</v>
      </c>
      <c r="V247" s="1314">
        <f t="shared" si="63"/>
        <v>0</v>
      </c>
      <c r="W247" s="1311"/>
      <c r="X247" s="1314">
        <f t="shared" si="64"/>
        <v>0</v>
      </c>
      <c r="Y247" s="1314">
        <f t="shared" si="65"/>
        <v>0</v>
      </c>
      <c r="Z247" s="1311"/>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1</v>
      </c>
      <c r="R248" s="703">
        <f t="shared" si="66"/>
        <v>0</v>
      </c>
      <c r="S248" s="334">
        <f t="shared" si="67"/>
        <v>0</v>
      </c>
      <c r="T248" s="1182">
        <f t="shared" si="68"/>
        <v>0</v>
      </c>
      <c r="U248" s="1314">
        <f t="shared" si="62"/>
        <v>0</v>
      </c>
      <c r="V248" s="1314">
        <f t="shared" si="63"/>
        <v>0</v>
      </c>
      <c r="W248" s="1311"/>
      <c r="X248" s="1314">
        <f t="shared" si="64"/>
        <v>0</v>
      </c>
      <c r="Y248" s="1314">
        <f t="shared" si="65"/>
        <v>0</v>
      </c>
      <c r="Z248" s="1311"/>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1</v>
      </c>
      <c r="R249" s="703">
        <f t="shared" si="66"/>
        <v>0</v>
      </c>
      <c r="S249" s="334">
        <f t="shared" si="67"/>
        <v>0</v>
      </c>
      <c r="T249" s="1182">
        <f t="shared" si="68"/>
        <v>0</v>
      </c>
      <c r="U249" s="1314">
        <f t="shared" si="62"/>
        <v>0</v>
      </c>
      <c r="V249" s="1314">
        <f t="shared" si="63"/>
        <v>0</v>
      </c>
      <c r="W249" s="1311"/>
      <c r="X249" s="1314">
        <f t="shared" si="64"/>
        <v>0</v>
      </c>
      <c r="Y249" s="1314">
        <f t="shared" si="65"/>
        <v>0</v>
      </c>
      <c r="Z249" s="1311"/>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1</v>
      </c>
      <c r="R250" s="703">
        <f t="shared" si="66"/>
        <v>0</v>
      </c>
      <c r="S250" s="334">
        <f t="shared" si="67"/>
        <v>0</v>
      </c>
      <c r="T250" s="1182">
        <f t="shared" si="68"/>
        <v>0</v>
      </c>
      <c r="U250" s="1314">
        <f t="shared" si="62"/>
        <v>0</v>
      </c>
      <c r="V250" s="1314">
        <f t="shared" si="63"/>
        <v>0</v>
      </c>
      <c r="W250" s="1311"/>
      <c r="X250" s="1314">
        <f t="shared" si="64"/>
        <v>0</v>
      </c>
      <c r="Y250" s="1314">
        <f t="shared" si="65"/>
        <v>0</v>
      </c>
      <c r="Z250" s="1311"/>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1</v>
      </c>
      <c r="R251" s="703">
        <f t="shared" si="66"/>
        <v>0</v>
      </c>
      <c r="S251" s="334">
        <f t="shared" si="67"/>
        <v>0</v>
      </c>
      <c r="T251" s="1182">
        <f t="shared" si="68"/>
        <v>0</v>
      </c>
      <c r="U251" s="1314">
        <f t="shared" si="62"/>
        <v>0</v>
      </c>
      <c r="V251" s="1314">
        <f t="shared" si="63"/>
        <v>0</v>
      </c>
      <c r="W251" s="1311"/>
      <c r="X251" s="1314">
        <f t="shared" si="64"/>
        <v>0</v>
      </c>
      <c r="Y251" s="1314">
        <f t="shared" si="65"/>
        <v>0</v>
      </c>
      <c r="Z251" s="1311"/>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1</v>
      </c>
      <c r="R252" s="703">
        <f t="shared" si="66"/>
        <v>0</v>
      </c>
      <c r="S252" s="334">
        <f t="shared" si="67"/>
        <v>0</v>
      </c>
      <c r="T252" s="1182">
        <f t="shared" si="68"/>
        <v>0</v>
      </c>
      <c r="U252" s="1314">
        <f t="shared" si="62"/>
        <v>0</v>
      </c>
      <c r="V252" s="1314">
        <f t="shared" si="63"/>
        <v>0</v>
      </c>
      <c r="W252" s="1311"/>
      <c r="X252" s="1314">
        <f t="shared" si="64"/>
        <v>0</v>
      </c>
      <c r="Y252" s="1314">
        <f t="shared" si="65"/>
        <v>0</v>
      </c>
      <c r="Z252" s="1311"/>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1</v>
      </c>
      <c r="R253" s="703">
        <f t="shared" si="66"/>
        <v>0</v>
      </c>
      <c r="S253" s="334">
        <f t="shared" si="67"/>
        <v>0</v>
      </c>
      <c r="T253" s="1182">
        <f t="shared" si="68"/>
        <v>0</v>
      </c>
      <c r="U253" s="1314">
        <f t="shared" si="62"/>
        <v>0</v>
      </c>
      <c r="V253" s="1314">
        <f t="shared" si="63"/>
        <v>0</v>
      </c>
      <c r="W253" s="1311"/>
      <c r="X253" s="1314">
        <f t="shared" si="64"/>
        <v>0</v>
      </c>
      <c r="Y253" s="1314">
        <f t="shared" si="65"/>
        <v>0</v>
      </c>
      <c r="Z253" s="1311"/>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1</v>
      </c>
      <c r="R254" s="703">
        <f t="shared" si="66"/>
        <v>0</v>
      </c>
      <c r="S254" s="334">
        <f t="shared" si="67"/>
        <v>0</v>
      </c>
      <c r="T254" s="1182">
        <f t="shared" si="68"/>
        <v>0</v>
      </c>
      <c r="U254" s="1314">
        <f t="shared" si="62"/>
        <v>0</v>
      </c>
      <c r="V254" s="1314">
        <f t="shared" si="63"/>
        <v>0</v>
      </c>
      <c r="W254" s="1311"/>
      <c r="X254" s="1314">
        <f t="shared" si="64"/>
        <v>0</v>
      </c>
      <c r="Y254" s="1314">
        <f t="shared" si="65"/>
        <v>0</v>
      </c>
      <c r="Z254" s="1311"/>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1</v>
      </c>
      <c r="R255" s="703">
        <f t="shared" si="66"/>
        <v>0</v>
      </c>
      <c r="S255" s="334">
        <f t="shared" si="67"/>
        <v>0</v>
      </c>
      <c r="T255" s="1182">
        <f t="shared" si="68"/>
        <v>0</v>
      </c>
      <c r="U255" s="1314">
        <f t="shared" si="62"/>
        <v>0</v>
      </c>
      <c r="V255" s="1314">
        <f t="shared" si="63"/>
        <v>0</v>
      </c>
      <c r="W255" s="1311"/>
      <c r="X255" s="1314">
        <f t="shared" si="64"/>
        <v>0</v>
      </c>
      <c r="Y255" s="1314">
        <f t="shared" si="65"/>
        <v>0</v>
      </c>
      <c r="Z255" s="1311"/>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1</v>
      </c>
      <c r="R256" s="703">
        <f t="shared" si="66"/>
        <v>0</v>
      </c>
      <c r="S256" s="334">
        <f t="shared" si="67"/>
        <v>0</v>
      </c>
      <c r="T256" s="1182">
        <f t="shared" si="68"/>
        <v>0</v>
      </c>
      <c r="U256" s="1314">
        <f t="shared" si="62"/>
        <v>0</v>
      </c>
      <c r="V256" s="1314">
        <f t="shared" si="63"/>
        <v>0</v>
      </c>
      <c r="W256" s="1311"/>
      <c r="X256" s="1314">
        <f t="shared" si="64"/>
        <v>0</v>
      </c>
      <c r="Y256" s="1314">
        <f t="shared" si="65"/>
        <v>0</v>
      </c>
      <c r="Z256" s="1311"/>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1</v>
      </c>
      <c r="R257" s="703">
        <f t="shared" si="66"/>
        <v>0</v>
      </c>
      <c r="S257" s="334">
        <f t="shared" si="67"/>
        <v>0</v>
      </c>
      <c r="T257" s="1182">
        <f t="shared" si="68"/>
        <v>0</v>
      </c>
      <c r="U257" s="1314">
        <f t="shared" si="62"/>
        <v>0</v>
      </c>
      <c r="V257" s="1314">
        <f t="shared" si="63"/>
        <v>0</v>
      </c>
      <c r="W257" s="1311"/>
      <c r="X257" s="1314">
        <f t="shared" si="64"/>
        <v>0</v>
      </c>
      <c r="Y257" s="1314">
        <f t="shared" si="65"/>
        <v>0</v>
      </c>
      <c r="Z257" s="1311"/>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1</v>
      </c>
      <c r="R258" s="703">
        <f t="shared" si="66"/>
        <v>0</v>
      </c>
      <c r="S258" s="334">
        <f t="shared" si="67"/>
        <v>0</v>
      </c>
      <c r="T258" s="1182">
        <f t="shared" si="68"/>
        <v>0</v>
      </c>
      <c r="U258" s="1314">
        <f t="shared" si="62"/>
        <v>0</v>
      </c>
      <c r="V258" s="1314">
        <f t="shared" si="63"/>
        <v>0</v>
      </c>
      <c r="W258" s="1311"/>
      <c r="X258" s="1314">
        <f t="shared" si="64"/>
        <v>0</v>
      </c>
      <c r="Y258" s="1314">
        <f t="shared" si="65"/>
        <v>0</v>
      </c>
      <c r="Z258" s="1311"/>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1</v>
      </c>
      <c r="R259" s="703">
        <f t="shared" si="66"/>
        <v>0</v>
      </c>
      <c r="S259" s="334">
        <f t="shared" si="67"/>
        <v>0</v>
      </c>
      <c r="T259" s="1182">
        <f t="shared" si="68"/>
        <v>0</v>
      </c>
      <c r="U259" s="1314">
        <f t="shared" si="62"/>
        <v>0</v>
      </c>
      <c r="V259" s="1314">
        <f t="shared" si="63"/>
        <v>0</v>
      </c>
      <c r="W259" s="1311"/>
      <c r="X259" s="1314">
        <f t="shared" si="64"/>
        <v>0</v>
      </c>
      <c r="Y259" s="1314">
        <f t="shared" si="65"/>
        <v>0</v>
      </c>
      <c r="Z259" s="1311"/>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1</v>
      </c>
      <c r="R260" s="703">
        <f t="shared" si="66"/>
        <v>0</v>
      </c>
      <c r="S260" s="334">
        <f t="shared" si="67"/>
        <v>0</v>
      </c>
      <c r="T260" s="1182">
        <f t="shared" si="68"/>
        <v>0</v>
      </c>
      <c r="U260" s="1314">
        <f t="shared" si="62"/>
        <v>0</v>
      </c>
      <c r="V260" s="1314">
        <f t="shared" si="63"/>
        <v>0</v>
      </c>
      <c r="W260" s="1311"/>
      <c r="X260" s="1314">
        <f t="shared" si="64"/>
        <v>0</v>
      </c>
      <c r="Y260" s="1314">
        <f t="shared" si="65"/>
        <v>0</v>
      </c>
      <c r="Z260" s="1311"/>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1</v>
      </c>
      <c r="R261" s="703">
        <f t="shared" si="66"/>
        <v>0</v>
      </c>
      <c r="S261" s="334">
        <f t="shared" si="67"/>
        <v>0</v>
      </c>
      <c r="T261" s="1182">
        <f t="shared" si="68"/>
        <v>0</v>
      </c>
      <c r="U261" s="1314">
        <f t="shared" si="62"/>
        <v>0</v>
      </c>
      <c r="V261" s="1314">
        <f t="shared" si="63"/>
        <v>0</v>
      </c>
      <c r="W261" s="1311"/>
      <c r="X261" s="1314">
        <f t="shared" si="64"/>
        <v>0</v>
      </c>
      <c r="Y261" s="1314">
        <f t="shared" si="65"/>
        <v>0</v>
      </c>
      <c r="Z261" s="1311"/>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1</v>
      </c>
      <c r="R262" s="703">
        <f t="shared" si="66"/>
        <v>0</v>
      </c>
      <c r="S262" s="334">
        <f t="shared" si="67"/>
        <v>0</v>
      </c>
      <c r="T262" s="1182">
        <f t="shared" si="68"/>
        <v>0</v>
      </c>
      <c r="U262" s="1314">
        <f t="shared" si="62"/>
        <v>0</v>
      </c>
      <c r="V262" s="1314">
        <f t="shared" si="63"/>
        <v>0</v>
      </c>
      <c r="W262" s="1311"/>
      <c r="X262" s="1314">
        <f t="shared" si="64"/>
        <v>0</v>
      </c>
      <c r="Y262" s="1314">
        <f t="shared" si="65"/>
        <v>0</v>
      </c>
      <c r="Z262" s="1311"/>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1</v>
      </c>
      <c r="R263" s="703">
        <f t="shared" si="66"/>
        <v>0</v>
      </c>
      <c r="S263" s="334">
        <f t="shared" si="67"/>
        <v>0</v>
      </c>
      <c r="T263" s="1182">
        <f t="shared" si="68"/>
        <v>0</v>
      </c>
      <c r="U263" s="1314">
        <f t="shared" si="62"/>
        <v>0</v>
      </c>
      <c r="V263" s="1314">
        <f t="shared" si="63"/>
        <v>0</v>
      </c>
      <c r="W263" s="1311"/>
      <c r="X263" s="1314">
        <f t="shared" si="64"/>
        <v>0</v>
      </c>
      <c r="Y263" s="1314">
        <f t="shared" si="65"/>
        <v>0</v>
      </c>
      <c r="Z263" s="1311"/>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1</v>
      </c>
      <c r="R264" s="703">
        <f t="shared" si="66"/>
        <v>0</v>
      </c>
      <c r="S264" s="334">
        <f t="shared" si="67"/>
        <v>0</v>
      </c>
      <c r="T264" s="1182">
        <f t="shared" si="68"/>
        <v>0</v>
      </c>
      <c r="U264" s="1314">
        <f t="shared" si="62"/>
        <v>0</v>
      </c>
      <c r="V264" s="1314">
        <f t="shared" si="63"/>
        <v>0</v>
      </c>
      <c r="W264" s="1311"/>
      <c r="X264" s="1314">
        <f t="shared" si="64"/>
        <v>0</v>
      </c>
      <c r="Y264" s="1314">
        <f t="shared" si="65"/>
        <v>0</v>
      </c>
      <c r="Z264" s="1311"/>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1</v>
      </c>
      <c r="R265" s="703">
        <f t="shared" si="66"/>
        <v>0</v>
      </c>
      <c r="S265" s="334">
        <f t="shared" si="67"/>
        <v>0</v>
      </c>
      <c r="T265" s="1182">
        <f t="shared" si="68"/>
        <v>0</v>
      </c>
      <c r="U265" s="1314">
        <f t="shared" si="62"/>
        <v>0</v>
      </c>
      <c r="V265" s="1314">
        <f t="shared" si="63"/>
        <v>0</v>
      </c>
      <c r="W265" s="1311"/>
      <c r="X265" s="1314">
        <f t="shared" si="64"/>
        <v>0</v>
      </c>
      <c r="Y265" s="1314">
        <f t="shared" si="65"/>
        <v>0</v>
      </c>
      <c r="Z265" s="1311"/>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1</v>
      </c>
      <c r="R266" s="703">
        <f t="shared" si="66"/>
        <v>0</v>
      </c>
      <c r="S266" s="334">
        <f t="shared" si="67"/>
        <v>0</v>
      </c>
      <c r="T266" s="1182">
        <f t="shared" si="68"/>
        <v>0</v>
      </c>
      <c r="U266" s="1314">
        <f t="shared" si="62"/>
        <v>0</v>
      </c>
      <c r="V266" s="1314">
        <f t="shared" si="63"/>
        <v>0</v>
      </c>
      <c r="W266" s="1311"/>
      <c r="X266" s="1314">
        <f t="shared" si="64"/>
        <v>0</v>
      </c>
      <c r="Y266" s="1314">
        <f t="shared" si="65"/>
        <v>0</v>
      </c>
      <c r="Z266" s="1311"/>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1</v>
      </c>
      <c r="R267" s="703">
        <f t="shared" si="66"/>
        <v>0</v>
      </c>
      <c r="S267" s="334">
        <f t="shared" si="67"/>
        <v>0</v>
      </c>
      <c r="T267" s="1182">
        <f t="shared" si="68"/>
        <v>0</v>
      </c>
      <c r="U267" s="1314">
        <f t="shared" si="62"/>
        <v>0</v>
      </c>
      <c r="V267" s="1314">
        <f t="shared" si="63"/>
        <v>0</v>
      </c>
      <c r="W267" s="1311"/>
      <c r="X267" s="1314">
        <f t="shared" si="64"/>
        <v>0</v>
      </c>
      <c r="Y267" s="1314">
        <f t="shared" si="65"/>
        <v>0</v>
      </c>
      <c r="Z267" s="1311"/>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1</v>
      </c>
      <c r="R268" s="703">
        <f t="shared" si="66"/>
        <v>0</v>
      </c>
      <c r="S268" s="334">
        <f t="shared" si="67"/>
        <v>0</v>
      </c>
      <c r="T268" s="1182">
        <f t="shared" si="68"/>
        <v>0</v>
      </c>
      <c r="U268" s="1314">
        <f t="shared" si="62"/>
        <v>0</v>
      </c>
      <c r="V268" s="1314">
        <f t="shared" si="63"/>
        <v>0</v>
      </c>
      <c r="W268" s="1311"/>
      <c r="X268" s="1314">
        <f t="shared" si="64"/>
        <v>0</v>
      </c>
      <c r="Y268" s="1314">
        <f t="shared" si="65"/>
        <v>0</v>
      </c>
      <c r="Z268" s="1311"/>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1</v>
      </c>
      <c r="R269" s="703">
        <f t="shared" si="66"/>
        <v>0</v>
      </c>
      <c r="S269" s="334">
        <f t="shared" si="67"/>
        <v>0</v>
      </c>
      <c r="T269" s="1182">
        <f t="shared" si="68"/>
        <v>0</v>
      </c>
      <c r="U269" s="1314">
        <f t="shared" si="62"/>
        <v>0</v>
      </c>
      <c r="V269" s="1314">
        <f t="shared" si="63"/>
        <v>0</v>
      </c>
      <c r="W269" s="1311"/>
      <c r="X269" s="1314">
        <f t="shared" si="64"/>
        <v>0</v>
      </c>
      <c r="Y269" s="1314">
        <f t="shared" si="65"/>
        <v>0</v>
      </c>
      <c r="Z269" s="1311"/>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1</v>
      </c>
      <c r="R270" s="703">
        <f t="shared" si="66"/>
        <v>0</v>
      </c>
      <c r="S270" s="334">
        <f t="shared" si="67"/>
        <v>0</v>
      </c>
      <c r="T270" s="1182">
        <f t="shared" si="68"/>
        <v>0</v>
      </c>
      <c r="U270" s="1314">
        <f t="shared" si="62"/>
        <v>0</v>
      </c>
      <c r="V270" s="1314">
        <f t="shared" si="63"/>
        <v>0</v>
      </c>
      <c r="W270" s="1311"/>
      <c r="X270" s="1314">
        <f t="shared" si="64"/>
        <v>0</v>
      </c>
      <c r="Y270" s="1314">
        <f t="shared" si="65"/>
        <v>0</v>
      </c>
      <c r="Z270" s="1311"/>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1</v>
      </c>
      <c r="R271" s="703">
        <f t="shared" si="66"/>
        <v>0</v>
      </c>
      <c r="S271" s="334">
        <f t="shared" si="67"/>
        <v>0</v>
      </c>
      <c r="T271" s="1182">
        <f t="shared" si="68"/>
        <v>0</v>
      </c>
      <c r="U271" s="1314">
        <f t="shared" si="62"/>
        <v>0</v>
      </c>
      <c r="V271" s="1314">
        <f t="shared" si="63"/>
        <v>0</v>
      </c>
      <c r="W271" s="1311"/>
      <c r="X271" s="1314">
        <f t="shared" si="64"/>
        <v>0</v>
      </c>
      <c r="Y271" s="1314">
        <f t="shared" si="65"/>
        <v>0</v>
      </c>
      <c r="Z271" s="1311"/>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1</v>
      </c>
      <c r="R272" s="703">
        <f t="shared" si="66"/>
        <v>0</v>
      </c>
      <c r="S272" s="334">
        <f t="shared" si="67"/>
        <v>0</v>
      </c>
      <c r="T272" s="1182">
        <f t="shared" si="68"/>
        <v>0</v>
      </c>
      <c r="U272" s="1314">
        <f t="shared" si="62"/>
        <v>0</v>
      </c>
      <c r="V272" s="1314">
        <f t="shared" si="63"/>
        <v>0</v>
      </c>
      <c r="W272" s="1311"/>
      <c r="X272" s="1314">
        <f t="shared" si="64"/>
        <v>0</v>
      </c>
      <c r="Y272" s="1314">
        <f t="shared" si="65"/>
        <v>0</v>
      </c>
      <c r="Z272" s="1311"/>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1</v>
      </c>
      <c r="R273" s="703">
        <f t="shared" si="66"/>
        <v>0</v>
      </c>
      <c r="S273" s="334">
        <f t="shared" si="67"/>
        <v>0</v>
      </c>
      <c r="T273" s="1182">
        <f t="shared" si="68"/>
        <v>0</v>
      </c>
      <c r="U273" s="1314">
        <f t="shared" si="62"/>
        <v>0</v>
      </c>
      <c r="V273" s="1314">
        <f t="shared" si="63"/>
        <v>0</v>
      </c>
      <c r="W273" s="1311"/>
      <c r="X273" s="1314">
        <f t="shared" si="64"/>
        <v>0</v>
      </c>
      <c r="Y273" s="1314">
        <f t="shared" si="65"/>
        <v>0</v>
      </c>
      <c r="Z273" s="1311"/>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1</v>
      </c>
      <c r="R274" s="703">
        <f t="shared" si="66"/>
        <v>0</v>
      </c>
      <c r="S274" s="334">
        <f t="shared" si="67"/>
        <v>0</v>
      </c>
      <c r="T274" s="1182">
        <f t="shared" si="68"/>
        <v>0</v>
      </c>
      <c r="U274" s="1314">
        <f t="shared" si="62"/>
        <v>0</v>
      </c>
      <c r="V274" s="1314">
        <f t="shared" si="63"/>
        <v>0</v>
      </c>
      <c r="W274" s="1311"/>
      <c r="X274" s="1314">
        <f t="shared" si="64"/>
        <v>0</v>
      </c>
      <c r="Y274" s="1314">
        <f t="shared" si="65"/>
        <v>0</v>
      </c>
      <c r="Z274" s="1311"/>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1</v>
      </c>
      <c r="R275" s="703">
        <f t="shared" si="66"/>
        <v>0</v>
      </c>
      <c r="S275" s="334">
        <f t="shared" si="67"/>
        <v>0</v>
      </c>
      <c r="T275" s="1182">
        <f t="shared" si="68"/>
        <v>0</v>
      </c>
      <c r="U275" s="1314">
        <f t="shared" si="62"/>
        <v>0</v>
      </c>
      <c r="V275" s="1314">
        <f t="shared" si="63"/>
        <v>0</v>
      </c>
      <c r="W275" s="1311"/>
      <c r="X275" s="1314">
        <f t="shared" si="64"/>
        <v>0</v>
      </c>
      <c r="Y275" s="1314">
        <f t="shared" si="65"/>
        <v>0</v>
      </c>
      <c r="Z275" s="1311"/>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1</v>
      </c>
      <c r="R276" s="703">
        <f t="shared" si="66"/>
        <v>0</v>
      </c>
      <c r="S276" s="334">
        <f t="shared" si="67"/>
        <v>0</v>
      </c>
      <c r="T276" s="1182">
        <f t="shared" si="68"/>
        <v>0</v>
      </c>
      <c r="U276" s="1314">
        <f t="shared" si="62"/>
        <v>0</v>
      </c>
      <c r="V276" s="1314">
        <f t="shared" si="63"/>
        <v>0</v>
      </c>
      <c r="W276" s="1311"/>
      <c r="X276" s="1314">
        <f t="shared" si="64"/>
        <v>0</v>
      </c>
      <c r="Y276" s="1314">
        <f t="shared" si="65"/>
        <v>0</v>
      </c>
      <c r="Z276" s="1311"/>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1</v>
      </c>
      <c r="R277" s="703">
        <f t="shared" si="66"/>
        <v>0</v>
      </c>
      <c r="S277" s="334">
        <f t="shared" si="67"/>
        <v>0</v>
      </c>
      <c r="T277" s="1182">
        <f t="shared" si="68"/>
        <v>0</v>
      </c>
      <c r="U277" s="1314">
        <f t="shared" si="62"/>
        <v>0</v>
      </c>
      <c r="V277" s="1314">
        <f t="shared" si="63"/>
        <v>0</v>
      </c>
      <c r="W277" s="1311"/>
      <c r="X277" s="1314">
        <f t="shared" si="64"/>
        <v>0</v>
      </c>
      <c r="Y277" s="1314">
        <f t="shared" si="65"/>
        <v>0</v>
      </c>
      <c r="Z277" s="1311"/>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1</v>
      </c>
      <c r="R278" s="703">
        <f t="shared" si="66"/>
        <v>0</v>
      </c>
      <c r="S278" s="334">
        <f t="shared" si="67"/>
        <v>0</v>
      </c>
      <c r="T278" s="1182">
        <f t="shared" si="68"/>
        <v>0</v>
      </c>
      <c r="U278" s="1314">
        <f t="shared" si="62"/>
        <v>0</v>
      </c>
      <c r="V278" s="1314">
        <f t="shared" si="63"/>
        <v>0</v>
      </c>
      <c r="W278" s="1311"/>
      <c r="X278" s="1314">
        <f t="shared" si="64"/>
        <v>0</v>
      </c>
      <c r="Y278" s="1314">
        <f t="shared" si="65"/>
        <v>0</v>
      </c>
      <c r="Z278" s="1311"/>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1</v>
      </c>
      <c r="R279" s="703">
        <f t="shared" si="66"/>
        <v>0</v>
      </c>
      <c r="S279" s="334">
        <f t="shared" si="67"/>
        <v>0</v>
      </c>
      <c r="T279" s="1182">
        <f t="shared" si="68"/>
        <v>0</v>
      </c>
      <c r="U279" s="1314">
        <f t="shared" si="62"/>
        <v>0</v>
      </c>
      <c r="V279" s="1314">
        <f t="shared" si="63"/>
        <v>0</v>
      </c>
      <c r="W279" s="1311"/>
      <c r="X279" s="1314">
        <f t="shared" si="64"/>
        <v>0</v>
      </c>
      <c r="Y279" s="1314">
        <f t="shared" si="65"/>
        <v>0</v>
      </c>
      <c r="Z279" s="1311"/>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1</v>
      </c>
      <c r="R280" s="703">
        <f t="shared" si="66"/>
        <v>0</v>
      </c>
      <c r="S280" s="334">
        <f t="shared" si="67"/>
        <v>0</v>
      </c>
      <c r="T280" s="1182">
        <f t="shared" si="68"/>
        <v>0</v>
      </c>
      <c r="U280" s="1314">
        <f t="shared" si="62"/>
        <v>0</v>
      </c>
      <c r="V280" s="1314">
        <f t="shared" si="63"/>
        <v>0</v>
      </c>
      <c r="W280" s="1311"/>
      <c r="X280" s="1314">
        <f t="shared" si="64"/>
        <v>0</v>
      </c>
      <c r="Y280" s="1314">
        <f t="shared" si="65"/>
        <v>0</v>
      </c>
      <c r="Z280" s="1311"/>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1</v>
      </c>
      <c r="R281" s="703">
        <f t="shared" si="66"/>
        <v>0</v>
      </c>
      <c r="S281" s="334">
        <f t="shared" si="67"/>
        <v>0</v>
      </c>
      <c r="T281" s="1182">
        <f t="shared" si="68"/>
        <v>0</v>
      </c>
      <c r="U281" s="1314">
        <f t="shared" si="62"/>
        <v>0</v>
      </c>
      <c r="V281" s="1314">
        <f t="shared" si="63"/>
        <v>0</v>
      </c>
      <c r="W281" s="1311"/>
      <c r="X281" s="1314">
        <f t="shared" si="64"/>
        <v>0</v>
      </c>
      <c r="Y281" s="1314">
        <f t="shared" si="65"/>
        <v>0</v>
      </c>
      <c r="Z281" s="1311"/>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1</v>
      </c>
      <c r="R282" s="703">
        <f t="shared" si="66"/>
        <v>0</v>
      </c>
      <c r="S282" s="334">
        <f t="shared" si="67"/>
        <v>0</v>
      </c>
      <c r="T282" s="1182">
        <f t="shared" si="68"/>
        <v>0</v>
      </c>
      <c r="U282" s="1314">
        <f t="shared" si="62"/>
        <v>0</v>
      </c>
      <c r="V282" s="1314">
        <f t="shared" si="63"/>
        <v>0</v>
      </c>
      <c r="W282" s="1311"/>
      <c r="X282" s="1314">
        <f t="shared" si="64"/>
        <v>0</v>
      </c>
      <c r="Y282" s="1314">
        <f t="shared" si="65"/>
        <v>0</v>
      </c>
      <c r="Z282" s="1311"/>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1</v>
      </c>
      <c r="R283" s="703">
        <f t="shared" si="66"/>
        <v>0</v>
      </c>
      <c r="S283" s="334">
        <f t="shared" si="67"/>
        <v>0</v>
      </c>
      <c r="T283" s="1182">
        <f t="shared" si="68"/>
        <v>0</v>
      </c>
      <c r="U283" s="1314">
        <f t="shared" si="62"/>
        <v>0</v>
      </c>
      <c r="V283" s="1314">
        <f t="shared" si="63"/>
        <v>0</v>
      </c>
      <c r="W283" s="1311"/>
      <c r="X283" s="1314">
        <f t="shared" si="64"/>
        <v>0</v>
      </c>
      <c r="Y283" s="1314">
        <f t="shared" si="65"/>
        <v>0</v>
      </c>
      <c r="Z283" s="1311"/>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1</v>
      </c>
      <c r="R284" s="703">
        <f t="shared" si="66"/>
        <v>0</v>
      </c>
      <c r="S284" s="334">
        <f t="shared" si="67"/>
        <v>0</v>
      </c>
      <c r="T284" s="1182">
        <f t="shared" si="68"/>
        <v>0</v>
      </c>
      <c r="U284" s="1314">
        <f t="shared" ref="U284:U347" si="77">ROUND(W284*B284,0)</f>
        <v>0</v>
      </c>
      <c r="V284" s="1314">
        <f t="shared" ref="V284:V347" si="78">ROUND(W284*B284/10000,0)</f>
        <v>0</v>
      </c>
      <c r="W284" s="1311"/>
      <c r="X284" s="1314">
        <f t="shared" ref="X284:X347" si="79">ROUND(Z284*B284,0)</f>
        <v>0</v>
      </c>
      <c r="Y284" s="1314">
        <f t="shared" ref="Y284:Y347" si="80">ROUND(Z284*B284/10000,0)</f>
        <v>0</v>
      </c>
      <c r="Z284" s="1311"/>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1</v>
      </c>
      <c r="R285" s="703">
        <f t="shared" ref="R285:R348" si="81">IF(B285="",0,ROUND($R$27*C285*E285*G285*I285*K285*M285*O285*Q285,0))</f>
        <v>0</v>
      </c>
      <c r="S285" s="334">
        <f t="shared" ref="S285:S348" si="82">ROUND(R285*B285,0)</f>
        <v>0</v>
      </c>
      <c r="T285" s="1182">
        <f t="shared" ref="T285:T348" si="83">ROUND(R285*B285/10000,0)</f>
        <v>0</v>
      </c>
      <c r="U285" s="1314">
        <f t="shared" si="77"/>
        <v>0</v>
      </c>
      <c r="V285" s="1314">
        <f t="shared" si="78"/>
        <v>0</v>
      </c>
      <c r="W285" s="1311"/>
      <c r="X285" s="1314">
        <f t="shared" si="79"/>
        <v>0</v>
      </c>
      <c r="Y285" s="1314">
        <f t="shared" si="80"/>
        <v>0</v>
      </c>
      <c r="Z285" s="1311"/>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1</v>
      </c>
      <c r="R286" s="703">
        <f t="shared" si="81"/>
        <v>0</v>
      </c>
      <c r="S286" s="334">
        <f t="shared" si="82"/>
        <v>0</v>
      </c>
      <c r="T286" s="1182">
        <f t="shared" si="83"/>
        <v>0</v>
      </c>
      <c r="U286" s="1314">
        <f t="shared" si="77"/>
        <v>0</v>
      </c>
      <c r="V286" s="1314">
        <f t="shared" si="78"/>
        <v>0</v>
      </c>
      <c r="W286" s="1311"/>
      <c r="X286" s="1314">
        <f t="shared" si="79"/>
        <v>0</v>
      </c>
      <c r="Y286" s="1314">
        <f t="shared" si="80"/>
        <v>0</v>
      </c>
      <c r="Z286" s="1311"/>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1</v>
      </c>
      <c r="R287" s="703">
        <f t="shared" si="81"/>
        <v>0</v>
      </c>
      <c r="S287" s="334">
        <f t="shared" si="82"/>
        <v>0</v>
      </c>
      <c r="T287" s="1182">
        <f t="shared" si="83"/>
        <v>0</v>
      </c>
      <c r="U287" s="1314">
        <f t="shared" si="77"/>
        <v>0</v>
      </c>
      <c r="V287" s="1314">
        <f t="shared" si="78"/>
        <v>0</v>
      </c>
      <c r="W287" s="1311"/>
      <c r="X287" s="1314">
        <f t="shared" si="79"/>
        <v>0</v>
      </c>
      <c r="Y287" s="1314">
        <f t="shared" si="80"/>
        <v>0</v>
      </c>
      <c r="Z287" s="1311"/>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1</v>
      </c>
      <c r="R288" s="703">
        <f t="shared" si="81"/>
        <v>0</v>
      </c>
      <c r="S288" s="334">
        <f t="shared" si="82"/>
        <v>0</v>
      </c>
      <c r="T288" s="1182">
        <f t="shared" si="83"/>
        <v>0</v>
      </c>
      <c r="U288" s="1314">
        <f t="shared" si="77"/>
        <v>0</v>
      </c>
      <c r="V288" s="1314">
        <f t="shared" si="78"/>
        <v>0</v>
      </c>
      <c r="W288" s="1311"/>
      <c r="X288" s="1314">
        <f t="shared" si="79"/>
        <v>0</v>
      </c>
      <c r="Y288" s="1314">
        <f t="shared" si="80"/>
        <v>0</v>
      </c>
      <c r="Z288" s="1311"/>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1</v>
      </c>
      <c r="R289" s="703">
        <f t="shared" si="81"/>
        <v>0</v>
      </c>
      <c r="S289" s="334">
        <f t="shared" si="82"/>
        <v>0</v>
      </c>
      <c r="T289" s="1182">
        <f t="shared" si="83"/>
        <v>0</v>
      </c>
      <c r="U289" s="1314">
        <f t="shared" si="77"/>
        <v>0</v>
      </c>
      <c r="V289" s="1314">
        <f t="shared" si="78"/>
        <v>0</v>
      </c>
      <c r="W289" s="1311"/>
      <c r="X289" s="1314">
        <f t="shared" si="79"/>
        <v>0</v>
      </c>
      <c r="Y289" s="1314">
        <f t="shared" si="80"/>
        <v>0</v>
      </c>
      <c r="Z289" s="1311"/>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1</v>
      </c>
      <c r="R290" s="703">
        <f t="shared" si="81"/>
        <v>0</v>
      </c>
      <c r="S290" s="334">
        <f t="shared" si="82"/>
        <v>0</v>
      </c>
      <c r="T290" s="1182">
        <f t="shared" si="83"/>
        <v>0</v>
      </c>
      <c r="U290" s="1314">
        <f t="shared" si="77"/>
        <v>0</v>
      </c>
      <c r="V290" s="1314">
        <f t="shared" si="78"/>
        <v>0</v>
      </c>
      <c r="W290" s="1311"/>
      <c r="X290" s="1314">
        <f t="shared" si="79"/>
        <v>0</v>
      </c>
      <c r="Y290" s="1314">
        <f t="shared" si="80"/>
        <v>0</v>
      </c>
      <c r="Z290" s="1311"/>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1</v>
      </c>
      <c r="R291" s="703">
        <f t="shared" si="81"/>
        <v>0</v>
      </c>
      <c r="S291" s="334">
        <f t="shared" si="82"/>
        <v>0</v>
      </c>
      <c r="T291" s="1182">
        <f t="shared" si="83"/>
        <v>0</v>
      </c>
      <c r="U291" s="1314">
        <f t="shared" si="77"/>
        <v>0</v>
      </c>
      <c r="V291" s="1314">
        <f t="shared" si="78"/>
        <v>0</v>
      </c>
      <c r="W291" s="1311"/>
      <c r="X291" s="1314">
        <f t="shared" si="79"/>
        <v>0</v>
      </c>
      <c r="Y291" s="1314">
        <f t="shared" si="80"/>
        <v>0</v>
      </c>
      <c r="Z291" s="1311"/>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1</v>
      </c>
      <c r="R292" s="703">
        <f t="shared" si="81"/>
        <v>0</v>
      </c>
      <c r="S292" s="334">
        <f t="shared" si="82"/>
        <v>0</v>
      </c>
      <c r="T292" s="1182">
        <f t="shared" si="83"/>
        <v>0</v>
      </c>
      <c r="U292" s="1314">
        <f t="shared" si="77"/>
        <v>0</v>
      </c>
      <c r="V292" s="1314">
        <f t="shared" si="78"/>
        <v>0</v>
      </c>
      <c r="W292" s="1311"/>
      <c r="X292" s="1314">
        <f t="shared" si="79"/>
        <v>0</v>
      </c>
      <c r="Y292" s="1314">
        <f t="shared" si="80"/>
        <v>0</v>
      </c>
      <c r="Z292" s="1311"/>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1</v>
      </c>
      <c r="R293" s="703">
        <f t="shared" si="81"/>
        <v>0</v>
      </c>
      <c r="S293" s="334">
        <f t="shared" si="82"/>
        <v>0</v>
      </c>
      <c r="T293" s="1182">
        <f t="shared" si="83"/>
        <v>0</v>
      </c>
      <c r="U293" s="1314">
        <f t="shared" si="77"/>
        <v>0</v>
      </c>
      <c r="V293" s="1314">
        <f t="shared" si="78"/>
        <v>0</v>
      </c>
      <c r="W293" s="1311"/>
      <c r="X293" s="1314">
        <f t="shared" si="79"/>
        <v>0</v>
      </c>
      <c r="Y293" s="1314">
        <f t="shared" si="80"/>
        <v>0</v>
      </c>
      <c r="Z293" s="1311"/>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1</v>
      </c>
      <c r="R294" s="703">
        <f t="shared" si="81"/>
        <v>0</v>
      </c>
      <c r="S294" s="334">
        <f t="shared" si="82"/>
        <v>0</v>
      </c>
      <c r="T294" s="1182">
        <f t="shared" si="83"/>
        <v>0</v>
      </c>
      <c r="U294" s="1314">
        <f t="shared" si="77"/>
        <v>0</v>
      </c>
      <c r="V294" s="1314">
        <f t="shared" si="78"/>
        <v>0</v>
      </c>
      <c r="W294" s="1311"/>
      <c r="X294" s="1314">
        <f t="shared" si="79"/>
        <v>0</v>
      </c>
      <c r="Y294" s="1314">
        <f t="shared" si="80"/>
        <v>0</v>
      </c>
      <c r="Z294" s="1311"/>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1</v>
      </c>
      <c r="R295" s="703">
        <f t="shared" si="81"/>
        <v>0</v>
      </c>
      <c r="S295" s="334">
        <f t="shared" si="82"/>
        <v>0</v>
      </c>
      <c r="T295" s="1182">
        <f t="shared" si="83"/>
        <v>0</v>
      </c>
      <c r="U295" s="1314">
        <f t="shared" si="77"/>
        <v>0</v>
      </c>
      <c r="V295" s="1314">
        <f t="shared" si="78"/>
        <v>0</v>
      </c>
      <c r="W295" s="1311"/>
      <c r="X295" s="1314">
        <f t="shared" si="79"/>
        <v>0</v>
      </c>
      <c r="Y295" s="1314">
        <f t="shared" si="80"/>
        <v>0</v>
      </c>
      <c r="Z295" s="1311"/>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1</v>
      </c>
      <c r="R296" s="703">
        <f t="shared" si="81"/>
        <v>0</v>
      </c>
      <c r="S296" s="334">
        <f t="shared" si="82"/>
        <v>0</v>
      </c>
      <c r="T296" s="1182">
        <f t="shared" si="83"/>
        <v>0</v>
      </c>
      <c r="U296" s="1314">
        <f t="shared" si="77"/>
        <v>0</v>
      </c>
      <c r="V296" s="1314">
        <f t="shared" si="78"/>
        <v>0</v>
      </c>
      <c r="W296" s="1311"/>
      <c r="X296" s="1314">
        <f t="shared" si="79"/>
        <v>0</v>
      </c>
      <c r="Y296" s="1314">
        <f t="shared" si="80"/>
        <v>0</v>
      </c>
      <c r="Z296" s="1311"/>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1</v>
      </c>
      <c r="R297" s="703">
        <f t="shared" si="81"/>
        <v>0</v>
      </c>
      <c r="S297" s="334">
        <f t="shared" si="82"/>
        <v>0</v>
      </c>
      <c r="T297" s="1182">
        <f t="shared" si="83"/>
        <v>0</v>
      </c>
      <c r="U297" s="1314">
        <f t="shared" si="77"/>
        <v>0</v>
      </c>
      <c r="V297" s="1314">
        <f t="shared" si="78"/>
        <v>0</v>
      </c>
      <c r="W297" s="1311"/>
      <c r="X297" s="1314">
        <f t="shared" si="79"/>
        <v>0</v>
      </c>
      <c r="Y297" s="1314">
        <f t="shared" si="80"/>
        <v>0</v>
      </c>
      <c r="Z297" s="1311"/>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1</v>
      </c>
      <c r="R298" s="703">
        <f t="shared" si="81"/>
        <v>0</v>
      </c>
      <c r="S298" s="334">
        <f t="shared" si="82"/>
        <v>0</v>
      </c>
      <c r="T298" s="1182">
        <f t="shared" si="83"/>
        <v>0</v>
      </c>
      <c r="U298" s="1314">
        <f t="shared" si="77"/>
        <v>0</v>
      </c>
      <c r="V298" s="1314">
        <f t="shared" si="78"/>
        <v>0</v>
      </c>
      <c r="W298" s="1311"/>
      <c r="X298" s="1314">
        <f t="shared" si="79"/>
        <v>0</v>
      </c>
      <c r="Y298" s="1314">
        <f t="shared" si="80"/>
        <v>0</v>
      </c>
      <c r="Z298" s="1311"/>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1</v>
      </c>
      <c r="R299" s="703">
        <f t="shared" si="81"/>
        <v>0</v>
      </c>
      <c r="S299" s="334">
        <f t="shared" si="82"/>
        <v>0</v>
      </c>
      <c r="T299" s="1182">
        <f t="shared" si="83"/>
        <v>0</v>
      </c>
      <c r="U299" s="1314">
        <f t="shared" si="77"/>
        <v>0</v>
      </c>
      <c r="V299" s="1314">
        <f t="shared" si="78"/>
        <v>0</v>
      </c>
      <c r="W299" s="1311"/>
      <c r="X299" s="1314">
        <f t="shared" si="79"/>
        <v>0</v>
      </c>
      <c r="Y299" s="1314">
        <f t="shared" si="80"/>
        <v>0</v>
      </c>
      <c r="Z299" s="1311"/>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1</v>
      </c>
      <c r="R300" s="703">
        <f t="shared" si="81"/>
        <v>0</v>
      </c>
      <c r="S300" s="334">
        <f t="shared" si="82"/>
        <v>0</v>
      </c>
      <c r="T300" s="1182">
        <f t="shared" si="83"/>
        <v>0</v>
      </c>
      <c r="U300" s="1314">
        <f t="shared" si="77"/>
        <v>0</v>
      </c>
      <c r="V300" s="1314">
        <f t="shared" si="78"/>
        <v>0</v>
      </c>
      <c r="W300" s="1311"/>
      <c r="X300" s="1314">
        <f t="shared" si="79"/>
        <v>0</v>
      </c>
      <c r="Y300" s="1314">
        <f t="shared" si="80"/>
        <v>0</v>
      </c>
      <c r="Z300" s="1311"/>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1</v>
      </c>
      <c r="R301" s="703">
        <f t="shared" si="81"/>
        <v>0</v>
      </c>
      <c r="S301" s="334">
        <f t="shared" si="82"/>
        <v>0</v>
      </c>
      <c r="T301" s="1182">
        <f t="shared" si="83"/>
        <v>0</v>
      </c>
      <c r="U301" s="1314">
        <f t="shared" si="77"/>
        <v>0</v>
      </c>
      <c r="V301" s="1314">
        <f t="shared" si="78"/>
        <v>0</v>
      </c>
      <c r="W301" s="1311"/>
      <c r="X301" s="1314">
        <f t="shared" si="79"/>
        <v>0</v>
      </c>
      <c r="Y301" s="1314">
        <f t="shared" si="80"/>
        <v>0</v>
      </c>
      <c r="Z301" s="1311"/>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1</v>
      </c>
      <c r="R302" s="703">
        <f t="shared" si="81"/>
        <v>0</v>
      </c>
      <c r="S302" s="334">
        <f t="shared" si="82"/>
        <v>0</v>
      </c>
      <c r="T302" s="1182">
        <f t="shared" si="83"/>
        <v>0</v>
      </c>
      <c r="U302" s="1314">
        <f t="shared" si="77"/>
        <v>0</v>
      </c>
      <c r="V302" s="1314">
        <f t="shared" si="78"/>
        <v>0</v>
      </c>
      <c r="W302" s="1311"/>
      <c r="X302" s="1314">
        <f t="shared" si="79"/>
        <v>0</v>
      </c>
      <c r="Y302" s="1314">
        <f t="shared" si="80"/>
        <v>0</v>
      </c>
      <c r="Z302" s="1311"/>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1</v>
      </c>
      <c r="R303" s="703">
        <f t="shared" si="81"/>
        <v>0</v>
      </c>
      <c r="S303" s="334">
        <f t="shared" si="82"/>
        <v>0</v>
      </c>
      <c r="T303" s="1182">
        <f t="shared" si="83"/>
        <v>0</v>
      </c>
      <c r="U303" s="1314">
        <f t="shared" si="77"/>
        <v>0</v>
      </c>
      <c r="V303" s="1314">
        <f t="shared" si="78"/>
        <v>0</v>
      </c>
      <c r="W303" s="1311"/>
      <c r="X303" s="1314">
        <f t="shared" si="79"/>
        <v>0</v>
      </c>
      <c r="Y303" s="1314">
        <f t="shared" si="80"/>
        <v>0</v>
      </c>
      <c r="Z303" s="1311"/>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1</v>
      </c>
      <c r="R304" s="703">
        <f t="shared" si="81"/>
        <v>0</v>
      </c>
      <c r="S304" s="334">
        <f t="shared" si="82"/>
        <v>0</v>
      </c>
      <c r="T304" s="1182">
        <f t="shared" si="83"/>
        <v>0</v>
      </c>
      <c r="U304" s="1314">
        <f t="shared" si="77"/>
        <v>0</v>
      </c>
      <c r="V304" s="1314">
        <f t="shared" si="78"/>
        <v>0</v>
      </c>
      <c r="W304" s="1311"/>
      <c r="X304" s="1314">
        <f t="shared" si="79"/>
        <v>0</v>
      </c>
      <c r="Y304" s="1314">
        <f t="shared" si="80"/>
        <v>0</v>
      </c>
      <c r="Z304" s="1311"/>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1</v>
      </c>
      <c r="R305" s="703">
        <f t="shared" si="81"/>
        <v>0</v>
      </c>
      <c r="S305" s="334">
        <f t="shared" si="82"/>
        <v>0</v>
      </c>
      <c r="T305" s="1182">
        <f t="shared" si="83"/>
        <v>0</v>
      </c>
      <c r="U305" s="1314">
        <f t="shared" si="77"/>
        <v>0</v>
      </c>
      <c r="V305" s="1314">
        <f t="shared" si="78"/>
        <v>0</v>
      </c>
      <c r="W305" s="1311"/>
      <c r="X305" s="1314">
        <f t="shared" si="79"/>
        <v>0</v>
      </c>
      <c r="Y305" s="1314">
        <f t="shared" si="80"/>
        <v>0</v>
      </c>
      <c r="Z305" s="1311"/>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1</v>
      </c>
      <c r="R306" s="703">
        <f t="shared" si="81"/>
        <v>0</v>
      </c>
      <c r="S306" s="334">
        <f t="shared" si="82"/>
        <v>0</v>
      </c>
      <c r="T306" s="1182">
        <f t="shared" si="83"/>
        <v>0</v>
      </c>
      <c r="U306" s="1314">
        <f t="shared" si="77"/>
        <v>0</v>
      </c>
      <c r="V306" s="1314">
        <f t="shared" si="78"/>
        <v>0</v>
      </c>
      <c r="W306" s="1311"/>
      <c r="X306" s="1314">
        <f t="shared" si="79"/>
        <v>0</v>
      </c>
      <c r="Y306" s="1314">
        <f t="shared" si="80"/>
        <v>0</v>
      </c>
      <c r="Z306" s="1311"/>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1</v>
      </c>
      <c r="R307" s="703">
        <f t="shared" si="81"/>
        <v>0</v>
      </c>
      <c r="S307" s="334">
        <f t="shared" si="82"/>
        <v>0</v>
      </c>
      <c r="T307" s="1182">
        <f t="shared" si="83"/>
        <v>0</v>
      </c>
      <c r="U307" s="1314">
        <f t="shared" si="77"/>
        <v>0</v>
      </c>
      <c r="V307" s="1314">
        <f t="shared" si="78"/>
        <v>0</v>
      </c>
      <c r="W307" s="1311"/>
      <c r="X307" s="1314">
        <f t="shared" si="79"/>
        <v>0</v>
      </c>
      <c r="Y307" s="1314">
        <f t="shared" si="80"/>
        <v>0</v>
      </c>
      <c r="Z307" s="1311"/>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1</v>
      </c>
      <c r="R308" s="703">
        <f t="shared" si="81"/>
        <v>0</v>
      </c>
      <c r="S308" s="334">
        <f t="shared" si="82"/>
        <v>0</v>
      </c>
      <c r="T308" s="1182">
        <f t="shared" si="83"/>
        <v>0</v>
      </c>
      <c r="U308" s="1314">
        <f t="shared" si="77"/>
        <v>0</v>
      </c>
      <c r="V308" s="1314">
        <f t="shared" si="78"/>
        <v>0</v>
      </c>
      <c r="W308" s="1311"/>
      <c r="X308" s="1314">
        <f t="shared" si="79"/>
        <v>0</v>
      </c>
      <c r="Y308" s="1314">
        <f t="shared" si="80"/>
        <v>0</v>
      </c>
      <c r="Z308" s="1311"/>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1</v>
      </c>
      <c r="R309" s="703">
        <f t="shared" si="81"/>
        <v>0</v>
      </c>
      <c r="S309" s="334">
        <f t="shared" si="82"/>
        <v>0</v>
      </c>
      <c r="T309" s="1182">
        <f t="shared" si="83"/>
        <v>0</v>
      </c>
      <c r="U309" s="1314">
        <f t="shared" si="77"/>
        <v>0</v>
      </c>
      <c r="V309" s="1314">
        <f t="shared" si="78"/>
        <v>0</v>
      </c>
      <c r="W309" s="1311"/>
      <c r="X309" s="1314">
        <f t="shared" si="79"/>
        <v>0</v>
      </c>
      <c r="Y309" s="1314">
        <f t="shared" si="80"/>
        <v>0</v>
      </c>
      <c r="Z309" s="1311"/>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1</v>
      </c>
      <c r="R310" s="703">
        <f t="shared" si="81"/>
        <v>0</v>
      </c>
      <c r="S310" s="334">
        <f t="shared" si="82"/>
        <v>0</v>
      </c>
      <c r="T310" s="1182">
        <f t="shared" si="83"/>
        <v>0</v>
      </c>
      <c r="U310" s="1314">
        <f t="shared" si="77"/>
        <v>0</v>
      </c>
      <c r="V310" s="1314">
        <f t="shared" si="78"/>
        <v>0</v>
      </c>
      <c r="W310" s="1311"/>
      <c r="X310" s="1314">
        <f t="shared" si="79"/>
        <v>0</v>
      </c>
      <c r="Y310" s="1314">
        <f t="shared" si="80"/>
        <v>0</v>
      </c>
      <c r="Z310" s="1311"/>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1</v>
      </c>
      <c r="R311" s="703">
        <f t="shared" si="81"/>
        <v>0</v>
      </c>
      <c r="S311" s="334">
        <f t="shared" si="82"/>
        <v>0</v>
      </c>
      <c r="T311" s="1182">
        <f t="shared" si="83"/>
        <v>0</v>
      </c>
      <c r="U311" s="1314">
        <f t="shared" si="77"/>
        <v>0</v>
      </c>
      <c r="V311" s="1314">
        <f t="shared" si="78"/>
        <v>0</v>
      </c>
      <c r="W311" s="1311"/>
      <c r="X311" s="1314">
        <f t="shared" si="79"/>
        <v>0</v>
      </c>
      <c r="Y311" s="1314">
        <f t="shared" si="80"/>
        <v>0</v>
      </c>
      <c r="Z311" s="1311"/>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1</v>
      </c>
      <c r="R312" s="703">
        <f t="shared" si="81"/>
        <v>0</v>
      </c>
      <c r="S312" s="334">
        <f t="shared" si="82"/>
        <v>0</v>
      </c>
      <c r="T312" s="1182">
        <f t="shared" si="83"/>
        <v>0</v>
      </c>
      <c r="U312" s="1314">
        <f t="shared" si="77"/>
        <v>0</v>
      </c>
      <c r="V312" s="1314">
        <f t="shared" si="78"/>
        <v>0</v>
      </c>
      <c r="W312" s="1311"/>
      <c r="X312" s="1314">
        <f t="shared" si="79"/>
        <v>0</v>
      </c>
      <c r="Y312" s="1314">
        <f t="shared" si="80"/>
        <v>0</v>
      </c>
      <c r="Z312" s="1311"/>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1</v>
      </c>
      <c r="R313" s="703">
        <f t="shared" si="81"/>
        <v>0</v>
      </c>
      <c r="S313" s="334">
        <f t="shared" si="82"/>
        <v>0</v>
      </c>
      <c r="T313" s="1182">
        <f t="shared" si="83"/>
        <v>0</v>
      </c>
      <c r="U313" s="1314">
        <f t="shared" si="77"/>
        <v>0</v>
      </c>
      <c r="V313" s="1314">
        <f t="shared" si="78"/>
        <v>0</v>
      </c>
      <c r="W313" s="1311"/>
      <c r="X313" s="1314">
        <f t="shared" si="79"/>
        <v>0</v>
      </c>
      <c r="Y313" s="1314">
        <f t="shared" si="80"/>
        <v>0</v>
      </c>
      <c r="Z313" s="1311"/>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1</v>
      </c>
      <c r="R314" s="703">
        <f t="shared" si="81"/>
        <v>0</v>
      </c>
      <c r="S314" s="334">
        <f t="shared" si="82"/>
        <v>0</v>
      </c>
      <c r="T314" s="1182">
        <f t="shared" si="83"/>
        <v>0</v>
      </c>
      <c r="U314" s="1314">
        <f t="shared" si="77"/>
        <v>0</v>
      </c>
      <c r="V314" s="1314">
        <f t="shared" si="78"/>
        <v>0</v>
      </c>
      <c r="W314" s="1311"/>
      <c r="X314" s="1314">
        <f t="shared" si="79"/>
        <v>0</v>
      </c>
      <c r="Y314" s="1314">
        <f t="shared" si="80"/>
        <v>0</v>
      </c>
      <c r="Z314" s="1311"/>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1</v>
      </c>
      <c r="R315" s="703">
        <f t="shared" si="81"/>
        <v>0</v>
      </c>
      <c r="S315" s="334">
        <f t="shared" si="82"/>
        <v>0</v>
      </c>
      <c r="T315" s="1182">
        <f t="shared" si="83"/>
        <v>0</v>
      </c>
      <c r="U315" s="1314">
        <f t="shared" si="77"/>
        <v>0</v>
      </c>
      <c r="V315" s="1314">
        <f t="shared" si="78"/>
        <v>0</v>
      </c>
      <c r="W315" s="1311"/>
      <c r="X315" s="1314">
        <f t="shared" si="79"/>
        <v>0</v>
      </c>
      <c r="Y315" s="1314">
        <f t="shared" si="80"/>
        <v>0</v>
      </c>
      <c r="Z315" s="1311"/>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1</v>
      </c>
      <c r="R316" s="703">
        <f t="shared" si="81"/>
        <v>0</v>
      </c>
      <c r="S316" s="334">
        <f t="shared" si="82"/>
        <v>0</v>
      </c>
      <c r="T316" s="1182">
        <f t="shared" si="83"/>
        <v>0</v>
      </c>
      <c r="U316" s="1314">
        <f t="shared" si="77"/>
        <v>0</v>
      </c>
      <c r="V316" s="1314">
        <f t="shared" si="78"/>
        <v>0</v>
      </c>
      <c r="W316" s="1311"/>
      <c r="X316" s="1314">
        <f t="shared" si="79"/>
        <v>0</v>
      </c>
      <c r="Y316" s="1314">
        <f t="shared" si="80"/>
        <v>0</v>
      </c>
      <c r="Z316" s="1311"/>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1</v>
      </c>
      <c r="R317" s="703">
        <f t="shared" si="81"/>
        <v>0</v>
      </c>
      <c r="S317" s="334">
        <f t="shared" si="82"/>
        <v>0</v>
      </c>
      <c r="T317" s="1182">
        <f t="shared" si="83"/>
        <v>0</v>
      </c>
      <c r="U317" s="1314">
        <f t="shared" si="77"/>
        <v>0</v>
      </c>
      <c r="V317" s="1314">
        <f t="shared" si="78"/>
        <v>0</v>
      </c>
      <c r="W317" s="1311"/>
      <c r="X317" s="1314">
        <f t="shared" si="79"/>
        <v>0</v>
      </c>
      <c r="Y317" s="1314">
        <f t="shared" si="80"/>
        <v>0</v>
      </c>
      <c r="Z317" s="1311"/>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1</v>
      </c>
      <c r="R318" s="703">
        <f t="shared" si="81"/>
        <v>0</v>
      </c>
      <c r="S318" s="334">
        <f t="shared" si="82"/>
        <v>0</v>
      </c>
      <c r="T318" s="1182">
        <f t="shared" si="83"/>
        <v>0</v>
      </c>
      <c r="U318" s="1314">
        <f t="shared" si="77"/>
        <v>0</v>
      </c>
      <c r="V318" s="1314">
        <f t="shared" si="78"/>
        <v>0</v>
      </c>
      <c r="W318" s="1311"/>
      <c r="X318" s="1314">
        <f t="shared" si="79"/>
        <v>0</v>
      </c>
      <c r="Y318" s="1314">
        <f t="shared" si="80"/>
        <v>0</v>
      </c>
      <c r="Z318" s="1311"/>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1</v>
      </c>
      <c r="R319" s="703">
        <f t="shared" si="81"/>
        <v>0</v>
      </c>
      <c r="S319" s="334">
        <f t="shared" si="82"/>
        <v>0</v>
      </c>
      <c r="T319" s="1182">
        <f t="shared" si="83"/>
        <v>0</v>
      </c>
      <c r="U319" s="1314">
        <f t="shared" si="77"/>
        <v>0</v>
      </c>
      <c r="V319" s="1314">
        <f t="shared" si="78"/>
        <v>0</v>
      </c>
      <c r="W319" s="1311"/>
      <c r="X319" s="1314">
        <f t="shared" si="79"/>
        <v>0</v>
      </c>
      <c r="Y319" s="1314">
        <f t="shared" si="80"/>
        <v>0</v>
      </c>
      <c r="Z319" s="1311"/>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1</v>
      </c>
      <c r="R320" s="703">
        <f t="shared" si="81"/>
        <v>0</v>
      </c>
      <c r="S320" s="334">
        <f t="shared" si="82"/>
        <v>0</v>
      </c>
      <c r="T320" s="1182">
        <f t="shared" si="83"/>
        <v>0</v>
      </c>
      <c r="U320" s="1314">
        <f t="shared" si="77"/>
        <v>0</v>
      </c>
      <c r="V320" s="1314">
        <f t="shared" si="78"/>
        <v>0</v>
      </c>
      <c r="W320" s="1311"/>
      <c r="X320" s="1314">
        <f t="shared" si="79"/>
        <v>0</v>
      </c>
      <c r="Y320" s="1314">
        <f t="shared" si="80"/>
        <v>0</v>
      </c>
      <c r="Z320" s="1311"/>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1</v>
      </c>
      <c r="R321" s="703">
        <f t="shared" si="81"/>
        <v>0</v>
      </c>
      <c r="S321" s="334">
        <f t="shared" si="82"/>
        <v>0</v>
      </c>
      <c r="T321" s="1182">
        <f t="shared" si="83"/>
        <v>0</v>
      </c>
      <c r="U321" s="1314">
        <f t="shared" si="77"/>
        <v>0</v>
      </c>
      <c r="V321" s="1314">
        <f t="shared" si="78"/>
        <v>0</v>
      </c>
      <c r="W321" s="1311"/>
      <c r="X321" s="1314">
        <f t="shared" si="79"/>
        <v>0</v>
      </c>
      <c r="Y321" s="1314">
        <f t="shared" si="80"/>
        <v>0</v>
      </c>
      <c r="Z321" s="1311"/>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1</v>
      </c>
      <c r="R322" s="703">
        <f t="shared" si="81"/>
        <v>0</v>
      </c>
      <c r="S322" s="334">
        <f t="shared" si="82"/>
        <v>0</v>
      </c>
      <c r="T322" s="1182">
        <f t="shared" si="83"/>
        <v>0</v>
      </c>
      <c r="U322" s="1314">
        <f t="shared" si="77"/>
        <v>0</v>
      </c>
      <c r="V322" s="1314">
        <f t="shared" si="78"/>
        <v>0</v>
      </c>
      <c r="W322" s="1311"/>
      <c r="X322" s="1314">
        <f t="shared" si="79"/>
        <v>0</v>
      </c>
      <c r="Y322" s="1314">
        <f t="shared" si="80"/>
        <v>0</v>
      </c>
      <c r="Z322" s="1311"/>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1</v>
      </c>
      <c r="R323" s="703">
        <f t="shared" si="81"/>
        <v>0</v>
      </c>
      <c r="S323" s="334">
        <f t="shared" si="82"/>
        <v>0</v>
      </c>
      <c r="T323" s="1182">
        <f t="shared" si="83"/>
        <v>0</v>
      </c>
      <c r="U323" s="1314">
        <f t="shared" si="77"/>
        <v>0</v>
      </c>
      <c r="V323" s="1314">
        <f t="shared" si="78"/>
        <v>0</v>
      </c>
      <c r="W323" s="1311"/>
      <c r="X323" s="1314">
        <f t="shared" si="79"/>
        <v>0</v>
      </c>
      <c r="Y323" s="1314">
        <f t="shared" si="80"/>
        <v>0</v>
      </c>
      <c r="Z323" s="1311"/>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1</v>
      </c>
      <c r="R324" s="703">
        <f t="shared" si="81"/>
        <v>0</v>
      </c>
      <c r="S324" s="334">
        <f t="shared" si="82"/>
        <v>0</v>
      </c>
      <c r="T324" s="1182">
        <f t="shared" si="83"/>
        <v>0</v>
      </c>
      <c r="U324" s="1314">
        <f t="shared" si="77"/>
        <v>0</v>
      </c>
      <c r="V324" s="1314">
        <f t="shared" si="78"/>
        <v>0</v>
      </c>
      <c r="W324" s="1311"/>
      <c r="X324" s="1314">
        <f t="shared" si="79"/>
        <v>0</v>
      </c>
      <c r="Y324" s="1314">
        <f t="shared" si="80"/>
        <v>0</v>
      </c>
      <c r="Z324" s="1311"/>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1</v>
      </c>
      <c r="R325" s="703">
        <f t="shared" si="81"/>
        <v>0</v>
      </c>
      <c r="S325" s="334">
        <f t="shared" si="82"/>
        <v>0</v>
      </c>
      <c r="T325" s="1182">
        <f t="shared" si="83"/>
        <v>0</v>
      </c>
      <c r="U325" s="1314">
        <f t="shared" si="77"/>
        <v>0</v>
      </c>
      <c r="V325" s="1314">
        <f t="shared" si="78"/>
        <v>0</v>
      </c>
      <c r="W325" s="1311"/>
      <c r="X325" s="1314">
        <f t="shared" si="79"/>
        <v>0</v>
      </c>
      <c r="Y325" s="1314">
        <f t="shared" si="80"/>
        <v>0</v>
      </c>
      <c r="Z325" s="1311"/>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1</v>
      </c>
      <c r="R326" s="703">
        <f t="shared" si="81"/>
        <v>0</v>
      </c>
      <c r="S326" s="334">
        <f t="shared" si="82"/>
        <v>0</v>
      </c>
      <c r="T326" s="1182">
        <f t="shared" si="83"/>
        <v>0</v>
      </c>
      <c r="U326" s="1314">
        <f t="shared" si="77"/>
        <v>0</v>
      </c>
      <c r="V326" s="1314">
        <f t="shared" si="78"/>
        <v>0</v>
      </c>
      <c r="W326" s="1311"/>
      <c r="X326" s="1314">
        <f t="shared" si="79"/>
        <v>0</v>
      </c>
      <c r="Y326" s="1314">
        <f t="shared" si="80"/>
        <v>0</v>
      </c>
      <c r="Z326" s="1311"/>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1</v>
      </c>
      <c r="R327" s="703">
        <f t="shared" si="81"/>
        <v>0</v>
      </c>
      <c r="S327" s="334">
        <f t="shared" si="82"/>
        <v>0</v>
      </c>
      <c r="T327" s="1182">
        <f t="shared" si="83"/>
        <v>0</v>
      </c>
      <c r="U327" s="1314">
        <f t="shared" si="77"/>
        <v>0</v>
      </c>
      <c r="V327" s="1314">
        <f t="shared" si="78"/>
        <v>0</v>
      </c>
      <c r="W327" s="1311"/>
      <c r="X327" s="1314">
        <f t="shared" si="79"/>
        <v>0</v>
      </c>
      <c r="Y327" s="1314">
        <f t="shared" si="80"/>
        <v>0</v>
      </c>
      <c r="Z327" s="1311"/>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1</v>
      </c>
      <c r="R328" s="703">
        <f t="shared" si="81"/>
        <v>0</v>
      </c>
      <c r="S328" s="334">
        <f t="shared" si="82"/>
        <v>0</v>
      </c>
      <c r="T328" s="1182">
        <f t="shared" si="83"/>
        <v>0</v>
      </c>
      <c r="U328" s="1314">
        <f t="shared" si="77"/>
        <v>0</v>
      </c>
      <c r="V328" s="1314">
        <f t="shared" si="78"/>
        <v>0</v>
      </c>
      <c r="W328" s="1311"/>
      <c r="X328" s="1314">
        <f t="shared" si="79"/>
        <v>0</v>
      </c>
      <c r="Y328" s="1314">
        <f t="shared" si="80"/>
        <v>0</v>
      </c>
      <c r="Z328" s="1311"/>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1</v>
      </c>
      <c r="R329" s="703">
        <f t="shared" si="81"/>
        <v>0</v>
      </c>
      <c r="S329" s="334">
        <f t="shared" si="82"/>
        <v>0</v>
      </c>
      <c r="T329" s="1182">
        <f t="shared" si="83"/>
        <v>0</v>
      </c>
      <c r="U329" s="1314">
        <f t="shared" si="77"/>
        <v>0</v>
      </c>
      <c r="V329" s="1314">
        <f t="shared" si="78"/>
        <v>0</v>
      </c>
      <c r="W329" s="1311"/>
      <c r="X329" s="1314">
        <f t="shared" si="79"/>
        <v>0</v>
      </c>
      <c r="Y329" s="1314">
        <f t="shared" si="80"/>
        <v>0</v>
      </c>
      <c r="Z329" s="1311"/>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1</v>
      </c>
      <c r="R330" s="703">
        <f t="shared" si="81"/>
        <v>0</v>
      </c>
      <c r="S330" s="334">
        <f t="shared" si="82"/>
        <v>0</v>
      </c>
      <c r="T330" s="1182">
        <f t="shared" si="83"/>
        <v>0</v>
      </c>
      <c r="U330" s="1314">
        <f t="shared" si="77"/>
        <v>0</v>
      </c>
      <c r="V330" s="1314">
        <f t="shared" si="78"/>
        <v>0</v>
      </c>
      <c r="W330" s="1311"/>
      <c r="X330" s="1314">
        <f t="shared" si="79"/>
        <v>0</v>
      </c>
      <c r="Y330" s="1314">
        <f t="shared" si="80"/>
        <v>0</v>
      </c>
      <c r="Z330" s="1311"/>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1</v>
      </c>
      <c r="R331" s="703">
        <f t="shared" si="81"/>
        <v>0</v>
      </c>
      <c r="S331" s="334">
        <f t="shared" si="82"/>
        <v>0</v>
      </c>
      <c r="T331" s="1182">
        <f t="shared" si="83"/>
        <v>0</v>
      </c>
      <c r="U331" s="1314">
        <f t="shared" si="77"/>
        <v>0</v>
      </c>
      <c r="V331" s="1314">
        <f t="shared" si="78"/>
        <v>0</v>
      </c>
      <c r="W331" s="1311"/>
      <c r="X331" s="1314">
        <f t="shared" si="79"/>
        <v>0</v>
      </c>
      <c r="Y331" s="1314">
        <f t="shared" si="80"/>
        <v>0</v>
      </c>
      <c r="Z331" s="1311"/>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1</v>
      </c>
      <c r="R332" s="703">
        <f t="shared" si="81"/>
        <v>0</v>
      </c>
      <c r="S332" s="334">
        <f t="shared" si="82"/>
        <v>0</v>
      </c>
      <c r="T332" s="1182">
        <f t="shared" si="83"/>
        <v>0</v>
      </c>
      <c r="U332" s="1314">
        <f t="shared" si="77"/>
        <v>0</v>
      </c>
      <c r="V332" s="1314">
        <f t="shared" si="78"/>
        <v>0</v>
      </c>
      <c r="W332" s="1311"/>
      <c r="X332" s="1314">
        <f t="shared" si="79"/>
        <v>0</v>
      </c>
      <c r="Y332" s="1314">
        <f t="shared" si="80"/>
        <v>0</v>
      </c>
      <c r="Z332" s="1311"/>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1</v>
      </c>
      <c r="R333" s="703">
        <f t="shared" si="81"/>
        <v>0</v>
      </c>
      <c r="S333" s="334">
        <f t="shared" si="82"/>
        <v>0</v>
      </c>
      <c r="T333" s="1182">
        <f t="shared" si="83"/>
        <v>0</v>
      </c>
      <c r="U333" s="1314">
        <f t="shared" si="77"/>
        <v>0</v>
      </c>
      <c r="V333" s="1314">
        <f t="shared" si="78"/>
        <v>0</v>
      </c>
      <c r="W333" s="1311"/>
      <c r="X333" s="1314">
        <f t="shared" si="79"/>
        <v>0</v>
      </c>
      <c r="Y333" s="1314">
        <f t="shared" si="80"/>
        <v>0</v>
      </c>
      <c r="Z333" s="1311"/>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1</v>
      </c>
      <c r="R334" s="703">
        <f t="shared" si="81"/>
        <v>0</v>
      </c>
      <c r="S334" s="334">
        <f t="shared" si="82"/>
        <v>0</v>
      </c>
      <c r="T334" s="1182">
        <f t="shared" si="83"/>
        <v>0</v>
      </c>
      <c r="U334" s="1314">
        <f t="shared" si="77"/>
        <v>0</v>
      </c>
      <c r="V334" s="1314">
        <f t="shared" si="78"/>
        <v>0</v>
      </c>
      <c r="W334" s="1311"/>
      <c r="X334" s="1314">
        <f t="shared" si="79"/>
        <v>0</v>
      </c>
      <c r="Y334" s="1314">
        <f t="shared" si="80"/>
        <v>0</v>
      </c>
      <c r="Z334" s="1311"/>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1</v>
      </c>
      <c r="R335" s="703">
        <f t="shared" si="81"/>
        <v>0</v>
      </c>
      <c r="S335" s="334">
        <f t="shared" si="82"/>
        <v>0</v>
      </c>
      <c r="T335" s="1182">
        <f t="shared" si="83"/>
        <v>0</v>
      </c>
      <c r="U335" s="1314">
        <f t="shared" si="77"/>
        <v>0</v>
      </c>
      <c r="V335" s="1314">
        <f t="shared" si="78"/>
        <v>0</v>
      </c>
      <c r="W335" s="1311"/>
      <c r="X335" s="1314">
        <f t="shared" si="79"/>
        <v>0</v>
      </c>
      <c r="Y335" s="1314">
        <f t="shared" si="80"/>
        <v>0</v>
      </c>
      <c r="Z335" s="1311"/>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1</v>
      </c>
      <c r="R336" s="703">
        <f t="shared" si="81"/>
        <v>0</v>
      </c>
      <c r="S336" s="334">
        <f t="shared" si="82"/>
        <v>0</v>
      </c>
      <c r="T336" s="1182">
        <f t="shared" si="83"/>
        <v>0</v>
      </c>
      <c r="U336" s="1314">
        <f t="shared" si="77"/>
        <v>0</v>
      </c>
      <c r="V336" s="1314">
        <f t="shared" si="78"/>
        <v>0</v>
      </c>
      <c r="W336" s="1311"/>
      <c r="X336" s="1314">
        <f t="shared" si="79"/>
        <v>0</v>
      </c>
      <c r="Y336" s="1314">
        <f t="shared" si="80"/>
        <v>0</v>
      </c>
      <c r="Z336" s="1311"/>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1</v>
      </c>
      <c r="R337" s="703">
        <f t="shared" si="81"/>
        <v>0</v>
      </c>
      <c r="S337" s="334">
        <f t="shared" si="82"/>
        <v>0</v>
      </c>
      <c r="T337" s="1182">
        <f t="shared" si="83"/>
        <v>0</v>
      </c>
      <c r="U337" s="1314">
        <f t="shared" si="77"/>
        <v>0</v>
      </c>
      <c r="V337" s="1314">
        <f t="shared" si="78"/>
        <v>0</v>
      </c>
      <c r="W337" s="1311"/>
      <c r="X337" s="1314">
        <f t="shared" si="79"/>
        <v>0</v>
      </c>
      <c r="Y337" s="1314">
        <f t="shared" si="80"/>
        <v>0</v>
      </c>
      <c r="Z337" s="1311"/>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1</v>
      </c>
      <c r="R338" s="703">
        <f t="shared" si="81"/>
        <v>0</v>
      </c>
      <c r="S338" s="334">
        <f t="shared" si="82"/>
        <v>0</v>
      </c>
      <c r="T338" s="1182">
        <f t="shared" si="83"/>
        <v>0</v>
      </c>
      <c r="U338" s="1314">
        <f t="shared" si="77"/>
        <v>0</v>
      </c>
      <c r="V338" s="1314">
        <f t="shared" si="78"/>
        <v>0</v>
      </c>
      <c r="W338" s="1311"/>
      <c r="X338" s="1314">
        <f t="shared" si="79"/>
        <v>0</v>
      </c>
      <c r="Y338" s="1314">
        <f t="shared" si="80"/>
        <v>0</v>
      </c>
      <c r="Z338" s="1311"/>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1</v>
      </c>
      <c r="R339" s="703">
        <f t="shared" si="81"/>
        <v>0</v>
      </c>
      <c r="S339" s="334">
        <f t="shared" si="82"/>
        <v>0</v>
      </c>
      <c r="T339" s="1182">
        <f t="shared" si="83"/>
        <v>0</v>
      </c>
      <c r="U339" s="1314">
        <f t="shared" si="77"/>
        <v>0</v>
      </c>
      <c r="V339" s="1314">
        <f t="shared" si="78"/>
        <v>0</v>
      </c>
      <c r="W339" s="1311"/>
      <c r="X339" s="1314">
        <f t="shared" si="79"/>
        <v>0</v>
      </c>
      <c r="Y339" s="1314">
        <f t="shared" si="80"/>
        <v>0</v>
      </c>
      <c r="Z339" s="1311"/>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1</v>
      </c>
      <c r="R340" s="703">
        <f t="shared" si="81"/>
        <v>0</v>
      </c>
      <c r="S340" s="334">
        <f t="shared" si="82"/>
        <v>0</v>
      </c>
      <c r="T340" s="1182">
        <f t="shared" si="83"/>
        <v>0</v>
      </c>
      <c r="U340" s="1314">
        <f t="shared" si="77"/>
        <v>0</v>
      </c>
      <c r="V340" s="1314">
        <f t="shared" si="78"/>
        <v>0</v>
      </c>
      <c r="W340" s="1311"/>
      <c r="X340" s="1314">
        <f t="shared" si="79"/>
        <v>0</v>
      </c>
      <c r="Y340" s="1314">
        <f t="shared" si="80"/>
        <v>0</v>
      </c>
      <c r="Z340" s="1311"/>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1</v>
      </c>
      <c r="R341" s="703">
        <f t="shared" si="81"/>
        <v>0</v>
      </c>
      <c r="S341" s="334">
        <f t="shared" si="82"/>
        <v>0</v>
      </c>
      <c r="T341" s="1182">
        <f t="shared" si="83"/>
        <v>0</v>
      </c>
      <c r="U341" s="1314">
        <f t="shared" si="77"/>
        <v>0</v>
      </c>
      <c r="V341" s="1314">
        <f t="shared" si="78"/>
        <v>0</v>
      </c>
      <c r="W341" s="1311"/>
      <c r="X341" s="1314">
        <f t="shared" si="79"/>
        <v>0</v>
      </c>
      <c r="Y341" s="1314">
        <f t="shared" si="80"/>
        <v>0</v>
      </c>
      <c r="Z341" s="1311"/>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1</v>
      </c>
      <c r="R342" s="703">
        <f t="shared" si="81"/>
        <v>0</v>
      </c>
      <c r="S342" s="334">
        <f t="shared" si="82"/>
        <v>0</v>
      </c>
      <c r="T342" s="1182">
        <f t="shared" si="83"/>
        <v>0</v>
      </c>
      <c r="U342" s="1314">
        <f t="shared" si="77"/>
        <v>0</v>
      </c>
      <c r="V342" s="1314">
        <f t="shared" si="78"/>
        <v>0</v>
      </c>
      <c r="W342" s="1311"/>
      <c r="X342" s="1314">
        <f t="shared" si="79"/>
        <v>0</v>
      </c>
      <c r="Y342" s="1314">
        <f t="shared" si="80"/>
        <v>0</v>
      </c>
      <c r="Z342" s="1311"/>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1</v>
      </c>
      <c r="R343" s="703">
        <f t="shared" si="81"/>
        <v>0</v>
      </c>
      <c r="S343" s="334">
        <f t="shared" si="82"/>
        <v>0</v>
      </c>
      <c r="T343" s="1182">
        <f t="shared" si="83"/>
        <v>0</v>
      </c>
      <c r="U343" s="1314">
        <f t="shared" si="77"/>
        <v>0</v>
      </c>
      <c r="V343" s="1314">
        <f t="shared" si="78"/>
        <v>0</v>
      </c>
      <c r="W343" s="1311"/>
      <c r="X343" s="1314">
        <f t="shared" si="79"/>
        <v>0</v>
      </c>
      <c r="Y343" s="1314">
        <f t="shared" si="80"/>
        <v>0</v>
      </c>
      <c r="Z343" s="1311"/>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1</v>
      </c>
      <c r="R344" s="703">
        <f t="shared" si="81"/>
        <v>0</v>
      </c>
      <c r="S344" s="334">
        <f t="shared" si="82"/>
        <v>0</v>
      </c>
      <c r="T344" s="1182">
        <f t="shared" si="83"/>
        <v>0</v>
      </c>
      <c r="U344" s="1314">
        <f t="shared" si="77"/>
        <v>0</v>
      </c>
      <c r="V344" s="1314">
        <f t="shared" si="78"/>
        <v>0</v>
      </c>
      <c r="W344" s="1311"/>
      <c r="X344" s="1314">
        <f t="shared" si="79"/>
        <v>0</v>
      </c>
      <c r="Y344" s="1314">
        <f t="shared" si="80"/>
        <v>0</v>
      </c>
      <c r="Z344" s="1311"/>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1</v>
      </c>
      <c r="R345" s="703">
        <f t="shared" si="81"/>
        <v>0</v>
      </c>
      <c r="S345" s="334">
        <f t="shared" si="82"/>
        <v>0</v>
      </c>
      <c r="T345" s="1182">
        <f t="shared" si="83"/>
        <v>0</v>
      </c>
      <c r="U345" s="1314">
        <f t="shared" si="77"/>
        <v>0</v>
      </c>
      <c r="V345" s="1314">
        <f t="shared" si="78"/>
        <v>0</v>
      </c>
      <c r="W345" s="1311"/>
      <c r="X345" s="1314">
        <f t="shared" si="79"/>
        <v>0</v>
      </c>
      <c r="Y345" s="1314">
        <f t="shared" si="80"/>
        <v>0</v>
      </c>
      <c r="Z345" s="1311"/>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1</v>
      </c>
      <c r="R346" s="703">
        <f t="shared" si="81"/>
        <v>0</v>
      </c>
      <c r="S346" s="334">
        <f t="shared" si="82"/>
        <v>0</v>
      </c>
      <c r="T346" s="1182">
        <f t="shared" si="83"/>
        <v>0</v>
      </c>
      <c r="U346" s="1314">
        <f t="shared" si="77"/>
        <v>0</v>
      </c>
      <c r="V346" s="1314">
        <f t="shared" si="78"/>
        <v>0</v>
      </c>
      <c r="W346" s="1311"/>
      <c r="X346" s="1314">
        <f t="shared" si="79"/>
        <v>0</v>
      </c>
      <c r="Y346" s="1314">
        <f t="shared" si="80"/>
        <v>0</v>
      </c>
      <c r="Z346" s="1311"/>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1</v>
      </c>
      <c r="R347" s="703">
        <f t="shared" si="81"/>
        <v>0</v>
      </c>
      <c r="S347" s="334">
        <f t="shared" si="82"/>
        <v>0</v>
      </c>
      <c r="T347" s="1182">
        <f t="shared" si="83"/>
        <v>0</v>
      </c>
      <c r="U347" s="1314">
        <f t="shared" si="77"/>
        <v>0</v>
      </c>
      <c r="V347" s="1314">
        <f t="shared" si="78"/>
        <v>0</v>
      </c>
      <c r="W347" s="1311"/>
      <c r="X347" s="1314">
        <f t="shared" si="79"/>
        <v>0</v>
      </c>
      <c r="Y347" s="1314">
        <f t="shared" si="80"/>
        <v>0</v>
      </c>
      <c r="Z347" s="1311"/>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1</v>
      </c>
      <c r="R348" s="703">
        <f t="shared" si="81"/>
        <v>0</v>
      </c>
      <c r="S348" s="334">
        <f t="shared" si="82"/>
        <v>0</v>
      </c>
      <c r="T348" s="1182">
        <f t="shared" si="83"/>
        <v>0</v>
      </c>
      <c r="U348" s="1314">
        <f t="shared" ref="U348:U411" si="92">ROUND(W348*B348,0)</f>
        <v>0</v>
      </c>
      <c r="V348" s="1314">
        <f t="shared" ref="V348:V411" si="93">ROUND(W348*B348/10000,0)</f>
        <v>0</v>
      </c>
      <c r="W348" s="1311"/>
      <c r="X348" s="1314">
        <f t="shared" ref="X348:X411" si="94">ROUND(Z348*B348,0)</f>
        <v>0</v>
      </c>
      <c r="Y348" s="1314">
        <f t="shared" ref="Y348:Y411" si="95">ROUND(Z348*B348/10000,0)</f>
        <v>0</v>
      </c>
      <c r="Z348" s="1311"/>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1</v>
      </c>
      <c r="R349" s="703">
        <f t="shared" ref="R349:R412" si="96">IF(B349="",0,ROUND($R$27*C349*E349*G349*I349*K349*M349*O349*Q349,0))</f>
        <v>0</v>
      </c>
      <c r="S349" s="334">
        <f t="shared" ref="S349:S412" si="97">ROUND(R349*B349,0)</f>
        <v>0</v>
      </c>
      <c r="T349" s="1182">
        <f t="shared" ref="T349:T412" si="98">ROUND(R349*B349/10000,0)</f>
        <v>0</v>
      </c>
      <c r="U349" s="1314">
        <f t="shared" si="92"/>
        <v>0</v>
      </c>
      <c r="V349" s="1314">
        <f t="shared" si="93"/>
        <v>0</v>
      </c>
      <c r="W349" s="1311"/>
      <c r="X349" s="1314">
        <f t="shared" si="94"/>
        <v>0</v>
      </c>
      <c r="Y349" s="1314">
        <f t="shared" si="95"/>
        <v>0</v>
      </c>
      <c r="Z349" s="1311"/>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1</v>
      </c>
      <c r="R350" s="703">
        <f t="shared" si="96"/>
        <v>0</v>
      </c>
      <c r="S350" s="334">
        <f t="shared" si="97"/>
        <v>0</v>
      </c>
      <c r="T350" s="1182">
        <f t="shared" si="98"/>
        <v>0</v>
      </c>
      <c r="U350" s="1314">
        <f t="shared" si="92"/>
        <v>0</v>
      </c>
      <c r="V350" s="1314">
        <f t="shared" si="93"/>
        <v>0</v>
      </c>
      <c r="W350" s="1311"/>
      <c r="X350" s="1314">
        <f t="shared" si="94"/>
        <v>0</v>
      </c>
      <c r="Y350" s="1314">
        <f t="shared" si="95"/>
        <v>0</v>
      </c>
      <c r="Z350" s="1311"/>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1</v>
      </c>
      <c r="R351" s="703">
        <f t="shared" si="96"/>
        <v>0</v>
      </c>
      <c r="S351" s="334">
        <f t="shared" si="97"/>
        <v>0</v>
      </c>
      <c r="T351" s="1182">
        <f t="shared" si="98"/>
        <v>0</v>
      </c>
      <c r="U351" s="1314">
        <f t="shared" si="92"/>
        <v>0</v>
      </c>
      <c r="V351" s="1314">
        <f t="shared" si="93"/>
        <v>0</v>
      </c>
      <c r="W351" s="1311"/>
      <c r="X351" s="1314">
        <f t="shared" si="94"/>
        <v>0</v>
      </c>
      <c r="Y351" s="1314">
        <f t="shared" si="95"/>
        <v>0</v>
      </c>
      <c r="Z351" s="1311"/>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1</v>
      </c>
      <c r="R352" s="703">
        <f t="shared" si="96"/>
        <v>0</v>
      </c>
      <c r="S352" s="334">
        <f t="shared" si="97"/>
        <v>0</v>
      </c>
      <c r="T352" s="1182">
        <f t="shared" si="98"/>
        <v>0</v>
      </c>
      <c r="U352" s="1314">
        <f t="shared" si="92"/>
        <v>0</v>
      </c>
      <c r="V352" s="1314">
        <f t="shared" si="93"/>
        <v>0</v>
      </c>
      <c r="W352" s="1311"/>
      <c r="X352" s="1314">
        <f t="shared" si="94"/>
        <v>0</v>
      </c>
      <c r="Y352" s="1314">
        <f t="shared" si="95"/>
        <v>0</v>
      </c>
      <c r="Z352" s="1311"/>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1</v>
      </c>
      <c r="R353" s="703">
        <f t="shared" si="96"/>
        <v>0</v>
      </c>
      <c r="S353" s="334">
        <f t="shared" si="97"/>
        <v>0</v>
      </c>
      <c r="T353" s="1182">
        <f t="shared" si="98"/>
        <v>0</v>
      </c>
      <c r="U353" s="1314">
        <f t="shared" si="92"/>
        <v>0</v>
      </c>
      <c r="V353" s="1314">
        <f t="shared" si="93"/>
        <v>0</v>
      </c>
      <c r="W353" s="1311"/>
      <c r="X353" s="1314">
        <f t="shared" si="94"/>
        <v>0</v>
      </c>
      <c r="Y353" s="1314">
        <f t="shared" si="95"/>
        <v>0</v>
      </c>
      <c r="Z353" s="1311"/>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1</v>
      </c>
      <c r="R354" s="703">
        <f t="shared" si="96"/>
        <v>0</v>
      </c>
      <c r="S354" s="334">
        <f t="shared" si="97"/>
        <v>0</v>
      </c>
      <c r="T354" s="1182">
        <f t="shared" si="98"/>
        <v>0</v>
      </c>
      <c r="U354" s="1314">
        <f t="shared" si="92"/>
        <v>0</v>
      </c>
      <c r="V354" s="1314">
        <f t="shared" si="93"/>
        <v>0</v>
      </c>
      <c r="W354" s="1311"/>
      <c r="X354" s="1314">
        <f t="shared" si="94"/>
        <v>0</v>
      </c>
      <c r="Y354" s="1314">
        <f t="shared" si="95"/>
        <v>0</v>
      </c>
      <c r="Z354" s="1311"/>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1</v>
      </c>
      <c r="R355" s="703">
        <f t="shared" si="96"/>
        <v>0</v>
      </c>
      <c r="S355" s="334">
        <f t="shared" si="97"/>
        <v>0</v>
      </c>
      <c r="T355" s="1182">
        <f t="shared" si="98"/>
        <v>0</v>
      </c>
      <c r="U355" s="1314">
        <f t="shared" si="92"/>
        <v>0</v>
      </c>
      <c r="V355" s="1314">
        <f t="shared" si="93"/>
        <v>0</v>
      </c>
      <c r="W355" s="1311"/>
      <c r="X355" s="1314">
        <f t="shared" si="94"/>
        <v>0</v>
      </c>
      <c r="Y355" s="1314">
        <f t="shared" si="95"/>
        <v>0</v>
      </c>
      <c r="Z355" s="1311"/>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1</v>
      </c>
      <c r="R356" s="703">
        <f t="shared" si="96"/>
        <v>0</v>
      </c>
      <c r="S356" s="334">
        <f t="shared" si="97"/>
        <v>0</v>
      </c>
      <c r="T356" s="1182">
        <f t="shared" si="98"/>
        <v>0</v>
      </c>
      <c r="U356" s="1314">
        <f t="shared" si="92"/>
        <v>0</v>
      </c>
      <c r="V356" s="1314">
        <f t="shared" si="93"/>
        <v>0</v>
      </c>
      <c r="W356" s="1311"/>
      <c r="X356" s="1314">
        <f t="shared" si="94"/>
        <v>0</v>
      </c>
      <c r="Y356" s="1314">
        <f t="shared" si="95"/>
        <v>0</v>
      </c>
      <c r="Z356" s="1311"/>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1</v>
      </c>
      <c r="R357" s="703">
        <f t="shared" si="96"/>
        <v>0</v>
      </c>
      <c r="S357" s="334">
        <f t="shared" si="97"/>
        <v>0</v>
      </c>
      <c r="T357" s="1182">
        <f t="shared" si="98"/>
        <v>0</v>
      </c>
      <c r="U357" s="1314">
        <f t="shared" si="92"/>
        <v>0</v>
      </c>
      <c r="V357" s="1314">
        <f t="shared" si="93"/>
        <v>0</v>
      </c>
      <c r="W357" s="1311"/>
      <c r="X357" s="1314">
        <f t="shared" si="94"/>
        <v>0</v>
      </c>
      <c r="Y357" s="1314">
        <f t="shared" si="95"/>
        <v>0</v>
      </c>
      <c r="Z357" s="1311"/>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1</v>
      </c>
      <c r="R358" s="703">
        <f t="shared" si="96"/>
        <v>0</v>
      </c>
      <c r="S358" s="334">
        <f t="shared" si="97"/>
        <v>0</v>
      </c>
      <c r="T358" s="1182">
        <f t="shared" si="98"/>
        <v>0</v>
      </c>
      <c r="U358" s="1314">
        <f t="shared" si="92"/>
        <v>0</v>
      </c>
      <c r="V358" s="1314">
        <f t="shared" si="93"/>
        <v>0</v>
      </c>
      <c r="W358" s="1311"/>
      <c r="X358" s="1314">
        <f t="shared" si="94"/>
        <v>0</v>
      </c>
      <c r="Y358" s="1314">
        <f t="shared" si="95"/>
        <v>0</v>
      </c>
      <c r="Z358" s="1311"/>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1</v>
      </c>
      <c r="R359" s="703">
        <f t="shared" si="96"/>
        <v>0</v>
      </c>
      <c r="S359" s="334">
        <f t="shared" si="97"/>
        <v>0</v>
      </c>
      <c r="T359" s="1182">
        <f t="shared" si="98"/>
        <v>0</v>
      </c>
      <c r="U359" s="1314">
        <f t="shared" si="92"/>
        <v>0</v>
      </c>
      <c r="V359" s="1314">
        <f t="shared" si="93"/>
        <v>0</v>
      </c>
      <c r="W359" s="1311"/>
      <c r="X359" s="1314">
        <f t="shared" si="94"/>
        <v>0</v>
      </c>
      <c r="Y359" s="1314">
        <f t="shared" si="95"/>
        <v>0</v>
      </c>
      <c r="Z359" s="1311"/>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1</v>
      </c>
      <c r="R360" s="703">
        <f t="shared" si="96"/>
        <v>0</v>
      </c>
      <c r="S360" s="334">
        <f t="shared" si="97"/>
        <v>0</v>
      </c>
      <c r="T360" s="1182">
        <f t="shared" si="98"/>
        <v>0</v>
      </c>
      <c r="U360" s="1314">
        <f t="shared" si="92"/>
        <v>0</v>
      </c>
      <c r="V360" s="1314">
        <f t="shared" si="93"/>
        <v>0</v>
      </c>
      <c r="W360" s="1311"/>
      <c r="X360" s="1314">
        <f t="shared" si="94"/>
        <v>0</v>
      </c>
      <c r="Y360" s="1314">
        <f t="shared" si="95"/>
        <v>0</v>
      </c>
      <c r="Z360" s="1311"/>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1</v>
      </c>
      <c r="R361" s="703">
        <f t="shared" si="96"/>
        <v>0</v>
      </c>
      <c r="S361" s="334">
        <f t="shared" si="97"/>
        <v>0</v>
      </c>
      <c r="T361" s="1182">
        <f t="shared" si="98"/>
        <v>0</v>
      </c>
      <c r="U361" s="1314">
        <f t="shared" si="92"/>
        <v>0</v>
      </c>
      <c r="V361" s="1314">
        <f t="shared" si="93"/>
        <v>0</v>
      </c>
      <c r="W361" s="1311"/>
      <c r="X361" s="1314">
        <f t="shared" si="94"/>
        <v>0</v>
      </c>
      <c r="Y361" s="1314">
        <f t="shared" si="95"/>
        <v>0</v>
      </c>
      <c r="Z361" s="1311"/>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1</v>
      </c>
      <c r="R362" s="703">
        <f t="shared" si="96"/>
        <v>0</v>
      </c>
      <c r="S362" s="334">
        <f t="shared" si="97"/>
        <v>0</v>
      </c>
      <c r="T362" s="1182">
        <f t="shared" si="98"/>
        <v>0</v>
      </c>
      <c r="U362" s="1314">
        <f t="shared" si="92"/>
        <v>0</v>
      </c>
      <c r="V362" s="1314">
        <f t="shared" si="93"/>
        <v>0</v>
      </c>
      <c r="W362" s="1311"/>
      <c r="X362" s="1314">
        <f t="shared" si="94"/>
        <v>0</v>
      </c>
      <c r="Y362" s="1314">
        <f t="shared" si="95"/>
        <v>0</v>
      </c>
      <c r="Z362" s="1311"/>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1</v>
      </c>
      <c r="R363" s="703">
        <f t="shared" si="96"/>
        <v>0</v>
      </c>
      <c r="S363" s="334">
        <f t="shared" si="97"/>
        <v>0</v>
      </c>
      <c r="T363" s="1182">
        <f t="shared" si="98"/>
        <v>0</v>
      </c>
      <c r="U363" s="1314">
        <f t="shared" si="92"/>
        <v>0</v>
      </c>
      <c r="V363" s="1314">
        <f t="shared" si="93"/>
        <v>0</v>
      </c>
      <c r="W363" s="1311"/>
      <c r="X363" s="1314">
        <f t="shared" si="94"/>
        <v>0</v>
      </c>
      <c r="Y363" s="1314">
        <f t="shared" si="95"/>
        <v>0</v>
      </c>
      <c r="Z363" s="1311"/>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1</v>
      </c>
      <c r="R364" s="703">
        <f t="shared" si="96"/>
        <v>0</v>
      </c>
      <c r="S364" s="334">
        <f t="shared" si="97"/>
        <v>0</v>
      </c>
      <c r="T364" s="1182">
        <f t="shared" si="98"/>
        <v>0</v>
      </c>
      <c r="U364" s="1314">
        <f t="shared" si="92"/>
        <v>0</v>
      </c>
      <c r="V364" s="1314">
        <f t="shared" si="93"/>
        <v>0</v>
      </c>
      <c r="W364" s="1311"/>
      <c r="X364" s="1314">
        <f t="shared" si="94"/>
        <v>0</v>
      </c>
      <c r="Y364" s="1314">
        <f t="shared" si="95"/>
        <v>0</v>
      </c>
      <c r="Z364" s="1311"/>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1</v>
      </c>
      <c r="R365" s="703">
        <f t="shared" si="96"/>
        <v>0</v>
      </c>
      <c r="S365" s="334">
        <f t="shared" si="97"/>
        <v>0</v>
      </c>
      <c r="T365" s="1182">
        <f t="shared" si="98"/>
        <v>0</v>
      </c>
      <c r="U365" s="1314">
        <f t="shared" si="92"/>
        <v>0</v>
      </c>
      <c r="V365" s="1314">
        <f t="shared" si="93"/>
        <v>0</v>
      </c>
      <c r="W365" s="1311"/>
      <c r="X365" s="1314">
        <f t="shared" si="94"/>
        <v>0</v>
      </c>
      <c r="Y365" s="1314">
        <f t="shared" si="95"/>
        <v>0</v>
      </c>
      <c r="Z365" s="1311"/>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1</v>
      </c>
      <c r="R366" s="703">
        <f t="shared" si="96"/>
        <v>0</v>
      </c>
      <c r="S366" s="334">
        <f t="shared" si="97"/>
        <v>0</v>
      </c>
      <c r="T366" s="1182">
        <f t="shared" si="98"/>
        <v>0</v>
      </c>
      <c r="U366" s="1314">
        <f t="shared" si="92"/>
        <v>0</v>
      </c>
      <c r="V366" s="1314">
        <f t="shared" si="93"/>
        <v>0</v>
      </c>
      <c r="W366" s="1311"/>
      <c r="X366" s="1314">
        <f t="shared" si="94"/>
        <v>0</v>
      </c>
      <c r="Y366" s="1314">
        <f t="shared" si="95"/>
        <v>0</v>
      </c>
      <c r="Z366" s="1311"/>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1</v>
      </c>
      <c r="R367" s="703">
        <f t="shared" si="96"/>
        <v>0</v>
      </c>
      <c r="S367" s="334">
        <f t="shared" si="97"/>
        <v>0</v>
      </c>
      <c r="T367" s="1182">
        <f t="shared" si="98"/>
        <v>0</v>
      </c>
      <c r="U367" s="1314">
        <f t="shared" si="92"/>
        <v>0</v>
      </c>
      <c r="V367" s="1314">
        <f t="shared" si="93"/>
        <v>0</v>
      </c>
      <c r="W367" s="1311"/>
      <c r="X367" s="1314">
        <f t="shared" si="94"/>
        <v>0</v>
      </c>
      <c r="Y367" s="1314">
        <f t="shared" si="95"/>
        <v>0</v>
      </c>
      <c r="Z367" s="1311"/>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1</v>
      </c>
      <c r="R368" s="703">
        <f t="shared" si="96"/>
        <v>0</v>
      </c>
      <c r="S368" s="334">
        <f t="shared" si="97"/>
        <v>0</v>
      </c>
      <c r="T368" s="1182">
        <f t="shared" si="98"/>
        <v>0</v>
      </c>
      <c r="U368" s="1314">
        <f t="shared" si="92"/>
        <v>0</v>
      </c>
      <c r="V368" s="1314">
        <f t="shared" si="93"/>
        <v>0</v>
      </c>
      <c r="W368" s="1311"/>
      <c r="X368" s="1314">
        <f t="shared" si="94"/>
        <v>0</v>
      </c>
      <c r="Y368" s="1314">
        <f t="shared" si="95"/>
        <v>0</v>
      </c>
      <c r="Z368" s="1311"/>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1</v>
      </c>
      <c r="R369" s="703">
        <f t="shared" si="96"/>
        <v>0</v>
      </c>
      <c r="S369" s="334">
        <f t="shared" si="97"/>
        <v>0</v>
      </c>
      <c r="T369" s="1182">
        <f t="shared" si="98"/>
        <v>0</v>
      </c>
      <c r="U369" s="1314">
        <f t="shared" si="92"/>
        <v>0</v>
      </c>
      <c r="V369" s="1314">
        <f t="shared" si="93"/>
        <v>0</v>
      </c>
      <c r="W369" s="1311"/>
      <c r="X369" s="1314">
        <f t="shared" si="94"/>
        <v>0</v>
      </c>
      <c r="Y369" s="1314">
        <f t="shared" si="95"/>
        <v>0</v>
      </c>
      <c r="Z369" s="1311"/>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1</v>
      </c>
      <c r="R370" s="703">
        <f t="shared" si="96"/>
        <v>0</v>
      </c>
      <c r="S370" s="334">
        <f t="shared" si="97"/>
        <v>0</v>
      </c>
      <c r="T370" s="1182">
        <f t="shared" si="98"/>
        <v>0</v>
      </c>
      <c r="U370" s="1314">
        <f t="shared" si="92"/>
        <v>0</v>
      </c>
      <c r="V370" s="1314">
        <f t="shared" si="93"/>
        <v>0</v>
      </c>
      <c r="W370" s="1311"/>
      <c r="X370" s="1314">
        <f t="shared" si="94"/>
        <v>0</v>
      </c>
      <c r="Y370" s="1314">
        <f t="shared" si="95"/>
        <v>0</v>
      </c>
      <c r="Z370" s="1311"/>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1</v>
      </c>
      <c r="R371" s="703">
        <f t="shared" si="96"/>
        <v>0</v>
      </c>
      <c r="S371" s="334">
        <f t="shared" si="97"/>
        <v>0</v>
      </c>
      <c r="T371" s="1182">
        <f t="shared" si="98"/>
        <v>0</v>
      </c>
      <c r="U371" s="1314">
        <f t="shared" si="92"/>
        <v>0</v>
      </c>
      <c r="V371" s="1314">
        <f t="shared" si="93"/>
        <v>0</v>
      </c>
      <c r="W371" s="1311"/>
      <c r="X371" s="1314">
        <f t="shared" si="94"/>
        <v>0</v>
      </c>
      <c r="Y371" s="1314">
        <f t="shared" si="95"/>
        <v>0</v>
      </c>
      <c r="Z371" s="1311"/>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1</v>
      </c>
      <c r="R372" s="703">
        <f t="shared" si="96"/>
        <v>0</v>
      </c>
      <c r="S372" s="334">
        <f t="shared" si="97"/>
        <v>0</v>
      </c>
      <c r="T372" s="1182">
        <f t="shared" si="98"/>
        <v>0</v>
      </c>
      <c r="U372" s="1314">
        <f t="shared" si="92"/>
        <v>0</v>
      </c>
      <c r="V372" s="1314">
        <f t="shared" si="93"/>
        <v>0</v>
      </c>
      <c r="W372" s="1311"/>
      <c r="X372" s="1314">
        <f t="shared" si="94"/>
        <v>0</v>
      </c>
      <c r="Y372" s="1314">
        <f t="shared" si="95"/>
        <v>0</v>
      </c>
      <c r="Z372" s="1311"/>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1</v>
      </c>
      <c r="R373" s="703">
        <f t="shared" si="96"/>
        <v>0</v>
      </c>
      <c r="S373" s="334">
        <f t="shared" si="97"/>
        <v>0</v>
      </c>
      <c r="T373" s="1182">
        <f t="shared" si="98"/>
        <v>0</v>
      </c>
      <c r="U373" s="1314">
        <f t="shared" si="92"/>
        <v>0</v>
      </c>
      <c r="V373" s="1314">
        <f t="shared" si="93"/>
        <v>0</v>
      </c>
      <c r="W373" s="1311"/>
      <c r="X373" s="1314">
        <f t="shared" si="94"/>
        <v>0</v>
      </c>
      <c r="Y373" s="1314">
        <f t="shared" si="95"/>
        <v>0</v>
      </c>
      <c r="Z373" s="1311"/>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1</v>
      </c>
      <c r="R374" s="703">
        <f t="shared" si="96"/>
        <v>0</v>
      </c>
      <c r="S374" s="334">
        <f t="shared" si="97"/>
        <v>0</v>
      </c>
      <c r="T374" s="1182">
        <f t="shared" si="98"/>
        <v>0</v>
      </c>
      <c r="U374" s="1314">
        <f t="shared" si="92"/>
        <v>0</v>
      </c>
      <c r="V374" s="1314">
        <f t="shared" si="93"/>
        <v>0</v>
      </c>
      <c r="W374" s="1311"/>
      <c r="X374" s="1314">
        <f t="shared" si="94"/>
        <v>0</v>
      </c>
      <c r="Y374" s="1314">
        <f t="shared" si="95"/>
        <v>0</v>
      </c>
      <c r="Z374" s="1311"/>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1</v>
      </c>
      <c r="R375" s="703">
        <f t="shared" si="96"/>
        <v>0</v>
      </c>
      <c r="S375" s="334">
        <f t="shared" si="97"/>
        <v>0</v>
      </c>
      <c r="T375" s="1182">
        <f t="shared" si="98"/>
        <v>0</v>
      </c>
      <c r="U375" s="1314">
        <f t="shared" si="92"/>
        <v>0</v>
      </c>
      <c r="V375" s="1314">
        <f t="shared" si="93"/>
        <v>0</v>
      </c>
      <c r="W375" s="1311"/>
      <c r="X375" s="1314">
        <f t="shared" si="94"/>
        <v>0</v>
      </c>
      <c r="Y375" s="1314">
        <f t="shared" si="95"/>
        <v>0</v>
      </c>
      <c r="Z375" s="1311"/>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1</v>
      </c>
      <c r="R376" s="703">
        <f t="shared" si="96"/>
        <v>0</v>
      </c>
      <c r="S376" s="334">
        <f t="shared" si="97"/>
        <v>0</v>
      </c>
      <c r="T376" s="1182">
        <f t="shared" si="98"/>
        <v>0</v>
      </c>
      <c r="U376" s="1314">
        <f t="shared" si="92"/>
        <v>0</v>
      </c>
      <c r="V376" s="1314">
        <f t="shared" si="93"/>
        <v>0</v>
      </c>
      <c r="W376" s="1311"/>
      <c r="X376" s="1314">
        <f t="shared" si="94"/>
        <v>0</v>
      </c>
      <c r="Y376" s="1314">
        <f t="shared" si="95"/>
        <v>0</v>
      </c>
      <c r="Z376" s="1311"/>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1</v>
      </c>
      <c r="R377" s="703">
        <f t="shared" si="96"/>
        <v>0</v>
      </c>
      <c r="S377" s="334">
        <f t="shared" si="97"/>
        <v>0</v>
      </c>
      <c r="T377" s="1182">
        <f t="shared" si="98"/>
        <v>0</v>
      </c>
      <c r="U377" s="1314">
        <f t="shared" si="92"/>
        <v>0</v>
      </c>
      <c r="V377" s="1314">
        <f t="shared" si="93"/>
        <v>0</v>
      </c>
      <c r="W377" s="1311"/>
      <c r="X377" s="1314">
        <f t="shared" si="94"/>
        <v>0</v>
      </c>
      <c r="Y377" s="1314">
        <f t="shared" si="95"/>
        <v>0</v>
      </c>
      <c r="Z377" s="1311"/>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1</v>
      </c>
      <c r="R378" s="703">
        <f t="shared" si="96"/>
        <v>0</v>
      </c>
      <c r="S378" s="334">
        <f t="shared" si="97"/>
        <v>0</v>
      </c>
      <c r="T378" s="1182">
        <f t="shared" si="98"/>
        <v>0</v>
      </c>
      <c r="U378" s="1314">
        <f t="shared" si="92"/>
        <v>0</v>
      </c>
      <c r="V378" s="1314">
        <f t="shared" si="93"/>
        <v>0</v>
      </c>
      <c r="W378" s="1311"/>
      <c r="X378" s="1314">
        <f t="shared" si="94"/>
        <v>0</v>
      </c>
      <c r="Y378" s="1314">
        <f t="shared" si="95"/>
        <v>0</v>
      </c>
      <c r="Z378" s="1311"/>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1</v>
      </c>
      <c r="R379" s="703">
        <f t="shared" si="96"/>
        <v>0</v>
      </c>
      <c r="S379" s="334">
        <f t="shared" si="97"/>
        <v>0</v>
      </c>
      <c r="T379" s="1182">
        <f t="shared" si="98"/>
        <v>0</v>
      </c>
      <c r="U379" s="1314">
        <f t="shared" si="92"/>
        <v>0</v>
      </c>
      <c r="V379" s="1314">
        <f t="shared" si="93"/>
        <v>0</v>
      </c>
      <c r="W379" s="1311"/>
      <c r="X379" s="1314">
        <f t="shared" si="94"/>
        <v>0</v>
      </c>
      <c r="Y379" s="1314">
        <f t="shared" si="95"/>
        <v>0</v>
      </c>
      <c r="Z379" s="1311"/>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1</v>
      </c>
      <c r="R380" s="703">
        <f t="shared" si="96"/>
        <v>0</v>
      </c>
      <c r="S380" s="334">
        <f t="shared" si="97"/>
        <v>0</v>
      </c>
      <c r="T380" s="1182">
        <f t="shared" si="98"/>
        <v>0</v>
      </c>
      <c r="U380" s="1314">
        <f t="shared" si="92"/>
        <v>0</v>
      </c>
      <c r="V380" s="1314">
        <f t="shared" si="93"/>
        <v>0</v>
      </c>
      <c r="W380" s="1311"/>
      <c r="X380" s="1314">
        <f t="shared" si="94"/>
        <v>0</v>
      </c>
      <c r="Y380" s="1314">
        <f t="shared" si="95"/>
        <v>0</v>
      </c>
      <c r="Z380" s="1311"/>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1</v>
      </c>
      <c r="R381" s="703">
        <f t="shared" si="96"/>
        <v>0</v>
      </c>
      <c r="S381" s="334">
        <f t="shared" si="97"/>
        <v>0</v>
      </c>
      <c r="T381" s="1182">
        <f t="shared" si="98"/>
        <v>0</v>
      </c>
      <c r="U381" s="1314">
        <f t="shared" si="92"/>
        <v>0</v>
      </c>
      <c r="V381" s="1314">
        <f t="shared" si="93"/>
        <v>0</v>
      </c>
      <c r="W381" s="1311"/>
      <c r="X381" s="1314">
        <f t="shared" si="94"/>
        <v>0</v>
      </c>
      <c r="Y381" s="1314">
        <f t="shared" si="95"/>
        <v>0</v>
      </c>
      <c r="Z381" s="1311"/>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1</v>
      </c>
      <c r="R382" s="703">
        <f t="shared" si="96"/>
        <v>0</v>
      </c>
      <c r="S382" s="334">
        <f t="shared" si="97"/>
        <v>0</v>
      </c>
      <c r="T382" s="1182">
        <f t="shared" si="98"/>
        <v>0</v>
      </c>
      <c r="U382" s="1314">
        <f t="shared" si="92"/>
        <v>0</v>
      </c>
      <c r="V382" s="1314">
        <f t="shared" si="93"/>
        <v>0</v>
      </c>
      <c r="W382" s="1311"/>
      <c r="X382" s="1314">
        <f t="shared" si="94"/>
        <v>0</v>
      </c>
      <c r="Y382" s="1314">
        <f t="shared" si="95"/>
        <v>0</v>
      </c>
      <c r="Z382" s="1311"/>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1</v>
      </c>
      <c r="R383" s="703">
        <f t="shared" si="96"/>
        <v>0</v>
      </c>
      <c r="S383" s="334">
        <f t="shared" si="97"/>
        <v>0</v>
      </c>
      <c r="T383" s="1182">
        <f t="shared" si="98"/>
        <v>0</v>
      </c>
      <c r="U383" s="1314">
        <f t="shared" si="92"/>
        <v>0</v>
      </c>
      <c r="V383" s="1314">
        <f t="shared" si="93"/>
        <v>0</v>
      </c>
      <c r="W383" s="1311"/>
      <c r="X383" s="1314">
        <f t="shared" si="94"/>
        <v>0</v>
      </c>
      <c r="Y383" s="1314">
        <f t="shared" si="95"/>
        <v>0</v>
      </c>
      <c r="Z383" s="1311"/>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1</v>
      </c>
      <c r="R384" s="703">
        <f t="shared" si="96"/>
        <v>0</v>
      </c>
      <c r="S384" s="334">
        <f t="shared" si="97"/>
        <v>0</v>
      </c>
      <c r="T384" s="1182">
        <f t="shared" si="98"/>
        <v>0</v>
      </c>
      <c r="U384" s="1314">
        <f t="shared" si="92"/>
        <v>0</v>
      </c>
      <c r="V384" s="1314">
        <f t="shared" si="93"/>
        <v>0</v>
      </c>
      <c r="W384" s="1311"/>
      <c r="X384" s="1314">
        <f t="shared" si="94"/>
        <v>0</v>
      </c>
      <c r="Y384" s="1314">
        <f t="shared" si="95"/>
        <v>0</v>
      </c>
      <c r="Z384" s="1311"/>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1</v>
      </c>
      <c r="R385" s="703">
        <f t="shared" si="96"/>
        <v>0</v>
      </c>
      <c r="S385" s="334">
        <f t="shared" si="97"/>
        <v>0</v>
      </c>
      <c r="T385" s="1182">
        <f t="shared" si="98"/>
        <v>0</v>
      </c>
      <c r="U385" s="1314">
        <f t="shared" si="92"/>
        <v>0</v>
      </c>
      <c r="V385" s="1314">
        <f t="shared" si="93"/>
        <v>0</v>
      </c>
      <c r="W385" s="1311"/>
      <c r="X385" s="1314">
        <f t="shared" si="94"/>
        <v>0</v>
      </c>
      <c r="Y385" s="1314">
        <f t="shared" si="95"/>
        <v>0</v>
      </c>
      <c r="Z385" s="1311"/>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1</v>
      </c>
      <c r="R386" s="703">
        <f t="shared" si="96"/>
        <v>0</v>
      </c>
      <c r="S386" s="334">
        <f t="shared" si="97"/>
        <v>0</v>
      </c>
      <c r="T386" s="1182">
        <f t="shared" si="98"/>
        <v>0</v>
      </c>
      <c r="U386" s="1314">
        <f t="shared" si="92"/>
        <v>0</v>
      </c>
      <c r="V386" s="1314">
        <f t="shared" si="93"/>
        <v>0</v>
      </c>
      <c r="W386" s="1311"/>
      <c r="X386" s="1314">
        <f t="shared" si="94"/>
        <v>0</v>
      </c>
      <c r="Y386" s="1314">
        <f t="shared" si="95"/>
        <v>0</v>
      </c>
      <c r="Z386" s="1311"/>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1</v>
      </c>
      <c r="R387" s="703">
        <f t="shared" si="96"/>
        <v>0</v>
      </c>
      <c r="S387" s="334">
        <f t="shared" si="97"/>
        <v>0</v>
      </c>
      <c r="T387" s="1182">
        <f t="shared" si="98"/>
        <v>0</v>
      </c>
      <c r="U387" s="1314">
        <f t="shared" si="92"/>
        <v>0</v>
      </c>
      <c r="V387" s="1314">
        <f t="shared" si="93"/>
        <v>0</v>
      </c>
      <c r="W387" s="1311"/>
      <c r="X387" s="1314">
        <f t="shared" si="94"/>
        <v>0</v>
      </c>
      <c r="Y387" s="1314">
        <f t="shared" si="95"/>
        <v>0</v>
      </c>
      <c r="Z387" s="1311"/>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1</v>
      </c>
      <c r="R388" s="703">
        <f t="shared" si="96"/>
        <v>0</v>
      </c>
      <c r="S388" s="334">
        <f t="shared" si="97"/>
        <v>0</v>
      </c>
      <c r="T388" s="1182">
        <f t="shared" si="98"/>
        <v>0</v>
      </c>
      <c r="U388" s="1314">
        <f t="shared" si="92"/>
        <v>0</v>
      </c>
      <c r="V388" s="1314">
        <f t="shared" si="93"/>
        <v>0</v>
      </c>
      <c r="W388" s="1311"/>
      <c r="X388" s="1314">
        <f t="shared" si="94"/>
        <v>0</v>
      </c>
      <c r="Y388" s="1314">
        <f t="shared" si="95"/>
        <v>0</v>
      </c>
      <c r="Z388" s="1311"/>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1</v>
      </c>
      <c r="R389" s="703">
        <f t="shared" si="96"/>
        <v>0</v>
      </c>
      <c r="S389" s="334">
        <f t="shared" si="97"/>
        <v>0</v>
      </c>
      <c r="T389" s="1182">
        <f t="shared" si="98"/>
        <v>0</v>
      </c>
      <c r="U389" s="1314">
        <f t="shared" si="92"/>
        <v>0</v>
      </c>
      <c r="V389" s="1314">
        <f t="shared" si="93"/>
        <v>0</v>
      </c>
      <c r="W389" s="1311"/>
      <c r="X389" s="1314">
        <f t="shared" si="94"/>
        <v>0</v>
      </c>
      <c r="Y389" s="1314">
        <f t="shared" si="95"/>
        <v>0</v>
      </c>
      <c r="Z389" s="1311"/>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1</v>
      </c>
      <c r="R390" s="703">
        <f t="shared" si="96"/>
        <v>0</v>
      </c>
      <c r="S390" s="334">
        <f t="shared" si="97"/>
        <v>0</v>
      </c>
      <c r="T390" s="1182">
        <f t="shared" si="98"/>
        <v>0</v>
      </c>
      <c r="U390" s="1314">
        <f t="shared" si="92"/>
        <v>0</v>
      </c>
      <c r="V390" s="1314">
        <f t="shared" si="93"/>
        <v>0</v>
      </c>
      <c r="W390" s="1311"/>
      <c r="X390" s="1314">
        <f t="shared" si="94"/>
        <v>0</v>
      </c>
      <c r="Y390" s="1314">
        <f t="shared" si="95"/>
        <v>0</v>
      </c>
      <c r="Z390" s="1311"/>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1</v>
      </c>
      <c r="R391" s="703">
        <f t="shared" si="96"/>
        <v>0</v>
      </c>
      <c r="S391" s="334">
        <f t="shared" si="97"/>
        <v>0</v>
      </c>
      <c r="T391" s="1182">
        <f t="shared" si="98"/>
        <v>0</v>
      </c>
      <c r="U391" s="1314">
        <f t="shared" si="92"/>
        <v>0</v>
      </c>
      <c r="V391" s="1314">
        <f t="shared" si="93"/>
        <v>0</v>
      </c>
      <c r="W391" s="1311"/>
      <c r="X391" s="1314">
        <f t="shared" si="94"/>
        <v>0</v>
      </c>
      <c r="Y391" s="1314">
        <f t="shared" si="95"/>
        <v>0</v>
      </c>
      <c r="Z391" s="1311"/>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1</v>
      </c>
      <c r="R392" s="703">
        <f t="shared" si="96"/>
        <v>0</v>
      </c>
      <c r="S392" s="334">
        <f t="shared" si="97"/>
        <v>0</v>
      </c>
      <c r="T392" s="1182">
        <f t="shared" si="98"/>
        <v>0</v>
      </c>
      <c r="U392" s="1314">
        <f t="shared" si="92"/>
        <v>0</v>
      </c>
      <c r="V392" s="1314">
        <f t="shared" si="93"/>
        <v>0</v>
      </c>
      <c r="W392" s="1311"/>
      <c r="X392" s="1314">
        <f t="shared" si="94"/>
        <v>0</v>
      </c>
      <c r="Y392" s="1314">
        <f t="shared" si="95"/>
        <v>0</v>
      </c>
      <c r="Z392" s="1311"/>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1</v>
      </c>
      <c r="R393" s="703">
        <f t="shared" si="96"/>
        <v>0</v>
      </c>
      <c r="S393" s="334">
        <f t="shared" si="97"/>
        <v>0</v>
      </c>
      <c r="T393" s="1182">
        <f t="shared" si="98"/>
        <v>0</v>
      </c>
      <c r="U393" s="1314">
        <f t="shared" si="92"/>
        <v>0</v>
      </c>
      <c r="V393" s="1314">
        <f t="shared" si="93"/>
        <v>0</v>
      </c>
      <c r="W393" s="1311"/>
      <c r="X393" s="1314">
        <f t="shared" si="94"/>
        <v>0</v>
      </c>
      <c r="Y393" s="1314">
        <f t="shared" si="95"/>
        <v>0</v>
      </c>
      <c r="Z393" s="1311"/>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1</v>
      </c>
      <c r="R394" s="703">
        <f t="shared" si="96"/>
        <v>0</v>
      </c>
      <c r="S394" s="334">
        <f t="shared" si="97"/>
        <v>0</v>
      </c>
      <c r="T394" s="1182">
        <f t="shared" si="98"/>
        <v>0</v>
      </c>
      <c r="U394" s="1314">
        <f t="shared" si="92"/>
        <v>0</v>
      </c>
      <c r="V394" s="1314">
        <f t="shared" si="93"/>
        <v>0</v>
      </c>
      <c r="W394" s="1311"/>
      <c r="X394" s="1314">
        <f t="shared" si="94"/>
        <v>0</v>
      </c>
      <c r="Y394" s="1314">
        <f t="shared" si="95"/>
        <v>0</v>
      </c>
      <c r="Z394" s="1311"/>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1</v>
      </c>
      <c r="R395" s="703">
        <f t="shared" si="96"/>
        <v>0</v>
      </c>
      <c r="S395" s="334">
        <f t="shared" si="97"/>
        <v>0</v>
      </c>
      <c r="T395" s="1182">
        <f t="shared" si="98"/>
        <v>0</v>
      </c>
      <c r="U395" s="1314">
        <f t="shared" si="92"/>
        <v>0</v>
      </c>
      <c r="V395" s="1314">
        <f t="shared" si="93"/>
        <v>0</v>
      </c>
      <c r="W395" s="1311"/>
      <c r="X395" s="1314">
        <f t="shared" si="94"/>
        <v>0</v>
      </c>
      <c r="Y395" s="1314">
        <f t="shared" si="95"/>
        <v>0</v>
      </c>
      <c r="Z395" s="1311"/>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1</v>
      </c>
      <c r="R396" s="703">
        <f t="shared" si="96"/>
        <v>0</v>
      </c>
      <c r="S396" s="334">
        <f t="shared" si="97"/>
        <v>0</v>
      </c>
      <c r="T396" s="1182">
        <f t="shared" si="98"/>
        <v>0</v>
      </c>
      <c r="U396" s="1314">
        <f t="shared" si="92"/>
        <v>0</v>
      </c>
      <c r="V396" s="1314">
        <f t="shared" si="93"/>
        <v>0</v>
      </c>
      <c r="W396" s="1311"/>
      <c r="X396" s="1314">
        <f t="shared" si="94"/>
        <v>0</v>
      </c>
      <c r="Y396" s="1314">
        <f t="shared" si="95"/>
        <v>0</v>
      </c>
      <c r="Z396" s="1311"/>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1</v>
      </c>
      <c r="R397" s="703">
        <f t="shared" si="96"/>
        <v>0</v>
      </c>
      <c r="S397" s="334">
        <f t="shared" si="97"/>
        <v>0</v>
      </c>
      <c r="T397" s="1182">
        <f t="shared" si="98"/>
        <v>0</v>
      </c>
      <c r="U397" s="1314">
        <f t="shared" si="92"/>
        <v>0</v>
      </c>
      <c r="V397" s="1314">
        <f t="shared" si="93"/>
        <v>0</v>
      </c>
      <c r="W397" s="1311"/>
      <c r="X397" s="1314">
        <f t="shared" si="94"/>
        <v>0</v>
      </c>
      <c r="Y397" s="1314">
        <f t="shared" si="95"/>
        <v>0</v>
      </c>
      <c r="Z397" s="1311"/>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1</v>
      </c>
      <c r="R398" s="703">
        <f t="shared" si="96"/>
        <v>0</v>
      </c>
      <c r="S398" s="334">
        <f t="shared" si="97"/>
        <v>0</v>
      </c>
      <c r="T398" s="1182">
        <f t="shared" si="98"/>
        <v>0</v>
      </c>
      <c r="U398" s="1314">
        <f t="shared" si="92"/>
        <v>0</v>
      </c>
      <c r="V398" s="1314">
        <f t="shared" si="93"/>
        <v>0</v>
      </c>
      <c r="W398" s="1311"/>
      <c r="X398" s="1314">
        <f t="shared" si="94"/>
        <v>0</v>
      </c>
      <c r="Y398" s="1314">
        <f t="shared" si="95"/>
        <v>0</v>
      </c>
      <c r="Z398" s="1311"/>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1</v>
      </c>
      <c r="R399" s="703">
        <f t="shared" si="96"/>
        <v>0</v>
      </c>
      <c r="S399" s="334">
        <f t="shared" si="97"/>
        <v>0</v>
      </c>
      <c r="T399" s="1182">
        <f t="shared" si="98"/>
        <v>0</v>
      </c>
      <c r="U399" s="1314">
        <f t="shared" si="92"/>
        <v>0</v>
      </c>
      <c r="V399" s="1314">
        <f t="shared" si="93"/>
        <v>0</v>
      </c>
      <c r="W399" s="1311"/>
      <c r="X399" s="1314">
        <f t="shared" si="94"/>
        <v>0</v>
      </c>
      <c r="Y399" s="1314">
        <f t="shared" si="95"/>
        <v>0</v>
      </c>
      <c r="Z399" s="1311"/>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1</v>
      </c>
      <c r="R400" s="703">
        <f t="shared" si="96"/>
        <v>0</v>
      </c>
      <c r="S400" s="334">
        <f t="shared" si="97"/>
        <v>0</v>
      </c>
      <c r="T400" s="1182">
        <f t="shared" si="98"/>
        <v>0</v>
      </c>
      <c r="U400" s="1314">
        <f t="shared" si="92"/>
        <v>0</v>
      </c>
      <c r="V400" s="1314">
        <f t="shared" si="93"/>
        <v>0</v>
      </c>
      <c r="W400" s="1311"/>
      <c r="X400" s="1314">
        <f t="shared" si="94"/>
        <v>0</v>
      </c>
      <c r="Y400" s="1314">
        <f t="shared" si="95"/>
        <v>0</v>
      </c>
      <c r="Z400" s="1311"/>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1</v>
      </c>
      <c r="R401" s="703">
        <f t="shared" si="96"/>
        <v>0</v>
      </c>
      <c r="S401" s="334">
        <f t="shared" si="97"/>
        <v>0</v>
      </c>
      <c r="T401" s="1182">
        <f t="shared" si="98"/>
        <v>0</v>
      </c>
      <c r="U401" s="1314">
        <f t="shared" si="92"/>
        <v>0</v>
      </c>
      <c r="V401" s="1314">
        <f t="shared" si="93"/>
        <v>0</v>
      </c>
      <c r="W401" s="1311"/>
      <c r="X401" s="1314">
        <f t="shared" si="94"/>
        <v>0</v>
      </c>
      <c r="Y401" s="1314">
        <f t="shared" si="95"/>
        <v>0</v>
      </c>
      <c r="Z401" s="1311"/>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1</v>
      </c>
      <c r="R402" s="703">
        <f t="shared" si="96"/>
        <v>0</v>
      </c>
      <c r="S402" s="334">
        <f t="shared" si="97"/>
        <v>0</v>
      </c>
      <c r="T402" s="1182">
        <f t="shared" si="98"/>
        <v>0</v>
      </c>
      <c r="U402" s="1314">
        <f t="shared" si="92"/>
        <v>0</v>
      </c>
      <c r="V402" s="1314">
        <f t="shared" si="93"/>
        <v>0</v>
      </c>
      <c r="W402" s="1311"/>
      <c r="X402" s="1314">
        <f t="shared" si="94"/>
        <v>0</v>
      </c>
      <c r="Y402" s="1314">
        <f t="shared" si="95"/>
        <v>0</v>
      </c>
      <c r="Z402" s="1311"/>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1</v>
      </c>
      <c r="R403" s="703">
        <f t="shared" si="96"/>
        <v>0</v>
      </c>
      <c r="S403" s="334">
        <f t="shared" si="97"/>
        <v>0</v>
      </c>
      <c r="T403" s="1182">
        <f t="shared" si="98"/>
        <v>0</v>
      </c>
      <c r="U403" s="1314">
        <f t="shared" si="92"/>
        <v>0</v>
      </c>
      <c r="V403" s="1314">
        <f t="shared" si="93"/>
        <v>0</v>
      </c>
      <c r="W403" s="1311"/>
      <c r="X403" s="1314">
        <f t="shared" si="94"/>
        <v>0</v>
      </c>
      <c r="Y403" s="1314">
        <f t="shared" si="95"/>
        <v>0</v>
      </c>
      <c r="Z403" s="1311"/>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1</v>
      </c>
      <c r="R404" s="703">
        <f t="shared" si="96"/>
        <v>0</v>
      </c>
      <c r="S404" s="334">
        <f t="shared" si="97"/>
        <v>0</v>
      </c>
      <c r="T404" s="1182">
        <f t="shared" si="98"/>
        <v>0</v>
      </c>
      <c r="U404" s="1314">
        <f t="shared" si="92"/>
        <v>0</v>
      </c>
      <c r="V404" s="1314">
        <f t="shared" si="93"/>
        <v>0</v>
      </c>
      <c r="W404" s="1311"/>
      <c r="X404" s="1314">
        <f t="shared" si="94"/>
        <v>0</v>
      </c>
      <c r="Y404" s="1314">
        <f t="shared" si="95"/>
        <v>0</v>
      </c>
      <c r="Z404" s="1311"/>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1</v>
      </c>
      <c r="R405" s="703">
        <f t="shared" si="96"/>
        <v>0</v>
      </c>
      <c r="S405" s="334">
        <f t="shared" si="97"/>
        <v>0</v>
      </c>
      <c r="T405" s="1182">
        <f t="shared" si="98"/>
        <v>0</v>
      </c>
      <c r="U405" s="1314">
        <f t="shared" si="92"/>
        <v>0</v>
      </c>
      <c r="V405" s="1314">
        <f t="shared" si="93"/>
        <v>0</v>
      </c>
      <c r="W405" s="1311"/>
      <c r="X405" s="1314">
        <f t="shared" si="94"/>
        <v>0</v>
      </c>
      <c r="Y405" s="1314">
        <f t="shared" si="95"/>
        <v>0</v>
      </c>
      <c r="Z405" s="1311"/>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1</v>
      </c>
      <c r="R406" s="703">
        <f t="shared" si="96"/>
        <v>0</v>
      </c>
      <c r="S406" s="334">
        <f t="shared" si="97"/>
        <v>0</v>
      </c>
      <c r="T406" s="1182">
        <f t="shared" si="98"/>
        <v>0</v>
      </c>
      <c r="U406" s="1314">
        <f t="shared" si="92"/>
        <v>0</v>
      </c>
      <c r="V406" s="1314">
        <f t="shared" si="93"/>
        <v>0</v>
      </c>
      <c r="W406" s="1311"/>
      <c r="X406" s="1314">
        <f t="shared" si="94"/>
        <v>0</v>
      </c>
      <c r="Y406" s="1314">
        <f t="shared" si="95"/>
        <v>0</v>
      </c>
      <c r="Z406" s="1311"/>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1</v>
      </c>
      <c r="R407" s="703">
        <f t="shared" si="96"/>
        <v>0</v>
      </c>
      <c r="S407" s="334">
        <f t="shared" si="97"/>
        <v>0</v>
      </c>
      <c r="T407" s="1182">
        <f t="shared" si="98"/>
        <v>0</v>
      </c>
      <c r="U407" s="1314">
        <f t="shared" si="92"/>
        <v>0</v>
      </c>
      <c r="V407" s="1314">
        <f t="shared" si="93"/>
        <v>0</v>
      </c>
      <c r="W407" s="1311"/>
      <c r="X407" s="1314">
        <f t="shared" si="94"/>
        <v>0</v>
      </c>
      <c r="Y407" s="1314">
        <f t="shared" si="95"/>
        <v>0</v>
      </c>
      <c r="Z407" s="1311"/>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1</v>
      </c>
      <c r="R408" s="703">
        <f t="shared" si="96"/>
        <v>0</v>
      </c>
      <c r="S408" s="334">
        <f t="shared" si="97"/>
        <v>0</v>
      </c>
      <c r="T408" s="1182">
        <f t="shared" si="98"/>
        <v>0</v>
      </c>
      <c r="U408" s="1314">
        <f t="shared" si="92"/>
        <v>0</v>
      </c>
      <c r="V408" s="1314">
        <f t="shared" si="93"/>
        <v>0</v>
      </c>
      <c r="W408" s="1311"/>
      <c r="X408" s="1314">
        <f t="shared" si="94"/>
        <v>0</v>
      </c>
      <c r="Y408" s="1314">
        <f t="shared" si="95"/>
        <v>0</v>
      </c>
      <c r="Z408" s="1311"/>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1</v>
      </c>
      <c r="R409" s="703">
        <f t="shared" si="96"/>
        <v>0</v>
      </c>
      <c r="S409" s="334">
        <f t="shared" si="97"/>
        <v>0</v>
      </c>
      <c r="T409" s="1182">
        <f t="shared" si="98"/>
        <v>0</v>
      </c>
      <c r="U409" s="1314">
        <f t="shared" si="92"/>
        <v>0</v>
      </c>
      <c r="V409" s="1314">
        <f t="shared" si="93"/>
        <v>0</v>
      </c>
      <c r="W409" s="1311"/>
      <c r="X409" s="1314">
        <f t="shared" si="94"/>
        <v>0</v>
      </c>
      <c r="Y409" s="1314">
        <f t="shared" si="95"/>
        <v>0</v>
      </c>
      <c r="Z409" s="1311"/>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1</v>
      </c>
      <c r="R410" s="703">
        <f t="shared" si="96"/>
        <v>0</v>
      </c>
      <c r="S410" s="334">
        <f t="shared" si="97"/>
        <v>0</v>
      </c>
      <c r="T410" s="1182">
        <f t="shared" si="98"/>
        <v>0</v>
      </c>
      <c r="U410" s="1314">
        <f t="shared" si="92"/>
        <v>0</v>
      </c>
      <c r="V410" s="1314">
        <f t="shared" si="93"/>
        <v>0</v>
      </c>
      <c r="W410" s="1311"/>
      <c r="X410" s="1314">
        <f t="shared" si="94"/>
        <v>0</v>
      </c>
      <c r="Y410" s="1314">
        <f t="shared" si="95"/>
        <v>0</v>
      </c>
      <c r="Z410" s="1311"/>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1</v>
      </c>
      <c r="R411" s="703">
        <f t="shared" si="96"/>
        <v>0</v>
      </c>
      <c r="S411" s="334">
        <f t="shared" si="97"/>
        <v>0</v>
      </c>
      <c r="T411" s="1182">
        <f t="shared" si="98"/>
        <v>0</v>
      </c>
      <c r="U411" s="1314">
        <f t="shared" si="92"/>
        <v>0</v>
      </c>
      <c r="V411" s="1314">
        <f t="shared" si="93"/>
        <v>0</v>
      </c>
      <c r="W411" s="1311"/>
      <c r="X411" s="1314">
        <f t="shared" si="94"/>
        <v>0</v>
      </c>
      <c r="Y411" s="1314">
        <f t="shared" si="95"/>
        <v>0</v>
      </c>
      <c r="Z411" s="1311"/>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1</v>
      </c>
      <c r="R412" s="703">
        <f t="shared" si="96"/>
        <v>0</v>
      </c>
      <c r="S412" s="334">
        <f t="shared" si="97"/>
        <v>0</v>
      </c>
      <c r="T412" s="1182">
        <f t="shared" si="98"/>
        <v>0</v>
      </c>
      <c r="U412" s="1314">
        <f t="shared" ref="U412:U475" si="107">ROUND(W412*B412,0)</f>
        <v>0</v>
      </c>
      <c r="V412" s="1314">
        <f t="shared" ref="V412:V475" si="108">ROUND(W412*B412/10000,0)</f>
        <v>0</v>
      </c>
      <c r="W412" s="1311"/>
      <c r="X412" s="1314">
        <f t="shared" ref="X412:X475" si="109">ROUND(Z412*B412,0)</f>
        <v>0</v>
      </c>
      <c r="Y412" s="1314">
        <f t="shared" ref="Y412:Y475" si="110">ROUND(Z412*B412/10000,0)</f>
        <v>0</v>
      </c>
      <c r="Z412" s="1311"/>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1</v>
      </c>
      <c r="R413" s="703">
        <f t="shared" ref="R413:R476" si="111">IF(B413="",0,ROUND($R$27*C413*E413*G413*I413*K413*M413*O413*Q413,0))</f>
        <v>0</v>
      </c>
      <c r="S413" s="334">
        <f t="shared" ref="S413:S476" si="112">ROUND(R413*B413,0)</f>
        <v>0</v>
      </c>
      <c r="T413" s="1182">
        <f t="shared" ref="T413:T476" si="113">ROUND(R413*B413/10000,0)</f>
        <v>0</v>
      </c>
      <c r="U413" s="1314">
        <f t="shared" si="107"/>
        <v>0</v>
      </c>
      <c r="V413" s="1314">
        <f t="shared" si="108"/>
        <v>0</v>
      </c>
      <c r="W413" s="1311"/>
      <c r="X413" s="1314">
        <f t="shared" si="109"/>
        <v>0</v>
      </c>
      <c r="Y413" s="1314">
        <f t="shared" si="110"/>
        <v>0</v>
      </c>
      <c r="Z413" s="1311"/>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1</v>
      </c>
      <c r="R414" s="703">
        <f t="shared" si="111"/>
        <v>0</v>
      </c>
      <c r="S414" s="334">
        <f t="shared" si="112"/>
        <v>0</v>
      </c>
      <c r="T414" s="1182">
        <f t="shared" si="113"/>
        <v>0</v>
      </c>
      <c r="U414" s="1314">
        <f t="shared" si="107"/>
        <v>0</v>
      </c>
      <c r="V414" s="1314">
        <f t="shared" si="108"/>
        <v>0</v>
      </c>
      <c r="W414" s="1311"/>
      <c r="X414" s="1314">
        <f t="shared" si="109"/>
        <v>0</v>
      </c>
      <c r="Y414" s="1314">
        <f t="shared" si="110"/>
        <v>0</v>
      </c>
      <c r="Z414" s="1311"/>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1</v>
      </c>
      <c r="R415" s="703">
        <f t="shared" si="111"/>
        <v>0</v>
      </c>
      <c r="S415" s="334">
        <f t="shared" si="112"/>
        <v>0</v>
      </c>
      <c r="T415" s="1182">
        <f t="shared" si="113"/>
        <v>0</v>
      </c>
      <c r="U415" s="1314">
        <f t="shared" si="107"/>
        <v>0</v>
      </c>
      <c r="V415" s="1314">
        <f t="shared" si="108"/>
        <v>0</v>
      </c>
      <c r="W415" s="1311"/>
      <c r="X415" s="1314">
        <f t="shared" si="109"/>
        <v>0</v>
      </c>
      <c r="Y415" s="1314">
        <f t="shared" si="110"/>
        <v>0</v>
      </c>
      <c r="Z415" s="1311"/>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1</v>
      </c>
      <c r="R416" s="703">
        <f t="shared" si="111"/>
        <v>0</v>
      </c>
      <c r="S416" s="334">
        <f t="shared" si="112"/>
        <v>0</v>
      </c>
      <c r="T416" s="1182">
        <f t="shared" si="113"/>
        <v>0</v>
      </c>
      <c r="U416" s="1314">
        <f t="shared" si="107"/>
        <v>0</v>
      </c>
      <c r="V416" s="1314">
        <f t="shared" si="108"/>
        <v>0</v>
      </c>
      <c r="W416" s="1311"/>
      <c r="X416" s="1314">
        <f t="shared" si="109"/>
        <v>0</v>
      </c>
      <c r="Y416" s="1314">
        <f t="shared" si="110"/>
        <v>0</v>
      </c>
      <c r="Z416" s="1311"/>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1</v>
      </c>
      <c r="R417" s="703">
        <f t="shared" si="111"/>
        <v>0</v>
      </c>
      <c r="S417" s="334">
        <f t="shared" si="112"/>
        <v>0</v>
      </c>
      <c r="T417" s="1182">
        <f t="shared" si="113"/>
        <v>0</v>
      </c>
      <c r="U417" s="1314">
        <f t="shared" si="107"/>
        <v>0</v>
      </c>
      <c r="V417" s="1314">
        <f t="shared" si="108"/>
        <v>0</v>
      </c>
      <c r="W417" s="1311"/>
      <c r="X417" s="1314">
        <f t="shared" si="109"/>
        <v>0</v>
      </c>
      <c r="Y417" s="1314">
        <f t="shared" si="110"/>
        <v>0</v>
      </c>
      <c r="Z417" s="1311"/>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1</v>
      </c>
      <c r="R418" s="703">
        <f t="shared" si="111"/>
        <v>0</v>
      </c>
      <c r="S418" s="334">
        <f t="shared" si="112"/>
        <v>0</v>
      </c>
      <c r="T418" s="1182">
        <f t="shared" si="113"/>
        <v>0</v>
      </c>
      <c r="U418" s="1314">
        <f t="shared" si="107"/>
        <v>0</v>
      </c>
      <c r="V418" s="1314">
        <f t="shared" si="108"/>
        <v>0</v>
      </c>
      <c r="W418" s="1311"/>
      <c r="X418" s="1314">
        <f t="shared" si="109"/>
        <v>0</v>
      </c>
      <c r="Y418" s="1314">
        <f t="shared" si="110"/>
        <v>0</v>
      </c>
      <c r="Z418" s="1311"/>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1</v>
      </c>
      <c r="R419" s="703">
        <f t="shared" si="111"/>
        <v>0</v>
      </c>
      <c r="S419" s="334">
        <f t="shared" si="112"/>
        <v>0</v>
      </c>
      <c r="T419" s="1182">
        <f t="shared" si="113"/>
        <v>0</v>
      </c>
      <c r="U419" s="1314">
        <f t="shared" si="107"/>
        <v>0</v>
      </c>
      <c r="V419" s="1314">
        <f t="shared" si="108"/>
        <v>0</v>
      </c>
      <c r="W419" s="1311"/>
      <c r="X419" s="1314">
        <f t="shared" si="109"/>
        <v>0</v>
      </c>
      <c r="Y419" s="1314">
        <f t="shared" si="110"/>
        <v>0</v>
      </c>
      <c r="Z419" s="1311"/>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1</v>
      </c>
      <c r="R420" s="703">
        <f t="shared" si="111"/>
        <v>0</v>
      </c>
      <c r="S420" s="334">
        <f t="shared" si="112"/>
        <v>0</v>
      </c>
      <c r="T420" s="1182">
        <f t="shared" si="113"/>
        <v>0</v>
      </c>
      <c r="U420" s="1314">
        <f t="shared" si="107"/>
        <v>0</v>
      </c>
      <c r="V420" s="1314">
        <f t="shared" si="108"/>
        <v>0</v>
      </c>
      <c r="W420" s="1311"/>
      <c r="X420" s="1314">
        <f t="shared" si="109"/>
        <v>0</v>
      </c>
      <c r="Y420" s="1314">
        <f t="shared" si="110"/>
        <v>0</v>
      </c>
      <c r="Z420" s="1311"/>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1</v>
      </c>
      <c r="R421" s="703">
        <f t="shared" si="111"/>
        <v>0</v>
      </c>
      <c r="S421" s="334">
        <f t="shared" si="112"/>
        <v>0</v>
      </c>
      <c r="T421" s="1182">
        <f t="shared" si="113"/>
        <v>0</v>
      </c>
      <c r="U421" s="1314">
        <f t="shared" si="107"/>
        <v>0</v>
      </c>
      <c r="V421" s="1314">
        <f t="shared" si="108"/>
        <v>0</v>
      </c>
      <c r="W421" s="1311"/>
      <c r="X421" s="1314">
        <f t="shared" si="109"/>
        <v>0</v>
      </c>
      <c r="Y421" s="1314">
        <f t="shared" si="110"/>
        <v>0</v>
      </c>
      <c r="Z421" s="1311"/>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1</v>
      </c>
      <c r="R422" s="703">
        <f t="shared" si="111"/>
        <v>0</v>
      </c>
      <c r="S422" s="334">
        <f t="shared" si="112"/>
        <v>0</v>
      </c>
      <c r="T422" s="1182">
        <f t="shared" si="113"/>
        <v>0</v>
      </c>
      <c r="U422" s="1314">
        <f t="shared" si="107"/>
        <v>0</v>
      </c>
      <c r="V422" s="1314">
        <f t="shared" si="108"/>
        <v>0</v>
      </c>
      <c r="W422" s="1311"/>
      <c r="X422" s="1314">
        <f t="shared" si="109"/>
        <v>0</v>
      </c>
      <c r="Y422" s="1314">
        <f t="shared" si="110"/>
        <v>0</v>
      </c>
      <c r="Z422" s="1311"/>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1</v>
      </c>
      <c r="R423" s="703">
        <f t="shared" si="111"/>
        <v>0</v>
      </c>
      <c r="S423" s="334">
        <f t="shared" si="112"/>
        <v>0</v>
      </c>
      <c r="T423" s="1182">
        <f t="shared" si="113"/>
        <v>0</v>
      </c>
      <c r="U423" s="1314">
        <f t="shared" si="107"/>
        <v>0</v>
      </c>
      <c r="V423" s="1314">
        <f t="shared" si="108"/>
        <v>0</v>
      </c>
      <c r="W423" s="1311"/>
      <c r="X423" s="1314">
        <f t="shared" si="109"/>
        <v>0</v>
      </c>
      <c r="Y423" s="1314">
        <f t="shared" si="110"/>
        <v>0</v>
      </c>
      <c r="Z423" s="1311"/>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1</v>
      </c>
      <c r="R424" s="703">
        <f t="shared" si="111"/>
        <v>0</v>
      </c>
      <c r="S424" s="334">
        <f t="shared" si="112"/>
        <v>0</v>
      </c>
      <c r="T424" s="1182">
        <f t="shared" si="113"/>
        <v>0</v>
      </c>
      <c r="U424" s="1314">
        <f t="shared" si="107"/>
        <v>0</v>
      </c>
      <c r="V424" s="1314">
        <f t="shared" si="108"/>
        <v>0</v>
      </c>
      <c r="W424" s="1311"/>
      <c r="X424" s="1314">
        <f t="shared" si="109"/>
        <v>0</v>
      </c>
      <c r="Y424" s="1314">
        <f t="shared" si="110"/>
        <v>0</v>
      </c>
      <c r="Z424" s="1311"/>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1</v>
      </c>
      <c r="R425" s="703">
        <f t="shared" si="111"/>
        <v>0</v>
      </c>
      <c r="S425" s="334">
        <f t="shared" si="112"/>
        <v>0</v>
      </c>
      <c r="T425" s="1182">
        <f t="shared" si="113"/>
        <v>0</v>
      </c>
      <c r="U425" s="1314">
        <f t="shared" si="107"/>
        <v>0</v>
      </c>
      <c r="V425" s="1314">
        <f t="shared" si="108"/>
        <v>0</v>
      </c>
      <c r="W425" s="1311"/>
      <c r="X425" s="1314">
        <f t="shared" si="109"/>
        <v>0</v>
      </c>
      <c r="Y425" s="1314">
        <f t="shared" si="110"/>
        <v>0</v>
      </c>
      <c r="Z425" s="1311"/>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1</v>
      </c>
      <c r="R426" s="703">
        <f t="shared" si="111"/>
        <v>0</v>
      </c>
      <c r="S426" s="334">
        <f t="shared" si="112"/>
        <v>0</v>
      </c>
      <c r="T426" s="1182">
        <f t="shared" si="113"/>
        <v>0</v>
      </c>
      <c r="U426" s="1314">
        <f t="shared" si="107"/>
        <v>0</v>
      </c>
      <c r="V426" s="1314">
        <f t="shared" si="108"/>
        <v>0</v>
      </c>
      <c r="W426" s="1311"/>
      <c r="X426" s="1314">
        <f t="shared" si="109"/>
        <v>0</v>
      </c>
      <c r="Y426" s="1314">
        <f t="shared" si="110"/>
        <v>0</v>
      </c>
      <c r="Z426" s="1311"/>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1</v>
      </c>
      <c r="R427" s="703">
        <f t="shared" si="111"/>
        <v>0</v>
      </c>
      <c r="S427" s="334">
        <f t="shared" si="112"/>
        <v>0</v>
      </c>
      <c r="T427" s="1182">
        <f t="shared" si="113"/>
        <v>0</v>
      </c>
      <c r="U427" s="1314">
        <f t="shared" si="107"/>
        <v>0</v>
      </c>
      <c r="V427" s="1314">
        <f t="shared" si="108"/>
        <v>0</v>
      </c>
      <c r="W427" s="1311"/>
      <c r="X427" s="1314">
        <f t="shared" si="109"/>
        <v>0</v>
      </c>
      <c r="Y427" s="1314">
        <f t="shared" si="110"/>
        <v>0</v>
      </c>
      <c r="Z427" s="1311"/>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1</v>
      </c>
      <c r="R428" s="703">
        <f t="shared" si="111"/>
        <v>0</v>
      </c>
      <c r="S428" s="334">
        <f t="shared" si="112"/>
        <v>0</v>
      </c>
      <c r="T428" s="1182">
        <f t="shared" si="113"/>
        <v>0</v>
      </c>
      <c r="U428" s="1314">
        <f t="shared" si="107"/>
        <v>0</v>
      </c>
      <c r="V428" s="1314">
        <f t="shared" si="108"/>
        <v>0</v>
      </c>
      <c r="W428" s="1311"/>
      <c r="X428" s="1314">
        <f t="shared" si="109"/>
        <v>0</v>
      </c>
      <c r="Y428" s="1314">
        <f t="shared" si="110"/>
        <v>0</v>
      </c>
      <c r="Z428" s="1311"/>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1</v>
      </c>
      <c r="R429" s="703">
        <f t="shared" si="111"/>
        <v>0</v>
      </c>
      <c r="S429" s="334">
        <f t="shared" si="112"/>
        <v>0</v>
      </c>
      <c r="T429" s="1182">
        <f t="shared" si="113"/>
        <v>0</v>
      </c>
      <c r="U429" s="1314">
        <f t="shared" si="107"/>
        <v>0</v>
      </c>
      <c r="V429" s="1314">
        <f t="shared" si="108"/>
        <v>0</v>
      </c>
      <c r="W429" s="1311"/>
      <c r="X429" s="1314">
        <f t="shared" si="109"/>
        <v>0</v>
      </c>
      <c r="Y429" s="1314">
        <f t="shared" si="110"/>
        <v>0</v>
      </c>
      <c r="Z429" s="1311"/>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1</v>
      </c>
      <c r="R430" s="703">
        <f t="shared" si="111"/>
        <v>0</v>
      </c>
      <c r="S430" s="334">
        <f t="shared" si="112"/>
        <v>0</v>
      </c>
      <c r="T430" s="1182">
        <f t="shared" si="113"/>
        <v>0</v>
      </c>
      <c r="U430" s="1314">
        <f t="shared" si="107"/>
        <v>0</v>
      </c>
      <c r="V430" s="1314">
        <f t="shared" si="108"/>
        <v>0</v>
      </c>
      <c r="W430" s="1311"/>
      <c r="X430" s="1314">
        <f t="shared" si="109"/>
        <v>0</v>
      </c>
      <c r="Y430" s="1314">
        <f t="shared" si="110"/>
        <v>0</v>
      </c>
      <c r="Z430" s="1311"/>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1</v>
      </c>
      <c r="R431" s="703">
        <f t="shared" si="111"/>
        <v>0</v>
      </c>
      <c r="S431" s="334">
        <f t="shared" si="112"/>
        <v>0</v>
      </c>
      <c r="T431" s="1182">
        <f t="shared" si="113"/>
        <v>0</v>
      </c>
      <c r="U431" s="1314">
        <f t="shared" si="107"/>
        <v>0</v>
      </c>
      <c r="V431" s="1314">
        <f t="shared" si="108"/>
        <v>0</v>
      </c>
      <c r="W431" s="1311"/>
      <c r="X431" s="1314">
        <f t="shared" si="109"/>
        <v>0</v>
      </c>
      <c r="Y431" s="1314">
        <f t="shared" si="110"/>
        <v>0</v>
      </c>
      <c r="Z431" s="1311"/>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1</v>
      </c>
      <c r="R432" s="703">
        <f t="shared" si="111"/>
        <v>0</v>
      </c>
      <c r="S432" s="334">
        <f t="shared" si="112"/>
        <v>0</v>
      </c>
      <c r="T432" s="1182">
        <f t="shared" si="113"/>
        <v>0</v>
      </c>
      <c r="U432" s="1314">
        <f t="shared" si="107"/>
        <v>0</v>
      </c>
      <c r="V432" s="1314">
        <f t="shared" si="108"/>
        <v>0</v>
      </c>
      <c r="W432" s="1311"/>
      <c r="X432" s="1314">
        <f t="shared" si="109"/>
        <v>0</v>
      </c>
      <c r="Y432" s="1314">
        <f t="shared" si="110"/>
        <v>0</v>
      </c>
      <c r="Z432" s="1311"/>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1</v>
      </c>
      <c r="R433" s="703">
        <f t="shared" si="111"/>
        <v>0</v>
      </c>
      <c r="S433" s="334">
        <f t="shared" si="112"/>
        <v>0</v>
      </c>
      <c r="T433" s="1182">
        <f t="shared" si="113"/>
        <v>0</v>
      </c>
      <c r="U433" s="1314">
        <f t="shared" si="107"/>
        <v>0</v>
      </c>
      <c r="V433" s="1314">
        <f t="shared" si="108"/>
        <v>0</v>
      </c>
      <c r="W433" s="1311"/>
      <c r="X433" s="1314">
        <f t="shared" si="109"/>
        <v>0</v>
      </c>
      <c r="Y433" s="1314">
        <f t="shared" si="110"/>
        <v>0</v>
      </c>
      <c r="Z433" s="1311"/>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1</v>
      </c>
      <c r="R434" s="703">
        <f t="shared" si="111"/>
        <v>0</v>
      </c>
      <c r="S434" s="334">
        <f t="shared" si="112"/>
        <v>0</v>
      </c>
      <c r="T434" s="1182">
        <f t="shared" si="113"/>
        <v>0</v>
      </c>
      <c r="U434" s="1314">
        <f t="shared" si="107"/>
        <v>0</v>
      </c>
      <c r="V434" s="1314">
        <f t="shared" si="108"/>
        <v>0</v>
      </c>
      <c r="W434" s="1311"/>
      <c r="X434" s="1314">
        <f t="shared" si="109"/>
        <v>0</v>
      </c>
      <c r="Y434" s="1314">
        <f t="shared" si="110"/>
        <v>0</v>
      </c>
      <c r="Z434" s="1311"/>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1</v>
      </c>
      <c r="R435" s="703">
        <f t="shared" si="111"/>
        <v>0</v>
      </c>
      <c r="S435" s="334">
        <f t="shared" si="112"/>
        <v>0</v>
      </c>
      <c r="T435" s="1182">
        <f t="shared" si="113"/>
        <v>0</v>
      </c>
      <c r="U435" s="1314">
        <f t="shared" si="107"/>
        <v>0</v>
      </c>
      <c r="V435" s="1314">
        <f t="shared" si="108"/>
        <v>0</v>
      </c>
      <c r="W435" s="1311"/>
      <c r="X435" s="1314">
        <f t="shared" si="109"/>
        <v>0</v>
      </c>
      <c r="Y435" s="1314">
        <f t="shared" si="110"/>
        <v>0</v>
      </c>
      <c r="Z435" s="1311"/>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1</v>
      </c>
      <c r="R436" s="703">
        <f t="shared" si="111"/>
        <v>0</v>
      </c>
      <c r="S436" s="334">
        <f t="shared" si="112"/>
        <v>0</v>
      </c>
      <c r="T436" s="1182">
        <f t="shared" si="113"/>
        <v>0</v>
      </c>
      <c r="U436" s="1314">
        <f t="shared" si="107"/>
        <v>0</v>
      </c>
      <c r="V436" s="1314">
        <f t="shared" si="108"/>
        <v>0</v>
      </c>
      <c r="W436" s="1311"/>
      <c r="X436" s="1314">
        <f t="shared" si="109"/>
        <v>0</v>
      </c>
      <c r="Y436" s="1314">
        <f t="shared" si="110"/>
        <v>0</v>
      </c>
      <c r="Z436" s="1311"/>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1</v>
      </c>
      <c r="R437" s="703">
        <f t="shared" si="111"/>
        <v>0</v>
      </c>
      <c r="S437" s="334">
        <f t="shared" si="112"/>
        <v>0</v>
      </c>
      <c r="T437" s="1182">
        <f t="shared" si="113"/>
        <v>0</v>
      </c>
      <c r="U437" s="1314">
        <f t="shared" si="107"/>
        <v>0</v>
      </c>
      <c r="V437" s="1314">
        <f t="shared" si="108"/>
        <v>0</v>
      </c>
      <c r="W437" s="1311"/>
      <c r="X437" s="1314">
        <f t="shared" si="109"/>
        <v>0</v>
      </c>
      <c r="Y437" s="1314">
        <f t="shared" si="110"/>
        <v>0</v>
      </c>
      <c r="Z437" s="1311"/>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1</v>
      </c>
      <c r="R438" s="703">
        <f t="shared" si="111"/>
        <v>0</v>
      </c>
      <c r="S438" s="334">
        <f t="shared" si="112"/>
        <v>0</v>
      </c>
      <c r="T438" s="1182">
        <f t="shared" si="113"/>
        <v>0</v>
      </c>
      <c r="U438" s="1314">
        <f t="shared" si="107"/>
        <v>0</v>
      </c>
      <c r="V438" s="1314">
        <f t="shared" si="108"/>
        <v>0</v>
      </c>
      <c r="W438" s="1311"/>
      <c r="X438" s="1314">
        <f t="shared" si="109"/>
        <v>0</v>
      </c>
      <c r="Y438" s="1314">
        <f t="shared" si="110"/>
        <v>0</v>
      </c>
      <c r="Z438" s="1311"/>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1</v>
      </c>
      <c r="R439" s="703">
        <f t="shared" si="111"/>
        <v>0</v>
      </c>
      <c r="S439" s="334">
        <f t="shared" si="112"/>
        <v>0</v>
      </c>
      <c r="T439" s="1182">
        <f t="shared" si="113"/>
        <v>0</v>
      </c>
      <c r="U439" s="1314">
        <f t="shared" si="107"/>
        <v>0</v>
      </c>
      <c r="V439" s="1314">
        <f t="shared" si="108"/>
        <v>0</v>
      </c>
      <c r="W439" s="1311"/>
      <c r="X439" s="1314">
        <f t="shared" si="109"/>
        <v>0</v>
      </c>
      <c r="Y439" s="1314">
        <f t="shared" si="110"/>
        <v>0</v>
      </c>
      <c r="Z439" s="1311"/>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1</v>
      </c>
      <c r="R440" s="703">
        <f t="shared" si="111"/>
        <v>0</v>
      </c>
      <c r="S440" s="334">
        <f t="shared" si="112"/>
        <v>0</v>
      </c>
      <c r="T440" s="1182">
        <f t="shared" si="113"/>
        <v>0</v>
      </c>
      <c r="U440" s="1314">
        <f t="shared" si="107"/>
        <v>0</v>
      </c>
      <c r="V440" s="1314">
        <f t="shared" si="108"/>
        <v>0</v>
      </c>
      <c r="W440" s="1311"/>
      <c r="X440" s="1314">
        <f t="shared" si="109"/>
        <v>0</v>
      </c>
      <c r="Y440" s="1314">
        <f t="shared" si="110"/>
        <v>0</v>
      </c>
      <c r="Z440" s="1311"/>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1</v>
      </c>
      <c r="R441" s="703">
        <f t="shared" si="111"/>
        <v>0</v>
      </c>
      <c r="S441" s="334">
        <f t="shared" si="112"/>
        <v>0</v>
      </c>
      <c r="T441" s="1182">
        <f t="shared" si="113"/>
        <v>0</v>
      </c>
      <c r="U441" s="1314">
        <f t="shared" si="107"/>
        <v>0</v>
      </c>
      <c r="V441" s="1314">
        <f t="shared" si="108"/>
        <v>0</v>
      </c>
      <c r="W441" s="1311"/>
      <c r="X441" s="1314">
        <f t="shared" si="109"/>
        <v>0</v>
      </c>
      <c r="Y441" s="1314">
        <f t="shared" si="110"/>
        <v>0</v>
      </c>
      <c r="Z441" s="1311"/>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1</v>
      </c>
      <c r="R442" s="703">
        <f t="shared" si="111"/>
        <v>0</v>
      </c>
      <c r="S442" s="334">
        <f t="shared" si="112"/>
        <v>0</v>
      </c>
      <c r="T442" s="1182">
        <f t="shared" si="113"/>
        <v>0</v>
      </c>
      <c r="U442" s="1314">
        <f t="shared" si="107"/>
        <v>0</v>
      </c>
      <c r="V442" s="1314">
        <f t="shared" si="108"/>
        <v>0</v>
      </c>
      <c r="W442" s="1311"/>
      <c r="X442" s="1314">
        <f t="shared" si="109"/>
        <v>0</v>
      </c>
      <c r="Y442" s="1314">
        <f t="shared" si="110"/>
        <v>0</v>
      </c>
      <c r="Z442" s="1311"/>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1</v>
      </c>
      <c r="R443" s="703">
        <f t="shared" si="111"/>
        <v>0</v>
      </c>
      <c r="S443" s="334">
        <f t="shared" si="112"/>
        <v>0</v>
      </c>
      <c r="T443" s="1182">
        <f t="shared" si="113"/>
        <v>0</v>
      </c>
      <c r="U443" s="1314">
        <f t="shared" si="107"/>
        <v>0</v>
      </c>
      <c r="V443" s="1314">
        <f t="shared" si="108"/>
        <v>0</v>
      </c>
      <c r="W443" s="1311"/>
      <c r="X443" s="1314">
        <f t="shared" si="109"/>
        <v>0</v>
      </c>
      <c r="Y443" s="1314">
        <f t="shared" si="110"/>
        <v>0</v>
      </c>
      <c r="Z443" s="1311"/>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1</v>
      </c>
      <c r="R444" s="703">
        <f t="shared" si="111"/>
        <v>0</v>
      </c>
      <c r="S444" s="334">
        <f t="shared" si="112"/>
        <v>0</v>
      </c>
      <c r="T444" s="1182">
        <f t="shared" si="113"/>
        <v>0</v>
      </c>
      <c r="U444" s="1314">
        <f t="shared" si="107"/>
        <v>0</v>
      </c>
      <c r="V444" s="1314">
        <f t="shared" si="108"/>
        <v>0</v>
      </c>
      <c r="W444" s="1311"/>
      <c r="X444" s="1314">
        <f t="shared" si="109"/>
        <v>0</v>
      </c>
      <c r="Y444" s="1314">
        <f t="shared" si="110"/>
        <v>0</v>
      </c>
      <c r="Z444" s="1311"/>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1</v>
      </c>
      <c r="R445" s="703">
        <f t="shared" si="111"/>
        <v>0</v>
      </c>
      <c r="S445" s="334">
        <f t="shared" si="112"/>
        <v>0</v>
      </c>
      <c r="T445" s="1182">
        <f t="shared" si="113"/>
        <v>0</v>
      </c>
      <c r="U445" s="1314">
        <f t="shared" si="107"/>
        <v>0</v>
      </c>
      <c r="V445" s="1314">
        <f t="shared" si="108"/>
        <v>0</v>
      </c>
      <c r="W445" s="1311"/>
      <c r="X445" s="1314">
        <f t="shared" si="109"/>
        <v>0</v>
      </c>
      <c r="Y445" s="1314">
        <f t="shared" si="110"/>
        <v>0</v>
      </c>
      <c r="Z445" s="1311"/>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1</v>
      </c>
      <c r="R446" s="703">
        <f t="shared" si="111"/>
        <v>0</v>
      </c>
      <c r="S446" s="334">
        <f t="shared" si="112"/>
        <v>0</v>
      </c>
      <c r="T446" s="1182">
        <f t="shared" si="113"/>
        <v>0</v>
      </c>
      <c r="U446" s="1314">
        <f t="shared" si="107"/>
        <v>0</v>
      </c>
      <c r="V446" s="1314">
        <f t="shared" si="108"/>
        <v>0</v>
      </c>
      <c r="W446" s="1311"/>
      <c r="X446" s="1314">
        <f t="shared" si="109"/>
        <v>0</v>
      </c>
      <c r="Y446" s="1314">
        <f t="shared" si="110"/>
        <v>0</v>
      </c>
      <c r="Z446" s="1311"/>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1</v>
      </c>
      <c r="R447" s="703">
        <f t="shared" si="111"/>
        <v>0</v>
      </c>
      <c r="S447" s="334">
        <f t="shared" si="112"/>
        <v>0</v>
      </c>
      <c r="T447" s="1182">
        <f t="shared" si="113"/>
        <v>0</v>
      </c>
      <c r="U447" s="1314">
        <f t="shared" si="107"/>
        <v>0</v>
      </c>
      <c r="V447" s="1314">
        <f t="shared" si="108"/>
        <v>0</v>
      </c>
      <c r="W447" s="1311"/>
      <c r="X447" s="1314">
        <f t="shared" si="109"/>
        <v>0</v>
      </c>
      <c r="Y447" s="1314">
        <f t="shared" si="110"/>
        <v>0</v>
      </c>
      <c r="Z447" s="1311"/>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1</v>
      </c>
      <c r="R448" s="703">
        <f t="shared" si="111"/>
        <v>0</v>
      </c>
      <c r="S448" s="334">
        <f t="shared" si="112"/>
        <v>0</v>
      </c>
      <c r="T448" s="1182">
        <f t="shared" si="113"/>
        <v>0</v>
      </c>
      <c r="U448" s="1314">
        <f t="shared" si="107"/>
        <v>0</v>
      </c>
      <c r="V448" s="1314">
        <f t="shared" si="108"/>
        <v>0</v>
      </c>
      <c r="W448" s="1311"/>
      <c r="X448" s="1314">
        <f t="shared" si="109"/>
        <v>0</v>
      </c>
      <c r="Y448" s="1314">
        <f t="shared" si="110"/>
        <v>0</v>
      </c>
      <c r="Z448" s="1311"/>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1</v>
      </c>
      <c r="R449" s="703">
        <f t="shared" si="111"/>
        <v>0</v>
      </c>
      <c r="S449" s="334">
        <f t="shared" si="112"/>
        <v>0</v>
      </c>
      <c r="T449" s="1182">
        <f t="shared" si="113"/>
        <v>0</v>
      </c>
      <c r="U449" s="1314">
        <f t="shared" si="107"/>
        <v>0</v>
      </c>
      <c r="V449" s="1314">
        <f t="shared" si="108"/>
        <v>0</v>
      </c>
      <c r="W449" s="1311"/>
      <c r="X449" s="1314">
        <f t="shared" si="109"/>
        <v>0</v>
      </c>
      <c r="Y449" s="1314">
        <f t="shared" si="110"/>
        <v>0</v>
      </c>
      <c r="Z449" s="1311"/>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1</v>
      </c>
      <c r="R450" s="703">
        <f t="shared" si="111"/>
        <v>0</v>
      </c>
      <c r="S450" s="334">
        <f t="shared" si="112"/>
        <v>0</v>
      </c>
      <c r="T450" s="1182">
        <f t="shared" si="113"/>
        <v>0</v>
      </c>
      <c r="U450" s="1314">
        <f t="shared" si="107"/>
        <v>0</v>
      </c>
      <c r="V450" s="1314">
        <f t="shared" si="108"/>
        <v>0</v>
      </c>
      <c r="W450" s="1311"/>
      <c r="X450" s="1314">
        <f t="shared" si="109"/>
        <v>0</v>
      </c>
      <c r="Y450" s="1314">
        <f t="shared" si="110"/>
        <v>0</v>
      </c>
      <c r="Z450" s="1311"/>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1</v>
      </c>
      <c r="R451" s="703">
        <f t="shared" si="111"/>
        <v>0</v>
      </c>
      <c r="S451" s="334">
        <f t="shared" si="112"/>
        <v>0</v>
      </c>
      <c r="T451" s="1182">
        <f t="shared" si="113"/>
        <v>0</v>
      </c>
      <c r="U451" s="1314">
        <f t="shared" si="107"/>
        <v>0</v>
      </c>
      <c r="V451" s="1314">
        <f t="shared" si="108"/>
        <v>0</v>
      </c>
      <c r="W451" s="1311"/>
      <c r="X451" s="1314">
        <f t="shared" si="109"/>
        <v>0</v>
      </c>
      <c r="Y451" s="1314">
        <f t="shared" si="110"/>
        <v>0</v>
      </c>
      <c r="Z451" s="1311"/>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1</v>
      </c>
      <c r="R452" s="703">
        <f t="shared" si="111"/>
        <v>0</v>
      </c>
      <c r="S452" s="334">
        <f t="shared" si="112"/>
        <v>0</v>
      </c>
      <c r="T452" s="1182">
        <f t="shared" si="113"/>
        <v>0</v>
      </c>
      <c r="U452" s="1314">
        <f t="shared" si="107"/>
        <v>0</v>
      </c>
      <c r="V452" s="1314">
        <f t="shared" si="108"/>
        <v>0</v>
      </c>
      <c r="W452" s="1311"/>
      <c r="X452" s="1314">
        <f t="shared" si="109"/>
        <v>0</v>
      </c>
      <c r="Y452" s="1314">
        <f t="shared" si="110"/>
        <v>0</v>
      </c>
      <c r="Z452" s="1311"/>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1</v>
      </c>
      <c r="R453" s="703">
        <f t="shared" si="111"/>
        <v>0</v>
      </c>
      <c r="S453" s="334">
        <f t="shared" si="112"/>
        <v>0</v>
      </c>
      <c r="T453" s="1182">
        <f t="shared" si="113"/>
        <v>0</v>
      </c>
      <c r="U453" s="1314">
        <f t="shared" si="107"/>
        <v>0</v>
      </c>
      <c r="V453" s="1314">
        <f t="shared" si="108"/>
        <v>0</v>
      </c>
      <c r="W453" s="1311"/>
      <c r="X453" s="1314">
        <f t="shared" si="109"/>
        <v>0</v>
      </c>
      <c r="Y453" s="1314">
        <f t="shared" si="110"/>
        <v>0</v>
      </c>
      <c r="Z453" s="1311"/>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1</v>
      </c>
      <c r="R454" s="703">
        <f t="shared" si="111"/>
        <v>0</v>
      </c>
      <c r="S454" s="334">
        <f t="shared" si="112"/>
        <v>0</v>
      </c>
      <c r="T454" s="1182">
        <f t="shared" si="113"/>
        <v>0</v>
      </c>
      <c r="U454" s="1314">
        <f t="shared" si="107"/>
        <v>0</v>
      </c>
      <c r="V454" s="1314">
        <f t="shared" si="108"/>
        <v>0</v>
      </c>
      <c r="W454" s="1311"/>
      <c r="X454" s="1314">
        <f t="shared" si="109"/>
        <v>0</v>
      </c>
      <c r="Y454" s="1314">
        <f t="shared" si="110"/>
        <v>0</v>
      </c>
      <c r="Z454" s="1311"/>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1</v>
      </c>
      <c r="R455" s="703">
        <f t="shared" si="111"/>
        <v>0</v>
      </c>
      <c r="S455" s="334">
        <f t="shared" si="112"/>
        <v>0</v>
      </c>
      <c r="T455" s="1182">
        <f t="shared" si="113"/>
        <v>0</v>
      </c>
      <c r="U455" s="1314">
        <f t="shared" si="107"/>
        <v>0</v>
      </c>
      <c r="V455" s="1314">
        <f t="shared" si="108"/>
        <v>0</v>
      </c>
      <c r="W455" s="1311"/>
      <c r="X455" s="1314">
        <f t="shared" si="109"/>
        <v>0</v>
      </c>
      <c r="Y455" s="1314">
        <f t="shared" si="110"/>
        <v>0</v>
      </c>
      <c r="Z455" s="1311"/>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1</v>
      </c>
      <c r="R456" s="703">
        <f t="shared" si="111"/>
        <v>0</v>
      </c>
      <c r="S456" s="334">
        <f t="shared" si="112"/>
        <v>0</v>
      </c>
      <c r="T456" s="1182">
        <f t="shared" si="113"/>
        <v>0</v>
      </c>
      <c r="U456" s="1314">
        <f t="shared" si="107"/>
        <v>0</v>
      </c>
      <c r="V456" s="1314">
        <f t="shared" si="108"/>
        <v>0</v>
      </c>
      <c r="W456" s="1311"/>
      <c r="X456" s="1314">
        <f t="shared" si="109"/>
        <v>0</v>
      </c>
      <c r="Y456" s="1314">
        <f t="shared" si="110"/>
        <v>0</v>
      </c>
      <c r="Z456" s="1311"/>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1</v>
      </c>
      <c r="R457" s="703">
        <f t="shared" si="111"/>
        <v>0</v>
      </c>
      <c r="S457" s="334">
        <f t="shared" si="112"/>
        <v>0</v>
      </c>
      <c r="T457" s="1182">
        <f t="shared" si="113"/>
        <v>0</v>
      </c>
      <c r="U457" s="1314">
        <f t="shared" si="107"/>
        <v>0</v>
      </c>
      <c r="V457" s="1314">
        <f t="shared" si="108"/>
        <v>0</v>
      </c>
      <c r="W457" s="1311"/>
      <c r="X457" s="1314">
        <f t="shared" si="109"/>
        <v>0</v>
      </c>
      <c r="Y457" s="1314">
        <f t="shared" si="110"/>
        <v>0</v>
      </c>
      <c r="Z457" s="1311"/>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1</v>
      </c>
      <c r="R458" s="703">
        <f t="shared" si="111"/>
        <v>0</v>
      </c>
      <c r="S458" s="334">
        <f t="shared" si="112"/>
        <v>0</v>
      </c>
      <c r="T458" s="1182">
        <f t="shared" si="113"/>
        <v>0</v>
      </c>
      <c r="U458" s="1314">
        <f t="shared" si="107"/>
        <v>0</v>
      </c>
      <c r="V458" s="1314">
        <f t="shared" si="108"/>
        <v>0</v>
      </c>
      <c r="W458" s="1311"/>
      <c r="X458" s="1314">
        <f t="shared" si="109"/>
        <v>0</v>
      </c>
      <c r="Y458" s="1314">
        <f t="shared" si="110"/>
        <v>0</v>
      </c>
      <c r="Z458" s="1311"/>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1</v>
      </c>
      <c r="R459" s="703">
        <f t="shared" si="111"/>
        <v>0</v>
      </c>
      <c r="S459" s="334">
        <f t="shared" si="112"/>
        <v>0</v>
      </c>
      <c r="T459" s="1182">
        <f t="shared" si="113"/>
        <v>0</v>
      </c>
      <c r="U459" s="1314">
        <f t="shared" si="107"/>
        <v>0</v>
      </c>
      <c r="V459" s="1314">
        <f t="shared" si="108"/>
        <v>0</v>
      </c>
      <c r="W459" s="1311"/>
      <c r="X459" s="1314">
        <f t="shared" si="109"/>
        <v>0</v>
      </c>
      <c r="Y459" s="1314">
        <f t="shared" si="110"/>
        <v>0</v>
      </c>
      <c r="Z459" s="1311"/>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1</v>
      </c>
      <c r="R460" s="703">
        <f t="shared" si="111"/>
        <v>0</v>
      </c>
      <c r="S460" s="334">
        <f t="shared" si="112"/>
        <v>0</v>
      </c>
      <c r="T460" s="1182">
        <f t="shared" si="113"/>
        <v>0</v>
      </c>
      <c r="U460" s="1314">
        <f t="shared" si="107"/>
        <v>0</v>
      </c>
      <c r="V460" s="1314">
        <f t="shared" si="108"/>
        <v>0</v>
      </c>
      <c r="W460" s="1311"/>
      <c r="X460" s="1314">
        <f t="shared" si="109"/>
        <v>0</v>
      </c>
      <c r="Y460" s="1314">
        <f t="shared" si="110"/>
        <v>0</v>
      </c>
      <c r="Z460" s="1311"/>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1</v>
      </c>
      <c r="R461" s="703">
        <f t="shared" si="111"/>
        <v>0</v>
      </c>
      <c r="S461" s="334">
        <f t="shared" si="112"/>
        <v>0</v>
      </c>
      <c r="T461" s="1182">
        <f t="shared" si="113"/>
        <v>0</v>
      </c>
      <c r="U461" s="1314">
        <f t="shared" si="107"/>
        <v>0</v>
      </c>
      <c r="V461" s="1314">
        <f t="shared" si="108"/>
        <v>0</v>
      </c>
      <c r="W461" s="1311"/>
      <c r="X461" s="1314">
        <f t="shared" si="109"/>
        <v>0</v>
      </c>
      <c r="Y461" s="1314">
        <f t="shared" si="110"/>
        <v>0</v>
      </c>
      <c r="Z461" s="1311"/>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1</v>
      </c>
      <c r="R462" s="703">
        <f t="shared" si="111"/>
        <v>0</v>
      </c>
      <c r="S462" s="334">
        <f t="shared" si="112"/>
        <v>0</v>
      </c>
      <c r="T462" s="1182">
        <f t="shared" si="113"/>
        <v>0</v>
      </c>
      <c r="U462" s="1314">
        <f t="shared" si="107"/>
        <v>0</v>
      </c>
      <c r="V462" s="1314">
        <f t="shared" si="108"/>
        <v>0</v>
      </c>
      <c r="W462" s="1311"/>
      <c r="X462" s="1314">
        <f t="shared" si="109"/>
        <v>0</v>
      </c>
      <c r="Y462" s="1314">
        <f t="shared" si="110"/>
        <v>0</v>
      </c>
      <c r="Z462" s="1311"/>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1</v>
      </c>
      <c r="R463" s="703">
        <f t="shared" si="111"/>
        <v>0</v>
      </c>
      <c r="S463" s="334">
        <f t="shared" si="112"/>
        <v>0</v>
      </c>
      <c r="T463" s="1182">
        <f t="shared" si="113"/>
        <v>0</v>
      </c>
      <c r="U463" s="1314">
        <f t="shared" si="107"/>
        <v>0</v>
      </c>
      <c r="V463" s="1314">
        <f t="shared" si="108"/>
        <v>0</v>
      </c>
      <c r="W463" s="1311"/>
      <c r="X463" s="1314">
        <f t="shared" si="109"/>
        <v>0</v>
      </c>
      <c r="Y463" s="1314">
        <f t="shared" si="110"/>
        <v>0</v>
      </c>
      <c r="Z463" s="1311"/>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1</v>
      </c>
      <c r="R464" s="703">
        <f t="shared" si="111"/>
        <v>0</v>
      </c>
      <c r="S464" s="334">
        <f t="shared" si="112"/>
        <v>0</v>
      </c>
      <c r="T464" s="1182">
        <f t="shared" si="113"/>
        <v>0</v>
      </c>
      <c r="U464" s="1314">
        <f t="shared" si="107"/>
        <v>0</v>
      </c>
      <c r="V464" s="1314">
        <f t="shared" si="108"/>
        <v>0</v>
      </c>
      <c r="W464" s="1311"/>
      <c r="X464" s="1314">
        <f t="shared" si="109"/>
        <v>0</v>
      </c>
      <c r="Y464" s="1314">
        <f t="shared" si="110"/>
        <v>0</v>
      </c>
      <c r="Z464" s="1311"/>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1</v>
      </c>
      <c r="R465" s="703">
        <f t="shared" si="111"/>
        <v>0</v>
      </c>
      <c r="S465" s="334">
        <f t="shared" si="112"/>
        <v>0</v>
      </c>
      <c r="T465" s="1182">
        <f t="shared" si="113"/>
        <v>0</v>
      </c>
      <c r="U465" s="1314">
        <f t="shared" si="107"/>
        <v>0</v>
      </c>
      <c r="V465" s="1314">
        <f t="shared" si="108"/>
        <v>0</v>
      </c>
      <c r="W465" s="1311"/>
      <c r="X465" s="1314">
        <f t="shared" si="109"/>
        <v>0</v>
      </c>
      <c r="Y465" s="1314">
        <f t="shared" si="110"/>
        <v>0</v>
      </c>
      <c r="Z465" s="1311"/>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1</v>
      </c>
      <c r="R466" s="703">
        <f t="shared" si="111"/>
        <v>0</v>
      </c>
      <c r="S466" s="334">
        <f t="shared" si="112"/>
        <v>0</v>
      </c>
      <c r="T466" s="1182">
        <f t="shared" si="113"/>
        <v>0</v>
      </c>
      <c r="U466" s="1314">
        <f t="shared" si="107"/>
        <v>0</v>
      </c>
      <c r="V466" s="1314">
        <f t="shared" si="108"/>
        <v>0</v>
      </c>
      <c r="W466" s="1311"/>
      <c r="X466" s="1314">
        <f t="shared" si="109"/>
        <v>0</v>
      </c>
      <c r="Y466" s="1314">
        <f t="shared" si="110"/>
        <v>0</v>
      </c>
      <c r="Z466" s="1311"/>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1</v>
      </c>
      <c r="R467" s="703">
        <f t="shared" si="111"/>
        <v>0</v>
      </c>
      <c r="S467" s="334">
        <f t="shared" si="112"/>
        <v>0</v>
      </c>
      <c r="T467" s="1182">
        <f t="shared" si="113"/>
        <v>0</v>
      </c>
      <c r="U467" s="1314">
        <f t="shared" si="107"/>
        <v>0</v>
      </c>
      <c r="V467" s="1314">
        <f t="shared" si="108"/>
        <v>0</v>
      </c>
      <c r="W467" s="1311"/>
      <c r="X467" s="1314">
        <f t="shared" si="109"/>
        <v>0</v>
      </c>
      <c r="Y467" s="1314">
        <f t="shared" si="110"/>
        <v>0</v>
      </c>
      <c r="Z467" s="1311"/>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1</v>
      </c>
      <c r="R468" s="703">
        <f t="shared" si="111"/>
        <v>0</v>
      </c>
      <c r="S468" s="334">
        <f t="shared" si="112"/>
        <v>0</v>
      </c>
      <c r="T468" s="1182">
        <f t="shared" si="113"/>
        <v>0</v>
      </c>
      <c r="U468" s="1314">
        <f t="shared" si="107"/>
        <v>0</v>
      </c>
      <c r="V468" s="1314">
        <f t="shared" si="108"/>
        <v>0</v>
      </c>
      <c r="W468" s="1311"/>
      <c r="X468" s="1314">
        <f t="shared" si="109"/>
        <v>0</v>
      </c>
      <c r="Y468" s="1314">
        <f t="shared" si="110"/>
        <v>0</v>
      </c>
      <c r="Z468" s="1311"/>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1</v>
      </c>
      <c r="R469" s="703">
        <f t="shared" si="111"/>
        <v>0</v>
      </c>
      <c r="S469" s="334">
        <f t="shared" si="112"/>
        <v>0</v>
      </c>
      <c r="T469" s="1182">
        <f t="shared" si="113"/>
        <v>0</v>
      </c>
      <c r="U469" s="1314">
        <f t="shared" si="107"/>
        <v>0</v>
      </c>
      <c r="V469" s="1314">
        <f t="shared" si="108"/>
        <v>0</v>
      </c>
      <c r="W469" s="1311"/>
      <c r="X469" s="1314">
        <f t="shared" si="109"/>
        <v>0</v>
      </c>
      <c r="Y469" s="1314">
        <f t="shared" si="110"/>
        <v>0</v>
      </c>
      <c r="Z469" s="1311"/>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1</v>
      </c>
      <c r="R470" s="703">
        <f t="shared" si="111"/>
        <v>0</v>
      </c>
      <c r="S470" s="334">
        <f t="shared" si="112"/>
        <v>0</v>
      </c>
      <c r="T470" s="1182">
        <f t="shared" si="113"/>
        <v>0</v>
      </c>
      <c r="U470" s="1314">
        <f t="shared" si="107"/>
        <v>0</v>
      </c>
      <c r="V470" s="1314">
        <f t="shared" si="108"/>
        <v>0</v>
      </c>
      <c r="W470" s="1311"/>
      <c r="X470" s="1314">
        <f t="shared" si="109"/>
        <v>0</v>
      </c>
      <c r="Y470" s="1314">
        <f t="shared" si="110"/>
        <v>0</v>
      </c>
      <c r="Z470" s="1311"/>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1</v>
      </c>
      <c r="R471" s="703">
        <f t="shared" si="111"/>
        <v>0</v>
      </c>
      <c r="S471" s="334">
        <f t="shared" si="112"/>
        <v>0</v>
      </c>
      <c r="T471" s="1182">
        <f t="shared" si="113"/>
        <v>0</v>
      </c>
      <c r="U471" s="1314">
        <f t="shared" si="107"/>
        <v>0</v>
      </c>
      <c r="V471" s="1314">
        <f t="shared" si="108"/>
        <v>0</v>
      </c>
      <c r="W471" s="1311"/>
      <c r="X471" s="1314">
        <f t="shared" si="109"/>
        <v>0</v>
      </c>
      <c r="Y471" s="1314">
        <f t="shared" si="110"/>
        <v>0</v>
      </c>
      <c r="Z471" s="1311"/>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1</v>
      </c>
      <c r="R472" s="703">
        <f t="shared" si="111"/>
        <v>0</v>
      </c>
      <c r="S472" s="334">
        <f t="shared" si="112"/>
        <v>0</v>
      </c>
      <c r="T472" s="1182">
        <f t="shared" si="113"/>
        <v>0</v>
      </c>
      <c r="U472" s="1314">
        <f t="shared" si="107"/>
        <v>0</v>
      </c>
      <c r="V472" s="1314">
        <f t="shared" si="108"/>
        <v>0</v>
      </c>
      <c r="W472" s="1311"/>
      <c r="X472" s="1314">
        <f t="shared" si="109"/>
        <v>0</v>
      </c>
      <c r="Y472" s="1314">
        <f t="shared" si="110"/>
        <v>0</v>
      </c>
      <c r="Z472" s="1311"/>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1</v>
      </c>
      <c r="R473" s="703">
        <f t="shared" si="111"/>
        <v>0</v>
      </c>
      <c r="S473" s="334">
        <f t="shared" si="112"/>
        <v>0</v>
      </c>
      <c r="T473" s="1182">
        <f t="shared" si="113"/>
        <v>0</v>
      </c>
      <c r="U473" s="1314">
        <f t="shared" si="107"/>
        <v>0</v>
      </c>
      <c r="V473" s="1314">
        <f t="shared" si="108"/>
        <v>0</v>
      </c>
      <c r="W473" s="1311"/>
      <c r="X473" s="1314">
        <f t="shared" si="109"/>
        <v>0</v>
      </c>
      <c r="Y473" s="1314">
        <f t="shared" si="110"/>
        <v>0</v>
      </c>
      <c r="Z473" s="1311"/>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1</v>
      </c>
      <c r="R474" s="703">
        <f t="shared" si="111"/>
        <v>0</v>
      </c>
      <c r="S474" s="334">
        <f t="shared" si="112"/>
        <v>0</v>
      </c>
      <c r="T474" s="1182">
        <f t="shared" si="113"/>
        <v>0</v>
      </c>
      <c r="U474" s="1314">
        <f t="shared" si="107"/>
        <v>0</v>
      </c>
      <c r="V474" s="1314">
        <f t="shared" si="108"/>
        <v>0</v>
      </c>
      <c r="W474" s="1311"/>
      <c r="X474" s="1314">
        <f t="shared" si="109"/>
        <v>0</v>
      </c>
      <c r="Y474" s="1314">
        <f t="shared" si="110"/>
        <v>0</v>
      </c>
      <c r="Z474" s="1311"/>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1</v>
      </c>
      <c r="R475" s="703">
        <f t="shared" si="111"/>
        <v>0</v>
      </c>
      <c r="S475" s="334">
        <f t="shared" si="112"/>
        <v>0</v>
      </c>
      <c r="T475" s="1182">
        <f t="shared" si="113"/>
        <v>0</v>
      </c>
      <c r="U475" s="1314">
        <f t="shared" si="107"/>
        <v>0</v>
      </c>
      <c r="V475" s="1314">
        <f t="shared" si="108"/>
        <v>0</v>
      </c>
      <c r="W475" s="1311"/>
      <c r="X475" s="1314">
        <f t="shared" si="109"/>
        <v>0</v>
      </c>
      <c r="Y475" s="1314">
        <f t="shared" si="110"/>
        <v>0</v>
      </c>
      <c r="Z475" s="1311"/>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1</v>
      </c>
      <c r="R476" s="703">
        <f t="shared" si="111"/>
        <v>0</v>
      </c>
      <c r="S476" s="334">
        <f t="shared" si="112"/>
        <v>0</v>
      </c>
      <c r="T476" s="1182">
        <f t="shared" si="113"/>
        <v>0</v>
      </c>
      <c r="U476" s="1314">
        <f t="shared" ref="U476:U527" si="122">ROUND(W476*B476,0)</f>
        <v>0</v>
      </c>
      <c r="V476" s="1314">
        <f t="shared" ref="V476:V527" si="123">ROUND(W476*B476/10000,0)</f>
        <v>0</v>
      </c>
      <c r="W476" s="1311"/>
      <c r="X476" s="1314">
        <f t="shared" ref="X476:X527" si="124">ROUND(Z476*B476,0)</f>
        <v>0</v>
      </c>
      <c r="Y476" s="1314">
        <f t="shared" ref="Y476:Y527" si="125">ROUND(Z476*B476/10000,0)</f>
        <v>0</v>
      </c>
      <c r="Z476" s="1311"/>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1</v>
      </c>
      <c r="R477" s="703">
        <f t="shared" ref="R477:R527" si="126">IF(B477="",0,ROUND($R$27*C477*E477*G477*I477*K477*M477*O477*Q477,0))</f>
        <v>0</v>
      </c>
      <c r="S477" s="334">
        <f t="shared" ref="S477:S527" si="127">ROUND(R477*B477,0)</f>
        <v>0</v>
      </c>
      <c r="T477" s="1182">
        <f t="shared" ref="T477:T527" si="128">ROUND(R477*B477/10000,0)</f>
        <v>0</v>
      </c>
      <c r="U477" s="1314">
        <f t="shared" si="122"/>
        <v>0</v>
      </c>
      <c r="V477" s="1314">
        <f t="shared" si="123"/>
        <v>0</v>
      </c>
      <c r="W477" s="1311"/>
      <c r="X477" s="1314">
        <f t="shared" si="124"/>
        <v>0</v>
      </c>
      <c r="Y477" s="1314">
        <f t="shared" si="125"/>
        <v>0</v>
      </c>
      <c r="Z477" s="1311"/>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1</v>
      </c>
      <c r="R478" s="703">
        <f t="shared" si="126"/>
        <v>0</v>
      </c>
      <c r="S478" s="334">
        <f t="shared" si="127"/>
        <v>0</v>
      </c>
      <c r="T478" s="1182">
        <f t="shared" si="128"/>
        <v>0</v>
      </c>
      <c r="U478" s="1314">
        <f t="shared" si="122"/>
        <v>0</v>
      </c>
      <c r="V478" s="1314">
        <f t="shared" si="123"/>
        <v>0</v>
      </c>
      <c r="W478" s="1311"/>
      <c r="X478" s="1314">
        <f t="shared" si="124"/>
        <v>0</v>
      </c>
      <c r="Y478" s="1314">
        <f t="shared" si="125"/>
        <v>0</v>
      </c>
      <c r="Z478" s="1311"/>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1</v>
      </c>
      <c r="R479" s="703">
        <f t="shared" si="126"/>
        <v>0</v>
      </c>
      <c r="S479" s="334">
        <f t="shared" si="127"/>
        <v>0</v>
      </c>
      <c r="T479" s="1182">
        <f t="shared" si="128"/>
        <v>0</v>
      </c>
      <c r="U479" s="1314">
        <f t="shared" si="122"/>
        <v>0</v>
      </c>
      <c r="V479" s="1314">
        <f t="shared" si="123"/>
        <v>0</v>
      </c>
      <c r="W479" s="1311"/>
      <c r="X479" s="1314">
        <f t="shared" si="124"/>
        <v>0</v>
      </c>
      <c r="Y479" s="1314">
        <f t="shared" si="125"/>
        <v>0</v>
      </c>
      <c r="Z479" s="1311"/>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1</v>
      </c>
      <c r="R480" s="703">
        <f t="shared" si="126"/>
        <v>0</v>
      </c>
      <c r="S480" s="334">
        <f t="shared" si="127"/>
        <v>0</v>
      </c>
      <c r="T480" s="1182">
        <f t="shared" si="128"/>
        <v>0</v>
      </c>
      <c r="U480" s="1314">
        <f t="shared" si="122"/>
        <v>0</v>
      </c>
      <c r="V480" s="1314">
        <f t="shared" si="123"/>
        <v>0</v>
      </c>
      <c r="W480" s="1311"/>
      <c r="X480" s="1314">
        <f t="shared" si="124"/>
        <v>0</v>
      </c>
      <c r="Y480" s="1314">
        <f t="shared" si="125"/>
        <v>0</v>
      </c>
      <c r="Z480" s="1311"/>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1</v>
      </c>
      <c r="R481" s="703">
        <f t="shared" si="126"/>
        <v>0</v>
      </c>
      <c r="S481" s="334">
        <f t="shared" si="127"/>
        <v>0</v>
      </c>
      <c r="T481" s="1182">
        <f t="shared" si="128"/>
        <v>0</v>
      </c>
      <c r="U481" s="1314">
        <f t="shared" si="122"/>
        <v>0</v>
      </c>
      <c r="V481" s="1314">
        <f t="shared" si="123"/>
        <v>0</v>
      </c>
      <c r="W481" s="1311"/>
      <c r="X481" s="1314">
        <f t="shared" si="124"/>
        <v>0</v>
      </c>
      <c r="Y481" s="1314">
        <f t="shared" si="125"/>
        <v>0</v>
      </c>
      <c r="Z481" s="1311"/>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1</v>
      </c>
      <c r="R482" s="703">
        <f t="shared" si="126"/>
        <v>0</v>
      </c>
      <c r="S482" s="334">
        <f t="shared" si="127"/>
        <v>0</v>
      </c>
      <c r="T482" s="1182">
        <f t="shared" si="128"/>
        <v>0</v>
      </c>
      <c r="U482" s="1314">
        <f t="shared" si="122"/>
        <v>0</v>
      </c>
      <c r="V482" s="1314">
        <f t="shared" si="123"/>
        <v>0</v>
      </c>
      <c r="W482" s="1311"/>
      <c r="X482" s="1314">
        <f t="shared" si="124"/>
        <v>0</v>
      </c>
      <c r="Y482" s="1314">
        <f t="shared" si="125"/>
        <v>0</v>
      </c>
      <c r="Z482" s="1311"/>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1</v>
      </c>
      <c r="R483" s="703">
        <f t="shared" si="126"/>
        <v>0</v>
      </c>
      <c r="S483" s="334">
        <f t="shared" si="127"/>
        <v>0</v>
      </c>
      <c r="T483" s="1182">
        <f t="shared" si="128"/>
        <v>0</v>
      </c>
      <c r="U483" s="1314">
        <f t="shared" si="122"/>
        <v>0</v>
      </c>
      <c r="V483" s="1314">
        <f t="shared" si="123"/>
        <v>0</v>
      </c>
      <c r="W483" s="1311"/>
      <c r="X483" s="1314">
        <f t="shared" si="124"/>
        <v>0</v>
      </c>
      <c r="Y483" s="1314">
        <f t="shared" si="125"/>
        <v>0</v>
      </c>
      <c r="Z483" s="1311"/>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1</v>
      </c>
      <c r="R484" s="703">
        <f t="shared" si="126"/>
        <v>0</v>
      </c>
      <c r="S484" s="334">
        <f t="shared" si="127"/>
        <v>0</v>
      </c>
      <c r="T484" s="1182">
        <f t="shared" si="128"/>
        <v>0</v>
      </c>
      <c r="U484" s="1314">
        <f t="shared" si="122"/>
        <v>0</v>
      </c>
      <c r="V484" s="1314">
        <f t="shared" si="123"/>
        <v>0</v>
      </c>
      <c r="W484" s="1311"/>
      <c r="X484" s="1314">
        <f t="shared" si="124"/>
        <v>0</v>
      </c>
      <c r="Y484" s="1314">
        <f t="shared" si="125"/>
        <v>0</v>
      </c>
      <c r="Z484" s="1311"/>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1</v>
      </c>
      <c r="R485" s="703">
        <f t="shared" si="126"/>
        <v>0</v>
      </c>
      <c r="S485" s="334">
        <f t="shared" si="127"/>
        <v>0</v>
      </c>
      <c r="T485" s="1182">
        <f t="shared" si="128"/>
        <v>0</v>
      </c>
      <c r="U485" s="1314">
        <f t="shared" si="122"/>
        <v>0</v>
      </c>
      <c r="V485" s="1314">
        <f t="shared" si="123"/>
        <v>0</v>
      </c>
      <c r="W485" s="1311"/>
      <c r="X485" s="1314">
        <f t="shared" si="124"/>
        <v>0</v>
      </c>
      <c r="Y485" s="1314">
        <f t="shared" si="125"/>
        <v>0</v>
      </c>
      <c r="Z485" s="1311"/>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1</v>
      </c>
      <c r="R486" s="703">
        <f t="shared" si="126"/>
        <v>0</v>
      </c>
      <c r="S486" s="334">
        <f t="shared" si="127"/>
        <v>0</v>
      </c>
      <c r="T486" s="1182">
        <f t="shared" si="128"/>
        <v>0</v>
      </c>
      <c r="U486" s="1314">
        <f t="shared" si="122"/>
        <v>0</v>
      </c>
      <c r="V486" s="1314">
        <f t="shared" si="123"/>
        <v>0</v>
      </c>
      <c r="W486" s="1311"/>
      <c r="X486" s="1314">
        <f t="shared" si="124"/>
        <v>0</v>
      </c>
      <c r="Y486" s="1314">
        <f t="shared" si="125"/>
        <v>0</v>
      </c>
      <c r="Z486" s="1311"/>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1</v>
      </c>
      <c r="R487" s="703">
        <f t="shared" si="126"/>
        <v>0</v>
      </c>
      <c r="S487" s="334">
        <f t="shared" si="127"/>
        <v>0</v>
      </c>
      <c r="T487" s="1182">
        <f t="shared" si="128"/>
        <v>0</v>
      </c>
      <c r="U487" s="1314">
        <f t="shared" si="122"/>
        <v>0</v>
      </c>
      <c r="V487" s="1314">
        <f t="shared" si="123"/>
        <v>0</v>
      </c>
      <c r="W487" s="1311"/>
      <c r="X487" s="1314">
        <f t="shared" si="124"/>
        <v>0</v>
      </c>
      <c r="Y487" s="1314">
        <f t="shared" si="125"/>
        <v>0</v>
      </c>
      <c r="Z487" s="1311"/>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1</v>
      </c>
      <c r="R488" s="703">
        <f t="shared" si="126"/>
        <v>0</v>
      </c>
      <c r="S488" s="334">
        <f t="shared" si="127"/>
        <v>0</v>
      </c>
      <c r="T488" s="1182">
        <f t="shared" si="128"/>
        <v>0</v>
      </c>
      <c r="U488" s="1314">
        <f t="shared" si="122"/>
        <v>0</v>
      </c>
      <c r="V488" s="1314">
        <f t="shared" si="123"/>
        <v>0</v>
      </c>
      <c r="W488" s="1311"/>
      <c r="X488" s="1314">
        <f t="shared" si="124"/>
        <v>0</v>
      </c>
      <c r="Y488" s="1314">
        <f t="shared" si="125"/>
        <v>0</v>
      </c>
      <c r="Z488" s="1311"/>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1</v>
      </c>
      <c r="R489" s="703">
        <f t="shared" si="126"/>
        <v>0</v>
      </c>
      <c r="S489" s="334">
        <f t="shared" si="127"/>
        <v>0</v>
      </c>
      <c r="T489" s="1182">
        <f t="shared" si="128"/>
        <v>0</v>
      </c>
      <c r="U489" s="1314">
        <f t="shared" si="122"/>
        <v>0</v>
      </c>
      <c r="V489" s="1314">
        <f t="shared" si="123"/>
        <v>0</v>
      </c>
      <c r="W489" s="1311"/>
      <c r="X489" s="1314">
        <f t="shared" si="124"/>
        <v>0</v>
      </c>
      <c r="Y489" s="1314">
        <f t="shared" si="125"/>
        <v>0</v>
      </c>
      <c r="Z489" s="1311"/>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1</v>
      </c>
      <c r="R490" s="703">
        <f t="shared" si="126"/>
        <v>0</v>
      </c>
      <c r="S490" s="334">
        <f t="shared" si="127"/>
        <v>0</v>
      </c>
      <c r="T490" s="1182">
        <f t="shared" si="128"/>
        <v>0</v>
      </c>
      <c r="U490" s="1314">
        <f t="shared" si="122"/>
        <v>0</v>
      </c>
      <c r="V490" s="1314">
        <f t="shared" si="123"/>
        <v>0</v>
      </c>
      <c r="W490" s="1311"/>
      <c r="X490" s="1314">
        <f t="shared" si="124"/>
        <v>0</v>
      </c>
      <c r="Y490" s="1314">
        <f t="shared" si="125"/>
        <v>0</v>
      </c>
      <c r="Z490" s="1311"/>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1</v>
      </c>
      <c r="R491" s="703">
        <f t="shared" si="126"/>
        <v>0</v>
      </c>
      <c r="S491" s="334">
        <f t="shared" si="127"/>
        <v>0</v>
      </c>
      <c r="T491" s="1182">
        <f t="shared" si="128"/>
        <v>0</v>
      </c>
      <c r="U491" s="1314">
        <f t="shared" si="122"/>
        <v>0</v>
      </c>
      <c r="V491" s="1314">
        <f t="shared" si="123"/>
        <v>0</v>
      </c>
      <c r="W491" s="1311"/>
      <c r="X491" s="1314">
        <f t="shared" si="124"/>
        <v>0</v>
      </c>
      <c r="Y491" s="1314">
        <f t="shared" si="125"/>
        <v>0</v>
      </c>
      <c r="Z491" s="1311"/>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1</v>
      </c>
      <c r="R492" s="703">
        <f t="shared" si="126"/>
        <v>0</v>
      </c>
      <c r="S492" s="334">
        <f t="shared" si="127"/>
        <v>0</v>
      </c>
      <c r="T492" s="1182">
        <f t="shared" si="128"/>
        <v>0</v>
      </c>
      <c r="U492" s="1314">
        <f t="shared" si="122"/>
        <v>0</v>
      </c>
      <c r="V492" s="1314">
        <f t="shared" si="123"/>
        <v>0</v>
      </c>
      <c r="W492" s="1311"/>
      <c r="X492" s="1314">
        <f t="shared" si="124"/>
        <v>0</v>
      </c>
      <c r="Y492" s="1314">
        <f t="shared" si="125"/>
        <v>0</v>
      </c>
      <c r="Z492" s="1311"/>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1</v>
      </c>
      <c r="R493" s="703">
        <f t="shared" si="126"/>
        <v>0</v>
      </c>
      <c r="S493" s="334">
        <f t="shared" si="127"/>
        <v>0</v>
      </c>
      <c r="T493" s="1182">
        <f t="shared" si="128"/>
        <v>0</v>
      </c>
      <c r="U493" s="1314">
        <f t="shared" si="122"/>
        <v>0</v>
      </c>
      <c r="V493" s="1314">
        <f t="shared" si="123"/>
        <v>0</v>
      </c>
      <c r="W493" s="1311"/>
      <c r="X493" s="1314">
        <f t="shared" si="124"/>
        <v>0</v>
      </c>
      <c r="Y493" s="1314">
        <f t="shared" si="125"/>
        <v>0</v>
      </c>
      <c r="Z493" s="1311"/>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1</v>
      </c>
      <c r="R494" s="703">
        <f t="shared" si="126"/>
        <v>0</v>
      </c>
      <c r="S494" s="334">
        <f t="shared" si="127"/>
        <v>0</v>
      </c>
      <c r="T494" s="1182">
        <f t="shared" si="128"/>
        <v>0</v>
      </c>
      <c r="U494" s="1314">
        <f t="shared" si="122"/>
        <v>0</v>
      </c>
      <c r="V494" s="1314">
        <f t="shared" si="123"/>
        <v>0</v>
      </c>
      <c r="W494" s="1311"/>
      <c r="X494" s="1314">
        <f t="shared" si="124"/>
        <v>0</v>
      </c>
      <c r="Y494" s="1314">
        <f t="shared" si="125"/>
        <v>0</v>
      </c>
      <c r="Z494" s="1311"/>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1</v>
      </c>
      <c r="R495" s="703">
        <f t="shared" si="126"/>
        <v>0</v>
      </c>
      <c r="S495" s="334">
        <f t="shared" si="127"/>
        <v>0</v>
      </c>
      <c r="T495" s="1182">
        <f t="shared" si="128"/>
        <v>0</v>
      </c>
      <c r="U495" s="1314">
        <f t="shared" si="122"/>
        <v>0</v>
      </c>
      <c r="V495" s="1314">
        <f t="shared" si="123"/>
        <v>0</v>
      </c>
      <c r="W495" s="1311"/>
      <c r="X495" s="1314">
        <f t="shared" si="124"/>
        <v>0</v>
      </c>
      <c r="Y495" s="1314">
        <f t="shared" si="125"/>
        <v>0</v>
      </c>
      <c r="Z495" s="1311"/>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1</v>
      </c>
      <c r="R496" s="703">
        <f t="shared" si="126"/>
        <v>0</v>
      </c>
      <c r="S496" s="334">
        <f t="shared" si="127"/>
        <v>0</v>
      </c>
      <c r="T496" s="1182">
        <f t="shared" si="128"/>
        <v>0</v>
      </c>
      <c r="U496" s="1314">
        <f t="shared" si="122"/>
        <v>0</v>
      </c>
      <c r="V496" s="1314">
        <f t="shared" si="123"/>
        <v>0</v>
      </c>
      <c r="W496" s="1311"/>
      <c r="X496" s="1314">
        <f t="shared" si="124"/>
        <v>0</v>
      </c>
      <c r="Y496" s="1314">
        <f t="shared" si="125"/>
        <v>0</v>
      </c>
      <c r="Z496" s="1311"/>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1</v>
      </c>
      <c r="R497" s="703">
        <f t="shared" si="126"/>
        <v>0</v>
      </c>
      <c r="S497" s="334">
        <f t="shared" si="127"/>
        <v>0</v>
      </c>
      <c r="T497" s="1182">
        <f t="shared" si="128"/>
        <v>0</v>
      </c>
      <c r="U497" s="1314">
        <f t="shared" si="122"/>
        <v>0</v>
      </c>
      <c r="V497" s="1314">
        <f t="shared" si="123"/>
        <v>0</v>
      </c>
      <c r="W497" s="1311"/>
      <c r="X497" s="1314">
        <f t="shared" si="124"/>
        <v>0</v>
      </c>
      <c r="Y497" s="1314">
        <f t="shared" si="125"/>
        <v>0</v>
      </c>
      <c r="Z497" s="1311"/>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1</v>
      </c>
      <c r="R498" s="703">
        <f t="shared" si="126"/>
        <v>0</v>
      </c>
      <c r="S498" s="334">
        <f t="shared" si="127"/>
        <v>0</v>
      </c>
      <c r="T498" s="1182">
        <f t="shared" si="128"/>
        <v>0</v>
      </c>
      <c r="U498" s="1314">
        <f t="shared" si="122"/>
        <v>0</v>
      </c>
      <c r="V498" s="1314">
        <f t="shared" si="123"/>
        <v>0</v>
      </c>
      <c r="W498" s="1311"/>
      <c r="X498" s="1314">
        <f t="shared" si="124"/>
        <v>0</v>
      </c>
      <c r="Y498" s="1314">
        <f t="shared" si="125"/>
        <v>0</v>
      </c>
      <c r="Z498" s="1311"/>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1</v>
      </c>
      <c r="R499" s="703">
        <f t="shared" si="126"/>
        <v>0</v>
      </c>
      <c r="S499" s="334">
        <f t="shared" si="127"/>
        <v>0</v>
      </c>
      <c r="T499" s="1182">
        <f t="shared" si="128"/>
        <v>0</v>
      </c>
      <c r="U499" s="1314">
        <f t="shared" si="122"/>
        <v>0</v>
      </c>
      <c r="V499" s="1314">
        <f t="shared" si="123"/>
        <v>0</v>
      </c>
      <c r="W499" s="1311"/>
      <c r="X499" s="1314">
        <f t="shared" si="124"/>
        <v>0</v>
      </c>
      <c r="Y499" s="1314">
        <f t="shared" si="125"/>
        <v>0</v>
      </c>
      <c r="Z499" s="1311"/>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1</v>
      </c>
      <c r="R500" s="703">
        <f t="shared" si="126"/>
        <v>0</v>
      </c>
      <c r="S500" s="334">
        <f t="shared" si="127"/>
        <v>0</v>
      </c>
      <c r="T500" s="1182">
        <f t="shared" si="128"/>
        <v>0</v>
      </c>
      <c r="U500" s="1314">
        <f t="shared" si="122"/>
        <v>0</v>
      </c>
      <c r="V500" s="1314">
        <f t="shared" si="123"/>
        <v>0</v>
      </c>
      <c r="W500" s="1311"/>
      <c r="X500" s="1314">
        <f t="shared" si="124"/>
        <v>0</v>
      </c>
      <c r="Y500" s="1314">
        <f t="shared" si="125"/>
        <v>0</v>
      </c>
      <c r="Z500" s="1311"/>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1</v>
      </c>
      <c r="R501" s="703">
        <f t="shared" si="126"/>
        <v>0</v>
      </c>
      <c r="S501" s="334">
        <f t="shared" si="127"/>
        <v>0</v>
      </c>
      <c r="T501" s="1182">
        <f t="shared" si="128"/>
        <v>0</v>
      </c>
      <c r="U501" s="1314">
        <f t="shared" si="122"/>
        <v>0</v>
      </c>
      <c r="V501" s="1314">
        <f t="shared" si="123"/>
        <v>0</v>
      </c>
      <c r="W501" s="1311"/>
      <c r="X501" s="1314">
        <f t="shared" si="124"/>
        <v>0</v>
      </c>
      <c r="Y501" s="1314">
        <f t="shared" si="125"/>
        <v>0</v>
      </c>
      <c r="Z501" s="1311"/>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1</v>
      </c>
      <c r="R502" s="703">
        <f t="shared" si="126"/>
        <v>0</v>
      </c>
      <c r="S502" s="334">
        <f t="shared" si="127"/>
        <v>0</v>
      </c>
      <c r="T502" s="1182">
        <f t="shared" si="128"/>
        <v>0</v>
      </c>
      <c r="U502" s="1314">
        <f t="shared" si="122"/>
        <v>0</v>
      </c>
      <c r="V502" s="1314">
        <f t="shared" si="123"/>
        <v>0</v>
      </c>
      <c r="W502" s="1311"/>
      <c r="X502" s="1314">
        <f t="shared" si="124"/>
        <v>0</v>
      </c>
      <c r="Y502" s="1314">
        <f t="shared" si="125"/>
        <v>0</v>
      </c>
      <c r="Z502" s="1311"/>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1</v>
      </c>
      <c r="R503" s="703">
        <f t="shared" si="126"/>
        <v>0</v>
      </c>
      <c r="S503" s="334">
        <f t="shared" si="127"/>
        <v>0</v>
      </c>
      <c r="T503" s="1182">
        <f t="shared" si="128"/>
        <v>0</v>
      </c>
      <c r="U503" s="1314">
        <f t="shared" si="122"/>
        <v>0</v>
      </c>
      <c r="V503" s="1314">
        <f t="shared" si="123"/>
        <v>0</v>
      </c>
      <c r="W503" s="1311"/>
      <c r="X503" s="1314">
        <f t="shared" si="124"/>
        <v>0</v>
      </c>
      <c r="Y503" s="1314">
        <f t="shared" si="125"/>
        <v>0</v>
      </c>
      <c r="Z503" s="1311"/>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1</v>
      </c>
      <c r="R504" s="703">
        <f t="shared" si="126"/>
        <v>0</v>
      </c>
      <c r="S504" s="334">
        <f t="shared" si="127"/>
        <v>0</v>
      </c>
      <c r="T504" s="1182">
        <f t="shared" si="128"/>
        <v>0</v>
      </c>
      <c r="U504" s="1314">
        <f t="shared" si="122"/>
        <v>0</v>
      </c>
      <c r="V504" s="1314">
        <f t="shared" si="123"/>
        <v>0</v>
      </c>
      <c r="W504" s="1311"/>
      <c r="X504" s="1314">
        <f t="shared" si="124"/>
        <v>0</v>
      </c>
      <c r="Y504" s="1314">
        <f t="shared" si="125"/>
        <v>0</v>
      </c>
      <c r="Z504" s="1311"/>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1</v>
      </c>
      <c r="R505" s="703">
        <f t="shared" si="126"/>
        <v>0</v>
      </c>
      <c r="S505" s="334">
        <f t="shared" si="127"/>
        <v>0</v>
      </c>
      <c r="T505" s="1182">
        <f t="shared" si="128"/>
        <v>0</v>
      </c>
      <c r="U505" s="1314">
        <f t="shared" si="122"/>
        <v>0</v>
      </c>
      <c r="V505" s="1314">
        <f t="shared" si="123"/>
        <v>0</v>
      </c>
      <c r="W505" s="1311"/>
      <c r="X505" s="1314">
        <f t="shared" si="124"/>
        <v>0</v>
      </c>
      <c r="Y505" s="1314">
        <f t="shared" si="125"/>
        <v>0</v>
      </c>
      <c r="Z505" s="1311"/>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1</v>
      </c>
      <c r="R506" s="703">
        <f t="shared" si="126"/>
        <v>0</v>
      </c>
      <c r="S506" s="334">
        <f t="shared" si="127"/>
        <v>0</v>
      </c>
      <c r="T506" s="1182">
        <f t="shared" si="128"/>
        <v>0</v>
      </c>
      <c r="U506" s="1314">
        <f t="shared" si="122"/>
        <v>0</v>
      </c>
      <c r="V506" s="1314">
        <f t="shared" si="123"/>
        <v>0</v>
      </c>
      <c r="W506" s="1311"/>
      <c r="X506" s="1314">
        <f t="shared" si="124"/>
        <v>0</v>
      </c>
      <c r="Y506" s="1314">
        <f t="shared" si="125"/>
        <v>0</v>
      </c>
      <c r="Z506" s="1311"/>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1</v>
      </c>
      <c r="R507" s="703">
        <f t="shared" si="126"/>
        <v>0</v>
      </c>
      <c r="S507" s="334">
        <f t="shared" si="127"/>
        <v>0</v>
      </c>
      <c r="T507" s="1182">
        <f t="shared" si="128"/>
        <v>0</v>
      </c>
      <c r="U507" s="1314">
        <f t="shared" si="122"/>
        <v>0</v>
      </c>
      <c r="V507" s="1314">
        <f t="shared" si="123"/>
        <v>0</v>
      </c>
      <c r="W507" s="1311"/>
      <c r="X507" s="1314">
        <f t="shared" si="124"/>
        <v>0</v>
      </c>
      <c r="Y507" s="1314">
        <f t="shared" si="125"/>
        <v>0</v>
      </c>
      <c r="Z507" s="1311"/>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1</v>
      </c>
      <c r="R508" s="703">
        <f t="shared" si="126"/>
        <v>0</v>
      </c>
      <c r="S508" s="334">
        <f t="shared" si="127"/>
        <v>0</v>
      </c>
      <c r="T508" s="1182">
        <f t="shared" si="128"/>
        <v>0</v>
      </c>
      <c r="U508" s="1314">
        <f t="shared" si="122"/>
        <v>0</v>
      </c>
      <c r="V508" s="1314">
        <f t="shared" si="123"/>
        <v>0</v>
      </c>
      <c r="W508" s="1311"/>
      <c r="X508" s="1314">
        <f t="shared" si="124"/>
        <v>0</v>
      </c>
      <c r="Y508" s="1314">
        <f t="shared" si="125"/>
        <v>0</v>
      </c>
      <c r="Z508" s="1311"/>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1</v>
      </c>
      <c r="R509" s="703">
        <f t="shared" si="126"/>
        <v>0</v>
      </c>
      <c r="S509" s="334">
        <f t="shared" si="127"/>
        <v>0</v>
      </c>
      <c r="T509" s="1182">
        <f t="shared" si="128"/>
        <v>0</v>
      </c>
      <c r="U509" s="1314">
        <f t="shared" si="122"/>
        <v>0</v>
      </c>
      <c r="V509" s="1314">
        <f t="shared" si="123"/>
        <v>0</v>
      </c>
      <c r="W509" s="1311"/>
      <c r="X509" s="1314">
        <f t="shared" si="124"/>
        <v>0</v>
      </c>
      <c r="Y509" s="1314">
        <f t="shared" si="125"/>
        <v>0</v>
      </c>
      <c r="Z509" s="1311"/>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1</v>
      </c>
      <c r="R510" s="703">
        <f t="shared" si="126"/>
        <v>0</v>
      </c>
      <c r="S510" s="334">
        <f t="shared" si="127"/>
        <v>0</v>
      </c>
      <c r="T510" s="1182">
        <f t="shared" si="128"/>
        <v>0</v>
      </c>
      <c r="U510" s="1314">
        <f t="shared" si="122"/>
        <v>0</v>
      </c>
      <c r="V510" s="1314">
        <f t="shared" si="123"/>
        <v>0</v>
      </c>
      <c r="W510" s="1311"/>
      <c r="X510" s="1314">
        <f t="shared" si="124"/>
        <v>0</v>
      </c>
      <c r="Y510" s="1314">
        <f t="shared" si="125"/>
        <v>0</v>
      </c>
      <c r="Z510" s="1311"/>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1</v>
      </c>
      <c r="R511" s="703">
        <f t="shared" si="126"/>
        <v>0</v>
      </c>
      <c r="S511" s="334">
        <f t="shared" si="127"/>
        <v>0</v>
      </c>
      <c r="T511" s="1182">
        <f t="shared" si="128"/>
        <v>0</v>
      </c>
      <c r="U511" s="1314">
        <f t="shared" si="122"/>
        <v>0</v>
      </c>
      <c r="V511" s="1314">
        <f t="shared" si="123"/>
        <v>0</v>
      </c>
      <c r="W511" s="1311"/>
      <c r="X511" s="1314">
        <f t="shared" si="124"/>
        <v>0</v>
      </c>
      <c r="Y511" s="1314">
        <f t="shared" si="125"/>
        <v>0</v>
      </c>
      <c r="Z511" s="1311"/>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1</v>
      </c>
      <c r="R512" s="703">
        <f t="shared" si="126"/>
        <v>0</v>
      </c>
      <c r="S512" s="334">
        <f t="shared" si="127"/>
        <v>0</v>
      </c>
      <c r="T512" s="1182">
        <f t="shared" si="128"/>
        <v>0</v>
      </c>
      <c r="U512" s="1314">
        <f t="shared" si="122"/>
        <v>0</v>
      </c>
      <c r="V512" s="1314">
        <f t="shared" si="123"/>
        <v>0</v>
      </c>
      <c r="W512" s="1311"/>
      <c r="X512" s="1314">
        <f t="shared" si="124"/>
        <v>0</v>
      </c>
      <c r="Y512" s="1314">
        <f t="shared" si="125"/>
        <v>0</v>
      </c>
      <c r="Z512" s="1311"/>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1</v>
      </c>
      <c r="R513" s="703">
        <f t="shared" si="126"/>
        <v>0</v>
      </c>
      <c r="S513" s="334">
        <f t="shared" si="127"/>
        <v>0</v>
      </c>
      <c r="T513" s="1182">
        <f t="shared" si="128"/>
        <v>0</v>
      </c>
      <c r="U513" s="1314">
        <f t="shared" si="122"/>
        <v>0</v>
      </c>
      <c r="V513" s="1314">
        <f t="shared" si="123"/>
        <v>0</v>
      </c>
      <c r="W513" s="1311"/>
      <c r="X513" s="1314">
        <f t="shared" si="124"/>
        <v>0</v>
      </c>
      <c r="Y513" s="1314">
        <f t="shared" si="125"/>
        <v>0</v>
      </c>
      <c r="Z513" s="1311"/>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1</v>
      </c>
      <c r="R514" s="703">
        <f t="shared" si="126"/>
        <v>0</v>
      </c>
      <c r="S514" s="334">
        <f t="shared" si="127"/>
        <v>0</v>
      </c>
      <c r="T514" s="1182">
        <f t="shared" si="128"/>
        <v>0</v>
      </c>
      <c r="U514" s="1314">
        <f t="shared" si="122"/>
        <v>0</v>
      </c>
      <c r="V514" s="1314">
        <f t="shared" si="123"/>
        <v>0</v>
      </c>
      <c r="W514" s="1311"/>
      <c r="X514" s="1314">
        <f t="shared" si="124"/>
        <v>0</v>
      </c>
      <c r="Y514" s="1314">
        <f t="shared" si="125"/>
        <v>0</v>
      </c>
      <c r="Z514" s="1311"/>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1</v>
      </c>
      <c r="R515" s="703">
        <f t="shared" si="126"/>
        <v>0</v>
      </c>
      <c r="S515" s="334">
        <f t="shared" si="127"/>
        <v>0</v>
      </c>
      <c r="T515" s="1182">
        <f t="shared" si="128"/>
        <v>0</v>
      </c>
      <c r="U515" s="1314">
        <f t="shared" si="122"/>
        <v>0</v>
      </c>
      <c r="V515" s="1314">
        <f t="shared" si="123"/>
        <v>0</v>
      </c>
      <c r="W515" s="1311"/>
      <c r="X515" s="1314">
        <f t="shared" si="124"/>
        <v>0</v>
      </c>
      <c r="Y515" s="1314">
        <f t="shared" si="125"/>
        <v>0</v>
      </c>
      <c r="Z515" s="1311"/>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1</v>
      </c>
      <c r="R516" s="703">
        <f t="shared" si="126"/>
        <v>0</v>
      </c>
      <c r="S516" s="334">
        <f t="shared" si="127"/>
        <v>0</v>
      </c>
      <c r="T516" s="1182">
        <f t="shared" si="128"/>
        <v>0</v>
      </c>
      <c r="U516" s="1314">
        <f t="shared" si="122"/>
        <v>0</v>
      </c>
      <c r="V516" s="1314">
        <f t="shared" si="123"/>
        <v>0</v>
      </c>
      <c r="W516" s="1311"/>
      <c r="X516" s="1314">
        <f t="shared" si="124"/>
        <v>0</v>
      </c>
      <c r="Y516" s="1314">
        <f t="shared" si="125"/>
        <v>0</v>
      </c>
      <c r="Z516" s="1311"/>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1</v>
      </c>
      <c r="R517" s="703">
        <f t="shared" si="126"/>
        <v>0</v>
      </c>
      <c r="S517" s="334">
        <f t="shared" si="127"/>
        <v>0</v>
      </c>
      <c r="T517" s="1182">
        <f t="shared" si="128"/>
        <v>0</v>
      </c>
      <c r="U517" s="1314">
        <f t="shared" si="122"/>
        <v>0</v>
      </c>
      <c r="V517" s="1314">
        <f t="shared" si="123"/>
        <v>0</v>
      </c>
      <c r="W517" s="1311"/>
      <c r="X517" s="1314">
        <f t="shared" si="124"/>
        <v>0</v>
      </c>
      <c r="Y517" s="1314">
        <f t="shared" si="125"/>
        <v>0</v>
      </c>
      <c r="Z517" s="1311"/>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1</v>
      </c>
      <c r="R518" s="703">
        <f t="shared" si="126"/>
        <v>0</v>
      </c>
      <c r="S518" s="334">
        <f t="shared" si="127"/>
        <v>0</v>
      </c>
      <c r="T518" s="1182">
        <f t="shared" si="128"/>
        <v>0</v>
      </c>
      <c r="U518" s="1314">
        <f t="shared" si="122"/>
        <v>0</v>
      </c>
      <c r="V518" s="1314">
        <f t="shared" si="123"/>
        <v>0</v>
      </c>
      <c r="W518" s="1311"/>
      <c r="X518" s="1314">
        <f t="shared" si="124"/>
        <v>0</v>
      </c>
      <c r="Y518" s="1314">
        <f t="shared" si="125"/>
        <v>0</v>
      </c>
      <c r="Z518" s="1311"/>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1</v>
      </c>
      <c r="R519" s="703">
        <f t="shared" si="126"/>
        <v>0</v>
      </c>
      <c r="S519" s="334">
        <f t="shared" si="127"/>
        <v>0</v>
      </c>
      <c r="T519" s="1182">
        <f t="shared" si="128"/>
        <v>0</v>
      </c>
      <c r="U519" s="1314">
        <f t="shared" si="122"/>
        <v>0</v>
      </c>
      <c r="V519" s="1314">
        <f t="shared" si="123"/>
        <v>0</v>
      </c>
      <c r="W519" s="1311"/>
      <c r="X519" s="1314">
        <f t="shared" si="124"/>
        <v>0</v>
      </c>
      <c r="Y519" s="1314">
        <f t="shared" si="125"/>
        <v>0</v>
      </c>
      <c r="Z519" s="1311"/>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1</v>
      </c>
      <c r="R520" s="703">
        <f t="shared" si="126"/>
        <v>0</v>
      </c>
      <c r="S520" s="334">
        <f t="shared" si="127"/>
        <v>0</v>
      </c>
      <c r="T520" s="1182">
        <f t="shared" si="128"/>
        <v>0</v>
      </c>
      <c r="U520" s="1314">
        <f t="shared" si="122"/>
        <v>0</v>
      </c>
      <c r="V520" s="1314">
        <f t="shared" si="123"/>
        <v>0</v>
      </c>
      <c r="W520" s="1311"/>
      <c r="X520" s="1314">
        <f t="shared" si="124"/>
        <v>0</v>
      </c>
      <c r="Y520" s="1314">
        <f t="shared" si="125"/>
        <v>0</v>
      </c>
      <c r="Z520" s="1311"/>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1</v>
      </c>
      <c r="R521" s="703">
        <f t="shared" si="126"/>
        <v>0</v>
      </c>
      <c r="S521" s="334">
        <f t="shared" si="127"/>
        <v>0</v>
      </c>
      <c r="T521" s="1182">
        <f t="shared" si="128"/>
        <v>0</v>
      </c>
      <c r="U521" s="1314">
        <f t="shared" si="122"/>
        <v>0</v>
      </c>
      <c r="V521" s="1314">
        <f t="shared" si="123"/>
        <v>0</v>
      </c>
      <c r="W521" s="1311"/>
      <c r="X521" s="1314">
        <f t="shared" si="124"/>
        <v>0</v>
      </c>
      <c r="Y521" s="1314">
        <f t="shared" si="125"/>
        <v>0</v>
      </c>
      <c r="Z521" s="1311"/>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1</v>
      </c>
      <c r="R522" s="703">
        <f t="shared" si="126"/>
        <v>0</v>
      </c>
      <c r="S522" s="334">
        <f t="shared" si="127"/>
        <v>0</v>
      </c>
      <c r="T522" s="1182">
        <f t="shared" si="128"/>
        <v>0</v>
      </c>
      <c r="U522" s="1314">
        <f t="shared" si="122"/>
        <v>0</v>
      </c>
      <c r="V522" s="1314">
        <f t="shared" si="123"/>
        <v>0</v>
      </c>
      <c r="W522" s="1311"/>
      <c r="X522" s="1314">
        <f t="shared" si="124"/>
        <v>0</v>
      </c>
      <c r="Y522" s="1314">
        <f t="shared" si="125"/>
        <v>0</v>
      </c>
      <c r="Z522" s="1311"/>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1</v>
      </c>
      <c r="R523" s="703">
        <f t="shared" si="126"/>
        <v>0</v>
      </c>
      <c r="S523" s="334">
        <f t="shared" si="127"/>
        <v>0</v>
      </c>
      <c r="T523" s="1182">
        <f t="shared" si="128"/>
        <v>0</v>
      </c>
      <c r="U523" s="1314">
        <f t="shared" si="122"/>
        <v>0</v>
      </c>
      <c r="V523" s="1314">
        <f t="shared" si="123"/>
        <v>0</v>
      </c>
      <c r="W523" s="1311"/>
      <c r="X523" s="1314">
        <f t="shared" si="124"/>
        <v>0</v>
      </c>
      <c r="Y523" s="1314">
        <f t="shared" si="125"/>
        <v>0</v>
      </c>
      <c r="Z523" s="1311"/>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1</v>
      </c>
      <c r="R524" s="703">
        <f t="shared" si="126"/>
        <v>0</v>
      </c>
      <c r="S524" s="334">
        <f t="shared" si="127"/>
        <v>0</v>
      </c>
      <c r="T524" s="1182">
        <f t="shared" si="128"/>
        <v>0</v>
      </c>
      <c r="U524" s="1314">
        <f t="shared" si="122"/>
        <v>0</v>
      </c>
      <c r="V524" s="1314">
        <f t="shared" si="123"/>
        <v>0</v>
      </c>
      <c r="W524" s="1311"/>
      <c r="X524" s="1314">
        <f t="shared" si="124"/>
        <v>0</v>
      </c>
      <c r="Y524" s="1314">
        <f t="shared" si="125"/>
        <v>0</v>
      </c>
      <c r="Z524" s="1311"/>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1</v>
      </c>
      <c r="R525" s="703">
        <f t="shared" si="126"/>
        <v>0</v>
      </c>
      <c r="S525" s="334">
        <f t="shared" si="127"/>
        <v>0</v>
      </c>
      <c r="T525" s="1182">
        <f t="shared" si="128"/>
        <v>0</v>
      </c>
      <c r="U525" s="1314">
        <f t="shared" si="122"/>
        <v>0</v>
      </c>
      <c r="V525" s="1314">
        <f t="shared" si="123"/>
        <v>0</v>
      </c>
      <c r="W525" s="1311"/>
      <c r="X525" s="1314">
        <f t="shared" si="124"/>
        <v>0</v>
      </c>
      <c r="Y525" s="1314">
        <f t="shared" si="125"/>
        <v>0</v>
      </c>
      <c r="Z525" s="1311"/>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1</v>
      </c>
      <c r="R526" s="703">
        <f t="shared" si="126"/>
        <v>0</v>
      </c>
      <c r="S526" s="334">
        <f t="shared" si="127"/>
        <v>0</v>
      </c>
      <c r="T526" s="1182">
        <f t="shared" si="128"/>
        <v>0</v>
      </c>
      <c r="U526" s="1314">
        <f t="shared" si="122"/>
        <v>0</v>
      </c>
      <c r="V526" s="1314">
        <f t="shared" si="123"/>
        <v>0</v>
      </c>
      <c r="W526" s="1311"/>
      <c r="X526" s="1314">
        <f t="shared" si="124"/>
        <v>0</v>
      </c>
      <c r="Y526" s="1314">
        <f t="shared" si="125"/>
        <v>0</v>
      </c>
      <c r="Z526" s="1311"/>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1</v>
      </c>
      <c r="R527" s="703">
        <f t="shared" si="126"/>
        <v>0</v>
      </c>
      <c r="S527" s="334">
        <f t="shared" si="127"/>
        <v>0</v>
      </c>
      <c r="T527" s="1182">
        <f t="shared" si="128"/>
        <v>0</v>
      </c>
      <c r="U527" s="1314">
        <f t="shared" si="122"/>
        <v>0</v>
      </c>
      <c r="V527" s="1314">
        <f t="shared" si="123"/>
        <v>0</v>
      </c>
      <c r="W527" s="1311"/>
      <c r="X527" s="1314">
        <f t="shared" si="124"/>
        <v>0</v>
      </c>
      <c r="Y527" s="1314">
        <f t="shared" si="125"/>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41" zoomScale="90" zoomScaleNormal="90" workbookViewId="0">
      <selection activeCell="D59" sqref="D5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2855</v>
      </c>
      <c r="D1" s="2382"/>
      <c r="E1" s="2383" t="s">
        <v>2856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7081954</v>
      </c>
      <c r="C2" s="163" t="str">
        <f>'数据-取费表'!B3</f>
        <v>元</v>
      </c>
      <c r="D2" s="2385" t="s">
        <v>1253</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f>ROUND(IF(D2="——",C49,IF(C2="万元",B2*10000/D3,B2/D3)),0)</f>
        <v>106962</v>
      </c>
      <c r="C3" s="379" t="s">
        <v>2340</v>
      </c>
      <c r="D3" s="378">
        <f>IF(C1="仅计算典型户型",'数据-取费表'!E5,'数据-取费表'!B5)</f>
        <v>66.209999999999994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5" t="s">
        <v>2342</v>
      </c>
      <c r="D4" s="3046"/>
      <c r="E4" s="3047" t="s">
        <v>2343</v>
      </c>
      <c r="F4" s="3048"/>
      <c r="G4" s="3045" t="s">
        <v>2344</v>
      </c>
      <c r="H4" s="3046"/>
      <c r="I4" s="3045" t="s">
        <v>2345</v>
      </c>
      <c r="J4" s="3046"/>
      <c r="K4" s="2396" t="s">
        <v>2346</v>
      </c>
      <c r="L4" s="1243"/>
      <c r="M4" s="1244"/>
      <c r="N4" s="1244"/>
      <c r="O4" s="1244"/>
      <c r="P4" s="3049" t="s">
        <v>2347</v>
      </c>
      <c r="Q4" s="3050"/>
      <c r="R4" s="3055" t="s">
        <v>2343</v>
      </c>
      <c r="S4" s="3056"/>
      <c r="T4" s="3055" t="s">
        <v>2344</v>
      </c>
      <c r="U4" s="3056"/>
      <c r="V4" s="3061" t="s">
        <v>2345</v>
      </c>
      <c r="W4" s="3061"/>
      <c r="X4" s="1900"/>
      <c r="Y4" s="3055" t="s">
        <v>2347</v>
      </c>
      <c r="Z4" s="3056"/>
      <c r="AA4" s="3042" t="s">
        <v>2343</v>
      </c>
      <c r="AB4" s="3042" t="s">
        <v>2344</v>
      </c>
      <c r="AC4" s="3042" t="s">
        <v>2345</v>
      </c>
    </row>
    <row r="5" spans="1:29" ht="15">
      <c r="A5" s="383"/>
      <c r="B5" s="384"/>
      <c r="C5" s="3064" t="s">
        <v>2859</v>
      </c>
      <c r="D5" s="3065"/>
      <c r="E5" s="3062" t="s">
        <v>2860</v>
      </c>
      <c r="F5" s="3063"/>
      <c r="G5" s="3062" t="s">
        <v>2860</v>
      </c>
      <c r="H5" s="3063"/>
      <c r="I5" s="3062" t="s">
        <v>2860</v>
      </c>
      <c r="J5" s="3063"/>
      <c r="K5" s="2397"/>
      <c r="L5" s="1243"/>
      <c r="M5" s="1244"/>
      <c r="N5" s="1244"/>
      <c r="O5" s="1244"/>
      <c r="P5" s="3051"/>
      <c r="Q5" s="3052"/>
      <c r="R5" s="3057"/>
      <c r="S5" s="3058"/>
      <c r="T5" s="3057"/>
      <c r="U5" s="3058"/>
      <c r="V5" s="3061"/>
      <c r="W5" s="3061"/>
      <c r="X5" s="1900"/>
      <c r="Y5" s="3057"/>
      <c r="Z5" s="3058"/>
      <c r="AA5" s="3043"/>
      <c r="AB5" s="3043"/>
      <c r="AC5" s="3043"/>
    </row>
    <row r="6" spans="1:29" ht="15.75" thickBot="1">
      <c r="A6" s="385"/>
      <c r="B6" s="386"/>
      <c r="C6" s="3066" t="s">
        <v>2352</v>
      </c>
      <c r="D6" s="3067"/>
      <c r="E6" s="3068" t="s">
        <v>2352</v>
      </c>
      <c r="F6" s="3069"/>
      <c r="G6" s="3066" t="s">
        <v>2352</v>
      </c>
      <c r="H6" s="3067"/>
      <c r="I6" s="3066" t="s">
        <v>2352</v>
      </c>
      <c r="J6" s="3067"/>
      <c r="K6" s="2397" t="s">
        <v>2353</v>
      </c>
      <c r="L6" s="1243"/>
      <c r="M6" s="1244"/>
      <c r="N6" s="1244"/>
      <c r="O6" s="1244"/>
      <c r="P6" s="3053"/>
      <c r="Q6" s="3054"/>
      <c r="R6" s="3057"/>
      <c r="S6" s="3058"/>
      <c r="T6" s="3059"/>
      <c r="U6" s="3060"/>
      <c r="V6" s="3061"/>
      <c r="W6" s="3061"/>
      <c r="X6" s="1900"/>
      <c r="Y6" s="3059"/>
      <c r="Z6" s="3060"/>
      <c r="AA6" s="3044"/>
      <c r="AB6" s="3044"/>
      <c r="AC6" s="3044"/>
    </row>
    <row r="7" spans="1:29" s="35" customFormat="1" ht="15.75" thickBot="1">
      <c r="A7" s="387" t="s">
        <v>2354</v>
      </c>
      <c r="B7" s="388"/>
      <c r="C7" s="389">
        <f>'数据-取费表'!B2</f>
        <v>43339</v>
      </c>
      <c r="D7" s="390">
        <v>100</v>
      </c>
      <c r="E7" s="391">
        <v>43312</v>
      </c>
      <c r="F7" s="392">
        <f>SUMIF(58:58,YEAR(E7)&amp;"-"&amp;MONTH(E7),59:59)</f>
        <v>99.5</v>
      </c>
      <c r="G7" s="391">
        <v>43188</v>
      </c>
      <c r="H7" s="390">
        <f>SUMIF(58:58,YEAR(G7)&amp;"-"&amp;MONTH(G7),59:59)</f>
        <v>97.5</v>
      </c>
      <c r="I7" s="391">
        <v>43250</v>
      </c>
      <c r="J7" s="390">
        <f>SUMIF(58:58,YEAR(I7)&amp;"-"&amp;MONTH(I7),59:59)</f>
        <v>98.5</v>
      </c>
      <c r="K7" s="2398"/>
      <c r="L7" s="1245"/>
      <c r="M7" s="1246"/>
      <c r="N7" s="1246"/>
      <c r="O7" s="1246"/>
      <c r="P7" s="3077" t="s">
        <v>2355</v>
      </c>
      <c r="Q7" s="3079"/>
      <c r="R7" s="749" t="s">
        <v>34</v>
      </c>
      <c r="S7" s="750">
        <f t="shared" ref="S7:S15" si="0">F7</f>
        <v>99.5</v>
      </c>
      <c r="T7" s="749" t="s">
        <v>34</v>
      </c>
      <c r="U7" s="750">
        <f t="shared" ref="U7:U15" si="1">H7</f>
        <v>97.5</v>
      </c>
      <c r="V7" s="749" t="s">
        <v>34</v>
      </c>
      <c r="W7" s="750">
        <f t="shared" ref="W7:W15" si="2">J7</f>
        <v>98.5</v>
      </c>
      <c r="X7" s="751"/>
      <c r="Y7" s="3077" t="s">
        <v>2355</v>
      </c>
      <c r="Z7" s="3078"/>
      <c r="AA7" s="752">
        <f>D7/F7</f>
        <v>1.0050251256281406</v>
      </c>
      <c r="AB7" s="752">
        <f>D7/H7</f>
        <v>1.0256410256410255</v>
      </c>
      <c r="AC7" s="752">
        <f>D7/J7</f>
        <v>1.015228426395939</v>
      </c>
    </row>
    <row r="8" spans="1:29" s="35" customFormat="1" ht="15.75" thickBot="1">
      <c r="A8" s="387" t="s">
        <v>2356</v>
      </c>
      <c r="B8" s="388"/>
      <c r="C8" s="394" t="s">
        <v>2357</v>
      </c>
      <c r="D8" s="390">
        <v>100</v>
      </c>
      <c r="E8" s="2765" t="s">
        <v>2888</v>
      </c>
      <c r="F8" s="392">
        <f>SUMIF(61:61,E8,62:62)-SUMIF(61:61,C8,62:62)+100</f>
        <v>100</v>
      </c>
      <c r="G8" s="2765" t="s">
        <v>2888</v>
      </c>
      <c r="H8" s="390">
        <f>SUMIF(61:61,G8,62:62)-SUMIF(61:61,C8,62:62)+100</f>
        <v>100</v>
      </c>
      <c r="I8" s="2765" t="s">
        <v>2888</v>
      </c>
      <c r="J8" s="390">
        <f>SUMIF(61:61,I8,62:62)-SUMIF(61:61,C8,62:62)+100</f>
        <v>100</v>
      </c>
      <c r="K8" s="2398"/>
      <c r="L8" s="1245"/>
      <c r="M8" s="1246"/>
      <c r="N8" s="1246"/>
      <c r="O8" s="1246"/>
      <c r="P8" s="3077" t="s">
        <v>2358</v>
      </c>
      <c r="Q8" s="3078"/>
      <c r="R8" s="749" t="s">
        <v>34</v>
      </c>
      <c r="S8" s="750">
        <f t="shared" si="0"/>
        <v>100</v>
      </c>
      <c r="T8" s="749" t="s">
        <v>34</v>
      </c>
      <c r="U8" s="750">
        <f t="shared" si="1"/>
        <v>100</v>
      </c>
      <c r="V8" s="749" t="s">
        <v>34</v>
      </c>
      <c r="W8" s="750">
        <f t="shared" si="2"/>
        <v>100</v>
      </c>
      <c r="X8" s="751"/>
      <c r="Y8" s="3077" t="s">
        <v>2358</v>
      </c>
      <c r="Z8" s="3078"/>
      <c r="AA8" s="752">
        <f t="shared" ref="AA8:AA46" si="3">D8/F8</f>
        <v>1</v>
      </c>
      <c r="AB8" s="752">
        <f t="shared" ref="AB8:AB46" si="4">D8/H8</f>
        <v>1</v>
      </c>
      <c r="AC8" s="752">
        <f t="shared" ref="AC8:AC46" si="5">D8/J8</f>
        <v>1</v>
      </c>
    </row>
    <row r="9" spans="1:29" s="35" customFormat="1">
      <c r="A9" s="395" t="s">
        <v>2359</v>
      </c>
      <c r="B9" s="28" t="s">
        <v>2360</v>
      </c>
      <c r="C9" s="2767" t="s">
        <v>2893</v>
      </c>
      <c r="D9" s="51">
        <v>100</v>
      </c>
      <c r="E9" s="2768" t="s">
        <v>2893</v>
      </c>
      <c r="F9" s="398">
        <f>SUMIF(63:63,E9,64:64)-SUMIF(63:63,C9,64:64)+100</f>
        <v>100</v>
      </c>
      <c r="G9" s="2768" t="s">
        <v>2893</v>
      </c>
      <c r="H9" s="51">
        <f>SUMIF(63:63,G9,64:64)-SUMIF(63:63,C9,64:64)+100</f>
        <v>100</v>
      </c>
      <c r="I9" s="2768" t="s">
        <v>2893</v>
      </c>
      <c r="J9" s="51">
        <f>SUMIF(63:63,I9,64:64)-SUMIF(63:63,C9,64:64)+100</f>
        <v>100</v>
      </c>
      <c r="K9" s="2398"/>
      <c r="L9" s="1245"/>
      <c r="M9" s="1246"/>
      <c r="N9" s="1246"/>
      <c r="O9" s="1246"/>
      <c r="P9" s="3080" t="s">
        <v>2361</v>
      </c>
      <c r="Q9" s="1887" t="str">
        <f t="shared" ref="Q9:Q15" si="6">B9</f>
        <v>用途</v>
      </c>
      <c r="R9" s="749" t="s">
        <v>25</v>
      </c>
      <c r="S9" s="750">
        <f t="shared" si="0"/>
        <v>100</v>
      </c>
      <c r="T9" s="749" t="s">
        <v>25</v>
      </c>
      <c r="U9" s="750">
        <f t="shared" si="1"/>
        <v>100</v>
      </c>
      <c r="V9" s="749" t="s">
        <v>25</v>
      </c>
      <c r="W9" s="750">
        <f t="shared" si="2"/>
        <v>100</v>
      </c>
      <c r="X9" s="751"/>
      <c r="Y9" s="2893" t="s">
        <v>2362</v>
      </c>
      <c r="Z9" s="23" t="str">
        <f t="shared" ref="Z9:Z15" si="7">Q9</f>
        <v>用途</v>
      </c>
      <c r="AA9" s="752">
        <f t="shared" si="3"/>
        <v>1</v>
      </c>
      <c r="AB9" s="752">
        <f t="shared" si="4"/>
        <v>1</v>
      </c>
      <c r="AC9" s="752">
        <f t="shared" si="5"/>
        <v>1</v>
      </c>
    </row>
    <row r="10" spans="1:29" s="407" customFormat="1" ht="27.75" thickBot="1">
      <c r="A10" s="401"/>
      <c r="B10" s="402" t="s">
        <v>2363</v>
      </c>
      <c r="C10" s="403" t="s">
        <v>2894</v>
      </c>
      <c r="D10" s="52">
        <v>100</v>
      </c>
      <c r="E10" s="403" t="s">
        <v>2894</v>
      </c>
      <c r="F10" s="405">
        <f>SUMIF(65:65,E10,66:66)-SUMIF(65:65,C10,66:66)+100</f>
        <v>100</v>
      </c>
      <c r="G10" s="403" t="s">
        <v>2894</v>
      </c>
      <c r="H10" s="52">
        <f>SUMIF(65:65,G10,66:66)-SUMIF(65:65,C10,66:66)+100</f>
        <v>100</v>
      </c>
      <c r="I10" s="403" t="s">
        <v>2894</v>
      </c>
      <c r="J10" s="52">
        <f>SUMIF(65:65,I10,66:66)-SUMIF(65:65,C10,66:66)+100</f>
        <v>100</v>
      </c>
      <c r="K10" s="406"/>
      <c r="L10" s="1248"/>
      <c r="M10" s="1249"/>
      <c r="N10" s="1249"/>
      <c r="O10" s="1249"/>
      <c r="P10" s="3080"/>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80"/>
      <c r="Q11" s="1887" t="str">
        <f t="shared" si="6"/>
        <v>容积率</v>
      </c>
      <c r="R11" s="749" t="s">
        <v>28</v>
      </c>
      <c r="S11" s="750">
        <f t="shared" si="0"/>
        <v>100</v>
      </c>
      <c r="T11" s="749" t="s">
        <v>28</v>
      </c>
      <c r="U11" s="750">
        <f t="shared" si="1"/>
        <v>100</v>
      </c>
      <c r="V11" s="749" t="s">
        <v>28</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80"/>
      <c r="Q12" s="1887">
        <f t="shared" si="6"/>
        <v>111</v>
      </c>
      <c r="R12" s="749" t="s">
        <v>28</v>
      </c>
      <c r="S12" s="750">
        <f t="shared" si="0"/>
        <v>100</v>
      </c>
      <c r="T12" s="749" t="s">
        <v>28</v>
      </c>
      <c r="U12" s="750">
        <f t="shared" si="1"/>
        <v>100</v>
      </c>
      <c r="V12" s="749" t="s">
        <v>28</v>
      </c>
      <c r="W12" s="750">
        <f t="shared" si="2"/>
        <v>100</v>
      </c>
      <c r="X12" s="751"/>
      <c r="Y12" s="2893"/>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80"/>
      <c r="Q13" s="1887">
        <f t="shared" si="6"/>
        <v>111</v>
      </c>
      <c r="R13" s="749" t="s">
        <v>28</v>
      </c>
      <c r="S13" s="750">
        <f t="shared" si="0"/>
        <v>100</v>
      </c>
      <c r="T13" s="749" t="s">
        <v>28</v>
      </c>
      <c r="U13" s="750">
        <f t="shared" si="1"/>
        <v>100</v>
      </c>
      <c r="V13" s="749" t="s">
        <v>28</v>
      </c>
      <c r="W13" s="750">
        <f t="shared" si="2"/>
        <v>100</v>
      </c>
      <c r="X13" s="751"/>
      <c r="Y13" s="2893"/>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80"/>
      <c r="Q14" s="1887">
        <f t="shared" si="6"/>
        <v>111</v>
      </c>
      <c r="R14" s="749" t="s">
        <v>28</v>
      </c>
      <c r="S14" s="750">
        <f t="shared" si="0"/>
        <v>100</v>
      </c>
      <c r="T14" s="749" t="s">
        <v>28</v>
      </c>
      <c r="U14" s="750">
        <f t="shared" si="1"/>
        <v>100</v>
      </c>
      <c r="V14" s="749" t="s">
        <v>28</v>
      </c>
      <c r="W14" s="750">
        <f t="shared" si="2"/>
        <v>100</v>
      </c>
      <c r="X14" s="751"/>
      <c r="Y14" s="2893"/>
      <c r="Z14" s="23">
        <f t="shared" si="7"/>
        <v>111</v>
      </c>
      <c r="AA14" s="752">
        <f t="shared" si="3"/>
        <v>1</v>
      </c>
      <c r="AB14" s="752">
        <f t="shared" si="4"/>
        <v>1</v>
      </c>
      <c r="AC14" s="752">
        <f t="shared" si="5"/>
        <v>1</v>
      </c>
    </row>
    <row r="15" spans="1:29" ht="102.75" customHeight="1">
      <c r="A15" s="419" t="s">
        <v>2365</v>
      </c>
      <c r="B15" s="26" t="s">
        <v>1740</v>
      </c>
      <c r="C15" s="2403" t="str">
        <f>估价对象房地状况!C3</f>
        <v>周边有绿城百合、府西园小区、紫欣苑小区、燕化星城健德一里、燕化星城健德二里等居住社区，综合评价居住社区成熟度较好。</v>
      </c>
      <c r="D15" s="420">
        <v>100</v>
      </c>
      <c r="E15" s="2772" t="s">
        <v>2845</v>
      </c>
      <c r="F15" s="422">
        <f>SUMIF(76:76,E16,77:77)-SUMIF(76:76,C16,77:77)+100</f>
        <v>100</v>
      </c>
      <c r="G15" s="2773" t="s">
        <v>2845</v>
      </c>
      <c r="H15" s="420">
        <f>SUMIF(76:76,G16,77:77)-SUMIF(76:76,C16,77:77)+100</f>
        <v>100</v>
      </c>
      <c r="I15" s="2772" t="s">
        <v>2845</v>
      </c>
      <c r="J15" s="420">
        <f>SUMIF(76:76,I16,77:77)-SUMIF(76:76,C16,77:77)+100</f>
        <v>100</v>
      </c>
      <c r="K15" s="424"/>
      <c r="L15" s="1253"/>
      <c r="M15" s="1244"/>
      <c r="N15" s="1244"/>
      <c r="O15" s="1244"/>
      <c r="P15" s="3083" t="s">
        <v>2366</v>
      </c>
      <c r="Q15" s="1899" t="str">
        <f t="shared" si="6"/>
        <v>居住社区成熟度</v>
      </c>
      <c r="R15" s="753" t="s">
        <v>28</v>
      </c>
      <c r="S15" s="754">
        <f t="shared" si="0"/>
        <v>100</v>
      </c>
      <c r="T15" s="753" t="s">
        <v>28</v>
      </c>
      <c r="U15" s="754">
        <f t="shared" si="1"/>
        <v>100</v>
      </c>
      <c r="V15" s="753" t="s">
        <v>28</v>
      </c>
      <c r="W15" s="754">
        <f t="shared" si="2"/>
        <v>100</v>
      </c>
      <c r="X15" s="1900"/>
      <c r="Y15" s="3070" t="s">
        <v>2366</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5"/>
      <c r="L16" s="1253"/>
      <c r="M16" s="1244"/>
      <c r="N16" s="1244"/>
      <c r="O16" s="1244"/>
      <c r="P16" s="3084"/>
      <c r="Q16" s="1899"/>
      <c r="R16" s="753"/>
      <c r="S16" s="754"/>
      <c r="T16" s="753"/>
      <c r="U16" s="754"/>
      <c r="V16" s="753"/>
      <c r="W16" s="754"/>
      <c r="X16" s="1900"/>
      <c r="Y16" s="3071"/>
      <c r="Z16" s="1902"/>
      <c r="AA16" s="1903">
        <v>1</v>
      </c>
      <c r="AB16" s="1903">
        <v>1</v>
      </c>
      <c r="AC16" s="1903">
        <v>1</v>
      </c>
    </row>
    <row r="17" spans="1:29" ht="79.5" customHeight="1">
      <c r="A17" s="408"/>
      <c r="B17" s="431" t="s">
        <v>1751</v>
      </c>
      <c r="C17" s="2406" t="str">
        <f>估价对象房地状况!C6</f>
        <v>估价对象紧邻城市次干道—太平街，有14路、40路、66路、70路等多条公交线路及地铁4号线（陶然亭站）通过，交通便捷度较好。</v>
      </c>
      <c r="D17" s="430">
        <v>100</v>
      </c>
      <c r="E17" s="2774" t="s">
        <v>2906</v>
      </c>
      <c r="F17" s="433">
        <f>SUMIF(78:78,E18,79:79)-SUMIF(78:78,C18,79:79)+100</f>
        <v>100</v>
      </c>
      <c r="G17" s="2775" t="s">
        <v>2906</v>
      </c>
      <c r="H17" s="435">
        <f>SUMIF(78:78,G18,79:79)-SUMIF(78:78,C18,79:79)+100</f>
        <v>100</v>
      </c>
      <c r="I17" s="2774" t="s">
        <v>2906</v>
      </c>
      <c r="J17" s="435">
        <f>SUMIF(78:78,I18,79:79)-SUMIF(78:78,C18,79:79)+100</f>
        <v>100</v>
      </c>
      <c r="K17" s="424"/>
      <c r="L17" s="1253"/>
      <c r="M17" s="1244"/>
      <c r="N17" s="1244"/>
      <c r="O17" s="1244"/>
      <c r="P17" s="3084"/>
      <c r="Q17" s="1899" t="str">
        <f>B17</f>
        <v>交通便捷度</v>
      </c>
      <c r="R17" s="753" t="s">
        <v>28</v>
      </c>
      <c r="S17" s="754">
        <f>F17</f>
        <v>100</v>
      </c>
      <c r="T17" s="753" t="s">
        <v>28</v>
      </c>
      <c r="U17" s="754">
        <f>H17</f>
        <v>100</v>
      </c>
      <c r="V17" s="753" t="s">
        <v>28</v>
      </c>
      <c r="W17" s="754">
        <f>J17</f>
        <v>100</v>
      </c>
      <c r="X17" s="1900"/>
      <c r="Y17" s="3071"/>
      <c r="Z17" s="1902" t="str">
        <f>Q17</f>
        <v>交通便捷度</v>
      </c>
      <c r="AA17" s="1903">
        <f t="shared" si="3"/>
        <v>1</v>
      </c>
      <c r="AB17" s="1903">
        <f t="shared" si="4"/>
        <v>1</v>
      </c>
      <c r="AC17" s="1903">
        <f t="shared" si="5"/>
        <v>1</v>
      </c>
    </row>
    <row r="18" spans="1:29" ht="15">
      <c r="A18" s="408"/>
      <c r="B18" s="436"/>
      <c r="C18" s="437" t="s">
        <v>30</v>
      </c>
      <c r="D18" s="430"/>
      <c r="E18" s="437" t="s">
        <v>30</v>
      </c>
      <c r="F18" s="433"/>
      <c r="G18" s="437" t="s">
        <v>30</v>
      </c>
      <c r="H18" s="427"/>
      <c r="I18" s="437" t="s">
        <v>30</v>
      </c>
      <c r="J18" s="427"/>
      <c r="K18" s="2405"/>
      <c r="L18" s="1253"/>
      <c r="M18" s="1244"/>
      <c r="N18" s="1244"/>
      <c r="O18" s="1244"/>
      <c r="P18" s="3084"/>
      <c r="Q18" s="1899"/>
      <c r="R18" s="753"/>
      <c r="S18" s="754"/>
      <c r="T18" s="753"/>
      <c r="U18" s="754"/>
      <c r="V18" s="753"/>
      <c r="W18" s="754"/>
      <c r="X18" s="1900"/>
      <c r="Y18" s="3071"/>
      <c r="Z18" s="1902"/>
      <c r="AA18" s="1903">
        <v>1</v>
      </c>
      <c r="AB18" s="1903">
        <v>1</v>
      </c>
      <c r="AC18" s="1903">
        <v>1</v>
      </c>
    </row>
    <row r="19" spans="1:29" ht="42.75">
      <c r="A19" s="408"/>
      <c r="B19" s="431" t="s">
        <v>1749</v>
      </c>
      <c r="C19" s="2406" t="str">
        <f>估价对象房地状况!C7</f>
        <v>估价对象所在区域公共配套设施齐备情况好</v>
      </c>
      <c r="D19" s="435">
        <v>100</v>
      </c>
      <c r="E19" s="2776" t="s">
        <v>2847</v>
      </c>
      <c r="F19" s="439">
        <f>SUMIF(80:80,E20,81:81)-SUMIF(80:80,C20,81:81)+100</f>
        <v>100</v>
      </c>
      <c r="G19" s="2777" t="s">
        <v>2847</v>
      </c>
      <c r="H19" s="430">
        <f>SUMIF(80:80,G20,81:81)-SUMIF(80:80,C20,81:81)+100</f>
        <v>100</v>
      </c>
      <c r="I19" s="2776" t="s">
        <v>2847</v>
      </c>
      <c r="J19" s="430">
        <f>SUMIF(80:80,I20,81:81)-SUMIF(80:80,C20,81:81)+100</f>
        <v>100</v>
      </c>
      <c r="K19" s="424"/>
      <c r="L19" s="1253"/>
      <c r="M19" s="1244"/>
      <c r="N19" s="1244"/>
      <c r="O19" s="1244"/>
      <c r="P19" s="3084"/>
      <c r="Q19" s="1899" t="str">
        <f>B19</f>
        <v>公共配套设施</v>
      </c>
      <c r="R19" s="753" t="s">
        <v>28</v>
      </c>
      <c r="S19" s="754">
        <f>F19</f>
        <v>100</v>
      </c>
      <c r="T19" s="753" t="s">
        <v>28</v>
      </c>
      <c r="U19" s="754">
        <f>H19</f>
        <v>100</v>
      </c>
      <c r="V19" s="753" t="s">
        <v>28</v>
      </c>
      <c r="W19" s="754">
        <f>J19</f>
        <v>100</v>
      </c>
      <c r="X19" s="1900"/>
      <c r="Y19" s="3071"/>
      <c r="Z19" s="1902" t="str">
        <f>Q19</f>
        <v>公共配套设施</v>
      </c>
      <c r="AA19" s="1903">
        <f t="shared" si="3"/>
        <v>1</v>
      </c>
      <c r="AB19" s="1903">
        <f t="shared" si="4"/>
        <v>1</v>
      </c>
      <c r="AC19" s="1903">
        <f t="shared" si="5"/>
        <v>1</v>
      </c>
    </row>
    <row r="20" spans="1:29" ht="15">
      <c r="A20" s="408"/>
      <c r="B20" s="436"/>
      <c r="C20" s="426" t="s">
        <v>29</v>
      </c>
      <c r="D20" s="427"/>
      <c r="E20" s="426" t="s">
        <v>29</v>
      </c>
      <c r="F20" s="429"/>
      <c r="G20" s="426" t="s">
        <v>29</v>
      </c>
      <c r="H20" s="427"/>
      <c r="I20" s="426" t="s">
        <v>29</v>
      </c>
      <c r="J20" s="427"/>
      <c r="K20" s="2405"/>
      <c r="L20" s="1253"/>
      <c r="M20" s="1244"/>
      <c r="N20" s="1244"/>
      <c r="O20" s="1244"/>
      <c r="P20" s="3084"/>
      <c r="Q20" s="1899"/>
      <c r="R20" s="753"/>
      <c r="S20" s="754"/>
      <c r="T20" s="753"/>
      <c r="U20" s="754"/>
      <c r="V20" s="753"/>
      <c r="W20" s="754"/>
      <c r="X20" s="1900"/>
      <c r="Y20" s="3071"/>
      <c r="Z20" s="1902"/>
      <c r="AA20" s="1903">
        <v>1</v>
      </c>
      <c r="AB20" s="1903">
        <v>1</v>
      </c>
      <c r="AC20" s="1903">
        <v>1</v>
      </c>
    </row>
    <row r="21" spans="1:29" ht="28.5" customHeight="1">
      <c r="A21" s="408"/>
      <c r="B21" s="2408" t="s">
        <v>1752</v>
      </c>
      <c r="C21" s="2406" t="str">
        <f>估价对象房地状况!C8</f>
        <v>七通一平</v>
      </c>
      <c r="D21" s="435">
        <v>100</v>
      </c>
      <c r="E21" s="2776" t="s">
        <v>2849</v>
      </c>
      <c r="F21" s="439">
        <f>SUMIF(82:82,E22,83:83)-SUMIF(82:82,C22,83:83)+100</f>
        <v>100</v>
      </c>
      <c r="G21" s="2777" t="s">
        <v>2849</v>
      </c>
      <c r="H21" s="430">
        <f>SUMIF(82:82,G22,83:83)-SUMIF(82:82,C22,83:83)+100</f>
        <v>100</v>
      </c>
      <c r="I21" s="2776" t="s">
        <v>2849</v>
      </c>
      <c r="J21" s="430">
        <f>SUMIF(82:82,I22,83:83)-SUMIF(82:82,C22,83:83)+100</f>
        <v>100</v>
      </c>
      <c r="K21" s="424"/>
      <c r="L21" s="1253"/>
      <c r="M21" s="1244"/>
      <c r="N21" s="1244"/>
      <c r="O21" s="1244"/>
      <c r="P21" s="3084"/>
      <c r="Q21" s="1899" t="str">
        <f>B21</f>
        <v>基础设施水平</v>
      </c>
      <c r="R21" s="753" t="s">
        <v>28</v>
      </c>
      <c r="S21" s="754">
        <f>F21</f>
        <v>100</v>
      </c>
      <c r="T21" s="753" t="s">
        <v>28</v>
      </c>
      <c r="U21" s="754">
        <f>H21</f>
        <v>100</v>
      </c>
      <c r="V21" s="753" t="s">
        <v>28</v>
      </c>
      <c r="W21" s="754">
        <f>J21</f>
        <v>100</v>
      </c>
      <c r="X21" s="1900"/>
      <c r="Y21" s="3071"/>
      <c r="Z21" s="1902" t="str">
        <f>Q21</f>
        <v>基础设施水平</v>
      </c>
      <c r="AA21" s="1903">
        <f>D21/F21</f>
        <v>1</v>
      </c>
      <c r="AB21" s="1903">
        <f>D21/H21</f>
        <v>1</v>
      </c>
      <c r="AC21" s="1903">
        <f>D21/J21</f>
        <v>1</v>
      </c>
    </row>
    <row r="22" spans="1:29" ht="15">
      <c r="A22" s="408"/>
      <c r="B22" s="2408"/>
      <c r="C22" s="437" t="s">
        <v>2905</v>
      </c>
      <c r="D22" s="427"/>
      <c r="E22" s="437" t="s">
        <v>2905</v>
      </c>
      <c r="F22" s="429"/>
      <c r="G22" s="437" t="s">
        <v>2905</v>
      </c>
      <c r="H22" s="427"/>
      <c r="I22" s="437" t="s">
        <v>2905</v>
      </c>
      <c r="J22" s="427"/>
      <c r="K22" s="2409"/>
      <c r="L22" s="1253"/>
      <c r="M22" s="1244"/>
      <c r="N22" s="1244"/>
      <c r="O22" s="1244"/>
      <c r="P22" s="3084"/>
      <c r="Q22" s="1899"/>
      <c r="R22" s="753"/>
      <c r="S22" s="754"/>
      <c r="T22" s="753"/>
      <c r="U22" s="754"/>
      <c r="V22" s="753"/>
      <c r="W22" s="754"/>
      <c r="X22" s="1900"/>
      <c r="Y22" s="3071"/>
      <c r="Z22" s="1902"/>
      <c r="AA22" s="1903">
        <v>1</v>
      </c>
      <c r="AB22" s="1903">
        <v>1</v>
      </c>
      <c r="AC22" s="1903">
        <v>1</v>
      </c>
    </row>
    <row r="23" spans="1:29" ht="72" customHeight="1">
      <c r="A23" s="408"/>
      <c r="B23" s="431" t="s">
        <v>1756</v>
      </c>
      <c r="C23" s="2406" t="str">
        <f>估价对象房地状况!C9</f>
        <v>区域自然环境：陶然亭公园、天坛公园、永定门公园、护城河；人文环境：自然博物馆、北京古代建筑博物馆、中国盲文博物馆、北京先农坛体育场；综合评价环境状况好</v>
      </c>
      <c r="D23" s="430">
        <v>100</v>
      </c>
      <c r="E23" s="2774" t="s">
        <v>2903</v>
      </c>
      <c r="F23" s="433">
        <f>SUMIF(84:84,E24,85:85)-SUMIF(84:84,C24,85:85)+100</f>
        <v>100</v>
      </c>
      <c r="G23" s="2775" t="s">
        <v>2903</v>
      </c>
      <c r="H23" s="430">
        <f>SUMIF(84:84,G24,85:85)-SUMIF(84:84,C24,85:85)+100</f>
        <v>100</v>
      </c>
      <c r="I23" s="2774" t="s">
        <v>2903</v>
      </c>
      <c r="J23" s="430">
        <f>SUMIF(84:84,I24,85:85)-SUMIF(84:84,C24,85:85)+100</f>
        <v>100</v>
      </c>
      <c r="K23" s="424"/>
      <c r="L23" s="1253"/>
      <c r="M23" s="1244"/>
      <c r="N23" s="1244"/>
      <c r="O23" s="1244"/>
      <c r="P23" s="3084"/>
      <c r="Q23" s="1899" t="str">
        <f>B23</f>
        <v>自然及人文环境</v>
      </c>
      <c r="R23" s="753" t="s">
        <v>28</v>
      </c>
      <c r="S23" s="754">
        <f>F23</f>
        <v>100</v>
      </c>
      <c r="T23" s="753" t="s">
        <v>28</v>
      </c>
      <c r="U23" s="754">
        <f>H23</f>
        <v>100</v>
      </c>
      <c r="V23" s="753" t="s">
        <v>28</v>
      </c>
      <c r="W23" s="754">
        <f>J23</f>
        <v>100</v>
      </c>
      <c r="X23" s="1900"/>
      <c r="Y23" s="3071"/>
      <c r="Z23" s="1902" t="str">
        <f>Q23</f>
        <v>自然及人文环境</v>
      </c>
      <c r="AA23" s="1903">
        <f t="shared" si="3"/>
        <v>1</v>
      </c>
      <c r="AB23" s="1903">
        <f t="shared" si="4"/>
        <v>1</v>
      </c>
      <c r="AC23" s="1903">
        <f t="shared" si="5"/>
        <v>1</v>
      </c>
    </row>
    <row r="24" spans="1:29" ht="15">
      <c r="A24" s="408"/>
      <c r="B24" s="436"/>
      <c r="C24" s="426" t="s">
        <v>29</v>
      </c>
      <c r="D24" s="427"/>
      <c r="E24" s="426" t="s">
        <v>29</v>
      </c>
      <c r="F24" s="429"/>
      <c r="G24" s="426" t="s">
        <v>29</v>
      </c>
      <c r="H24" s="427"/>
      <c r="I24" s="426" t="s">
        <v>29</v>
      </c>
      <c r="J24" s="427"/>
      <c r="K24" s="2405"/>
      <c r="L24" s="1253"/>
      <c r="M24" s="1244"/>
      <c r="N24" s="1244"/>
      <c r="O24" s="1244"/>
      <c r="P24" s="3084"/>
      <c r="Q24" s="1899"/>
      <c r="R24" s="753"/>
      <c r="S24" s="754"/>
      <c r="T24" s="753"/>
      <c r="U24" s="754"/>
      <c r="V24" s="753"/>
      <c r="W24" s="754"/>
      <c r="X24" s="1900"/>
      <c r="Y24" s="3071"/>
      <c r="Z24" s="1902"/>
      <c r="AA24" s="1903">
        <v>1</v>
      </c>
      <c r="AB24" s="1903">
        <v>1</v>
      </c>
      <c r="AC24" s="1903">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84"/>
      <c r="Q25" s="1899" t="str">
        <f t="shared" ref="Q25:Q46" si="8">B25</f>
        <v>楼层-1</v>
      </c>
      <c r="R25" s="753" t="s">
        <v>28</v>
      </c>
      <c r="S25" s="754">
        <f>F25</f>
        <v>100</v>
      </c>
      <c r="T25" s="753" t="s">
        <v>28</v>
      </c>
      <c r="U25" s="754">
        <f>H25</f>
        <v>100</v>
      </c>
      <c r="V25" s="753" t="s">
        <v>28</v>
      </c>
      <c r="W25" s="754">
        <f>J25</f>
        <v>100</v>
      </c>
      <c r="X25" s="1900"/>
      <c r="Y25" s="3071"/>
      <c r="Z25" s="1902" t="str">
        <f>Q25</f>
        <v>楼层-1</v>
      </c>
      <c r="AA25" s="1903">
        <f t="shared" si="3"/>
        <v>1</v>
      </c>
      <c r="AB25" s="1903">
        <f t="shared" si="4"/>
        <v>1</v>
      </c>
      <c r="AC25" s="1903">
        <f t="shared" si="5"/>
        <v>1</v>
      </c>
    </row>
    <row r="26" spans="1:29" ht="15">
      <c r="A26" s="408"/>
      <c r="B26" s="402" t="s">
        <v>2368</v>
      </c>
      <c r="C26" s="2766" t="s">
        <v>2892</v>
      </c>
      <c r="D26" s="415">
        <v>100</v>
      </c>
      <c r="E26" s="2757" t="s">
        <v>2862</v>
      </c>
      <c r="F26" s="442">
        <f>SUMIF(88:88,E26,89:89)-SUMIF(88:88,C26,89:89)+100</f>
        <v>104</v>
      </c>
      <c r="G26" s="2757" t="s">
        <v>2890</v>
      </c>
      <c r="H26" s="415">
        <f>SUMIF(88:88,G26,89:89)-SUMIF(88:88,C26,89:89)+100</f>
        <v>102</v>
      </c>
      <c r="I26" s="2757" t="s">
        <v>2891</v>
      </c>
      <c r="J26" s="415">
        <f>SUMIF(88:88,I26,89:89)-SUMIF(88:88,C26,89:89)+100</f>
        <v>102</v>
      </c>
      <c r="K26" s="406">
        <v>2</v>
      </c>
      <c r="L26" s="1253"/>
      <c r="M26" s="1244"/>
      <c r="N26" s="1244"/>
      <c r="O26" s="1244"/>
      <c r="P26" s="3084"/>
      <c r="Q26" s="1899" t="str">
        <f t="shared" si="8"/>
        <v>朝向</v>
      </c>
      <c r="R26" s="753" t="s">
        <v>28</v>
      </c>
      <c r="S26" s="754">
        <f>F26</f>
        <v>104</v>
      </c>
      <c r="T26" s="753" t="s">
        <v>28</v>
      </c>
      <c r="U26" s="754">
        <f>H26</f>
        <v>102</v>
      </c>
      <c r="V26" s="753" t="s">
        <v>28</v>
      </c>
      <c r="W26" s="754">
        <f>J26</f>
        <v>102</v>
      </c>
      <c r="X26" s="1900"/>
      <c r="Y26" s="3071"/>
      <c r="Z26" s="1902" t="str">
        <f>Q26</f>
        <v>朝向</v>
      </c>
      <c r="AA26" s="1903">
        <f t="shared" si="3"/>
        <v>0.96153846153846156</v>
      </c>
      <c r="AB26" s="1903">
        <f t="shared" si="4"/>
        <v>0.98039215686274506</v>
      </c>
      <c r="AC26" s="1903">
        <f t="shared" si="5"/>
        <v>0.98039215686274506</v>
      </c>
    </row>
    <row r="27" spans="1:29" s="35" customFormat="1" ht="27">
      <c r="A27" s="411"/>
      <c r="B27" s="2399" t="s">
        <v>2369</v>
      </c>
      <c r="C27" s="2771" t="s">
        <v>2902</v>
      </c>
      <c r="D27" s="443">
        <v>100</v>
      </c>
      <c r="E27" s="2771" t="s">
        <v>2902</v>
      </c>
      <c r="F27" s="445">
        <f>SUMIF(90:90,E27,91:91)-SUMIF(90:90,C27,91:91)+100</f>
        <v>100</v>
      </c>
      <c r="G27" s="2771" t="s">
        <v>2902</v>
      </c>
      <c r="H27" s="443">
        <f>SUMIF(90:90,G27,91:91)-SUMIF(90:90,C27,91:91)+100</f>
        <v>100</v>
      </c>
      <c r="I27" s="2771" t="s">
        <v>2902</v>
      </c>
      <c r="J27" s="443">
        <f>SUMIF(90:90,I27,91:91)-SUMIF(90:90,C27,91:91)+100</f>
        <v>100</v>
      </c>
      <c r="K27" s="2400"/>
      <c r="L27" s="1245"/>
      <c r="M27" s="1246"/>
      <c r="N27" s="1246"/>
      <c r="O27" s="1246"/>
      <c r="P27" s="3084"/>
      <c r="Q27" s="1887" t="str">
        <f t="shared" si="8"/>
        <v>道路级别</v>
      </c>
      <c r="R27" s="749" t="s">
        <v>28</v>
      </c>
      <c r="S27" s="750">
        <f>F27</f>
        <v>100</v>
      </c>
      <c r="T27" s="749" t="s">
        <v>28</v>
      </c>
      <c r="U27" s="750">
        <f>H27</f>
        <v>100</v>
      </c>
      <c r="V27" s="749" t="s">
        <v>28</v>
      </c>
      <c r="W27" s="750">
        <f>J27</f>
        <v>100</v>
      </c>
      <c r="X27" s="751"/>
      <c r="Y27" s="3071"/>
      <c r="Z27" s="23" t="str">
        <f>Q27</f>
        <v>道路级别</v>
      </c>
      <c r="AA27" s="1903">
        <f>D27/F27</f>
        <v>1</v>
      </c>
      <c r="AB27" s="1903">
        <f>D27/H27</f>
        <v>1</v>
      </c>
      <c r="AC27" s="1903">
        <f>D27/J27</f>
        <v>1</v>
      </c>
    </row>
    <row r="28" spans="1:29" ht="15.75" thickBot="1">
      <c r="A28" s="408"/>
      <c r="B28" s="2756" t="s">
        <v>2861</v>
      </c>
      <c r="C28" s="2769" t="s">
        <v>2895</v>
      </c>
      <c r="D28" s="415">
        <v>100</v>
      </c>
      <c r="E28" s="414" t="s">
        <v>2896</v>
      </c>
      <c r="F28" s="442">
        <f>SUMIF(92:92,E28,93:93)-SUMIF(92:92,C28,93:93)+100</f>
        <v>100</v>
      </c>
      <c r="G28" s="414" t="s">
        <v>2898</v>
      </c>
      <c r="H28" s="415">
        <f>SUMIF(92:92,G28,93:93)-SUMIF(92:92,C28,93:93)+100</f>
        <v>96</v>
      </c>
      <c r="I28" s="414" t="s">
        <v>2889</v>
      </c>
      <c r="J28" s="415">
        <f>SUMIF(92:92,I28,93:93)-SUMIF(92:92,C28,93:93)+100</f>
        <v>98</v>
      </c>
      <c r="K28" s="2400"/>
      <c r="L28" s="1253"/>
      <c r="M28" s="1244"/>
      <c r="N28" s="1244"/>
      <c r="O28" s="1244"/>
      <c r="P28" s="3084"/>
      <c r="Q28" s="1899" t="str">
        <f t="shared" si="8"/>
        <v>楼层</v>
      </c>
      <c r="R28" s="753" t="s">
        <v>28</v>
      </c>
      <c r="S28" s="754">
        <f t="shared" ref="S28:S46" si="9">F28</f>
        <v>100</v>
      </c>
      <c r="T28" s="753" t="s">
        <v>28</v>
      </c>
      <c r="U28" s="754">
        <f t="shared" ref="U28:U46" si="10">H28</f>
        <v>96</v>
      </c>
      <c r="V28" s="753" t="s">
        <v>28</v>
      </c>
      <c r="W28" s="754">
        <f t="shared" ref="W28:W46" si="11">J28</f>
        <v>98</v>
      </c>
      <c r="X28" s="1900"/>
      <c r="Y28" s="3071"/>
      <c r="Z28" s="1902" t="str">
        <f t="shared" ref="Z28:Z46" si="12">Q28</f>
        <v>楼层</v>
      </c>
      <c r="AA28" s="1903">
        <f t="shared" si="3"/>
        <v>1</v>
      </c>
      <c r="AB28" s="1903">
        <f t="shared" si="4"/>
        <v>1.0416666666666667</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84"/>
      <c r="Q29" s="1899">
        <f t="shared" si="8"/>
        <v>111</v>
      </c>
      <c r="R29" s="753" t="s">
        <v>28</v>
      </c>
      <c r="S29" s="754">
        <f t="shared" si="9"/>
        <v>100</v>
      </c>
      <c r="T29" s="753" t="s">
        <v>28</v>
      </c>
      <c r="U29" s="754">
        <f t="shared" si="10"/>
        <v>100</v>
      </c>
      <c r="V29" s="753" t="s">
        <v>28</v>
      </c>
      <c r="W29" s="754">
        <f t="shared" si="11"/>
        <v>100</v>
      </c>
      <c r="X29" s="1900"/>
      <c r="Y29" s="3071"/>
      <c r="Z29" s="1902">
        <f t="shared" si="12"/>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84"/>
      <c r="Q30" s="1899">
        <f t="shared" si="8"/>
        <v>111</v>
      </c>
      <c r="R30" s="753" t="s">
        <v>28</v>
      </c>
      <c r="S30" s="754">
        <f t="shared" si="9"/>
        <v>100</v>
      </c>
      <c r="T30" s="753" t="s">
        <v>28</v>
      </c>
      <c r="U30" s="754">
        <f t="shared" si="10"/>
        <v>100</v>
      </c>
      <c r="V30" s="753" t="s">
        <v>28</v>
      </c>
      <c r="W30" s="754">
        <f t="shared" si="11"/>
        <v>100</v>
      </c>
      <c r="X30" s="1900"/>
      <c r="Y30" s="3071"/>
      <c r="Z30" s="1902">
        <f t="shared" si="12"/>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84"/>
      <c r="Q31" s="1899">
        <f t="shared" si="8"/>
        <v>111</v>
      </c>
      <c r="R31" s="753" t="s">
        <v>28</v>
      </c>
      <c r="S31" s="754">
        <f t="shared" si="9"/>
        <v>100</v>
      </c>
      <c r="T31" s="753" t="s">
        <v>28</v>
      </c>
      <c r="U31" s="754">
        <f t="shared" si="10"/>
        <v>100</v>
      </c>
      <c r="V31" s="753" t="s">
        <v>28</v>
      </c>
      <c r="W31" s="754">
        <f t="shared" si="11"/>
        <v>100</v>
      </c>
      <c r="X31" s="1900"/>
      <c r="Y31" s="3071"/>
      <c r="Z31" s="1902">
        <f t="shared" si="12"/>
        <v>111</v>
      </c>
      <c r="AA31" s="1903">
        <f t="shared" si="3"/>
        <v>1</v>
      </c>
      <c r="AB31" s="1903">
        <f t="shared" si="4"/>
        <v>1</v>
      </c>
      <c r="AC31" s="1903">
        <f t="shared" si="5"/>
        <v>1</v>
      </c>
    </row>
    <row r="32" spans="1:29" ht="15">
      <c r="A32" s="419" t="s">
        <v>2370</v>
      </c>
      <c r="B32" s="28" t="s">
        <v>2371</v>
      </c>
      <c r="C32" s="2758" t="s">
        <v>2864</v>
      </c>
      <c r="D32" s="448">
        <v>100</v>
      </c>
      <c r="E32" s="2758" t="s">
        <v>2864</v>
      </c>
      <c r="F32" s="442">
        <f>SUMIF(100:100,E32,101:101)-SUMIF(100:100,C32,101:101)+100</f>
        <v>100</v>
      </c>
      <c r="G32" s="2758" t="s">
        <v>2864</v>
      </c>
      <c r="H32" s="448">
        <f>SUMIF(100:100,G32,101:101)-SUMIF(100:100,C32,101:101)+100</f>
        <v>100</v>
      </c>
      <c r="I32" s="2758" t="s">
        <v>2864</v>
      </c>
      <c r="J32" s="415">
        <f>SUMIF(100:100,I32,101:101)-SUMIF(100:100,C32,101:101)+100</f>
        <v>100</v>
      </c>
      <c r="K32" s="406"/>
      <c r="L32" s="1253"/>
      <c r="M32" s="1244"/>
      <c r="N32" s="1244"/>
      <c r="O32" s="1244"/>
      <c r="P32" s="3072" t="s">
        <v>2372</v>
      </c>
      <c r="Q32" s="1899" t="str">
        <f t="shared" si="8"/>
        <v>建筑类型</v>
      </c>
      <c r="R32" s="753" t="s">
        <v>28</v>
      </c>
      <c r="S32" s="754">
        <f t="shared" si="9"/>
        <v>100</v>
      </c>
      <c r="T32" s="753" t="s">
        <v>28</v>
      </c>
      <c r="U32" s="754">
        <f t="shared" si="10"/>
        <v>100</v>
      </c>
      <c r="V32" s="753" t="s">
        <v>28</v>
      </c>
      <c r="W32" s="754">
        <f t="shared" si="11"/>
        <v>100</v>
      </c>
      <c r="X32" s="1900"/>
      <c r="Y32" s="3075" t="s">
        <v>2372</v>
      </c>
      <c r="Z32" s="1902" t="str">
        <f t="shared" si="12"/>
        <v>建筑类型</v>
      </c>
      <c r="AA32" s="1903">
        <f t="shared" si="3"/>
        <v>1</v>
      </c>
      <c r="AB32" s="1903">
        <f t="shared" si="4"/>
        <v>1</v>
      </c>
      <c r="AC32" s="1903">
        <f t="shared" si="5"/>
        <v>1</v>
      </c>
    </row>
    <row r="33" spans="1:29" s="452" customFormat="1" ht="15" hidden="1">
      <c r="A33" s="449"/>
      <c r="B33" s="402" t="s">
        <v>2373</v>
      </c>
      <c r="C33" s="410">
        <v>1</v>
      </c>
      <c r="D33" s="52">
        <v>100</v>
      </c>
      <c r="E33" s="410">
        <v>1</v>
      </c>
      <c r="F33" s="405">
        <f>LOOKUP(E33,103:103,104:104)-LOOKUP(C33,103:103,104:104)+100</f>
        <v>100</v>
      </c>
      <c r="G33" s="410">
        <v>1</v>
      </c>
      <c r="H33" s="52">
        <f>LOOKUP(G33,103:103,104:104)-LOOKUP(C33,103:103,104:104)+100</f>
        <v>100</v>
      </c>
      <c r="I33" s="410">
        <v>1</v>
      </c>
      <c r="J33" s="52">
        <f>LOOKUP(I33,103:103,104:104)-LOOKUP(C33,103:103,104:104)+100</f>
        <v>100</v>
      </c>
      <c r="K33" s="2400"/>
      <c r="L33" s="1251"/>
      <c r="M33" s="1254"/>
      <c r="N33" s="1254"/>
      <c r="O33" s="1254"/>
      <c r="P33" s="3073"/>
      <c r="Q33" s="755" t="str">
        <f t="shared" si="8"/>
        <v>项目建筑规模</v>
      </c>
      <c r="R33" s="756" t="s">
        <v>28</v>
      </c>
      <c r="S33" s="757">
        <f t="shared" si="9"/>
        <v>100</v>
      </c>
      <c r="T33" s="756" t="s">
        <v>28</v>
      </c>
      <c r="U33" s="757">
        <f t="shared" si="10"/>
        <v>100</v>
      </c>
      <c r="V33" s="756" t="s">
        <v>28</v>
      </c>
      <c r="W33" s="757">
        <f t="shared" si="11"/>
        <v>100</v>
      </c>
      <c r="X33" s="758"/>
      <c r="Y33" s="3075"/>
      <c r="Z33" s="759" t="str">
        <f t="shared" si="12"/>
        <v>项目建筑规模</v>
      </c>
      <c r="AA33" s="1903">
        <f t="shared" si="3"/>
        <v>1</v>
      </c>
      <c r="AB33" s="1903">
        <f t="shared" si="4"/>
        <v>1</v>
      </c>
      <c r="AC33" s="1903">
        <f t="shared" si="5"/>
        <v>1</v>
      </c>
    </row>
    <row r="34" spans="1:29" ht="15">
      <c r="A34" s="453"/>
      <c r="B34" s="402" t="s">
        <v>2374</v>
      </c>
      <c r="C34" s="2759" t="s">
        <v>2866</v>
      </c>
      <c r="D34" s="415">
        <v>100</v>
      </c>
      <c r="E34" s="2759" t="s">
        <v>2866</v>
      </c>
      <c r="F34" s="442">
        <f>SUMIF(105:105,E34,106:106)-SUMIF(105:105,C34,106:106)+100</f>
        <v>100</v>
      </c>
      <c r="G34" s="2759" t="s">
        <v>2866</v>
      </c>
      <c r="H34" s="415">
        <f>SUMIF(105:105,G34,106:106)-SUMIF(105:105,C34,106:106)+100</f>
        <v>100</v>
      </c>
      <c r="I34" s="2759" t="s">
        <v>2866</v>
      </c>
      <c r="J34" s="415">
        <f>SUMIF(105:105,I34,106:106)-SUMIF(105:105,C34,106:106)+100</f>
        <v>100</v>
      </c>
      <c r="K34" s="406"/>
      <c r="L34" s="1253"/>
      <c r="M34" s="1244"/>
      <c r="N34" s="1244"/>
      <c r="O34" s="1244"/>
      <c r="P34" s="3073"/>
      <c r="Q34" s="1899" t="str">
        <f t="shared" si="8"/>
        <v>建筑结构</v>
      </c>
      <c r="R34" s="753" t="s">
        <v>28</v>
      </c>
      <c r="S34" s="754">
        <f t="shared" si="9"/>
        <v>100</v>
      </c>
      <c r="T34" s="753" t="s">
        <v>28</v>
      </c>
      <c r="U34" s="754">
        <f t="shared" si="10"/>
        <v>100</v>
      </c>
      <c r="V34" s="753" t="s">
        <v>28</v>
      </c>
      <c r="W34" s="754">
        <f t="shared" si="11"/>
        <v>100</v>
      </c>
      <c r="X34" s="1900"/>
      <c r="Y34" s="3075"/>
      <c r="Z34" s="1902" t="str">
        <f t="shared" si="12"/>
        <v>建筑结构</v>
      </c>
      <c r="AA34" s="1903">
        <f t="shared" si="3"/>
        <v>1</v>
      </c>
      <c r="AB34" s="1903">
        <f t="shared" si="4"/>
        <v>1</v>
      </c>
      <c r="AC34" s="1903">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73"/>
      <c r="Q35" s="1899" t="str">
        <f t="shared" si="8"/>
        <v>建筑品质</v>
      </c>
      <c r="R35" s="753" t="s">
        <v>28</v>
      </c>
      <c r="S35" s="754">
        <f t="shared" si="9"/>
        <v>100</v>
      </c>
      <c r="T35" s="753" t="s">
        <v>28</v>
      </c>
      <c r="U35" s="754">
        <f t="shared" si="10"/>
        <v>100</v>
      </c>
      <c r="V35" s="753" t="s">
        <v>28</v>
      </c>
      <c r="W35" s="754">
        <f t="shared" si="11"/>
        <v>100</v>
      </c>
      <c r="X35" s="1900"/>
      <c r="Y35" s="3075"/>
      <c r="Z35" s="1902" t="str">
        <f t="shared" si="12"/>
        <v>建筑品质</v>
      </c>
      <c r="AA35" s="1903">
        <f t="shared" si="3"/>
        <v>1</v>
      </c>
      <c r="AB35" s="1903">
        <f t="shared" si="4"/>
        <v>1</v>
      </c>
      <c r="AC35" s="1903">
        <f t="shared" si="5"/>
        <v>1</v>
      </c>
    </row>
    <row r="36" spans="1:29" ht="15">
      <c r="A36" s="453"/>
      <c r="B36" s="402" t="s">
        <v>2376</v>
      </c>
      <c r="C36" s="2411" t="s">
        <v>2900</v>
      </c>
      <c r="D36" s="415">
        <v>100</v>
      </c>
      <c r="E36" s="2411" t="s">
        <v>2900</v>
      </c>
      <c r="F36" s="442">
        <f>SUMIF(109:109,E36,110:110)-SUMIF(109:109,C36,110:110)+100</f>
        <v>100</v>
      </c>
      <c r="G36" s="2411" t="s">
        <v>2900</v>
      </c>
      <c r="H36" s="415">
        <f>SUMIF(109:109,G36,110:110)-SUMIF(109:109,C36,110:110)+100</f>
        <v>100</v>
      </c>
      <c r="I36" s="2411" t="s">
        <v>2900</v>
      </c>
      <c r="J36" s="415">
        <f>SUMIF(109:109,I36,110:110)-SUMIF(109:109,C36,110:110)+100</f>
        <v>100</v>
      </c>
      <c r="K36" s="406"/>
      <c r="L36" s="1253"/>
      <c r="M36" s="1244"/>
      <c r="N36" s="1244"/>
      <c r="O36" s="1244"/>
      <c r="P36" s="3073"/>
      <c r="Q36" s="1899" t="str">
        <f t="shared" si="8"/>
        <v>公共部分装修</v>
      </c>
      <c r="R36" s="753" t="s">
        <v>28</v>
      </c>
      <c r="S36" s="754">
        <f t="shared" si="9"/>
        <v>100</v>
      </c>
      <c r="T36" s="753" t="s">
        <v>28</v>
      </c>
      <c r="U36" s="754">
        <f t="shared" si="10"/>
        <v>100</v>
      </c>
      <c r="V36" s="753" t="s">
        <v>28</v>
      </c>
      <c r="W36" s="754">
        <f t="shared" si="11"/>
        <v>100</v>
      </c>
      <c r="X36" s="1900"/>
      <c r="Y36" s="3075"/>
      <c r="Z36" s="1902" t="str">
        <f t="shared" si="12"/>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73"/>
      <c r="Q37" s="1887" t="str">
        <f t="shared" si="8"/>
        <v>成新度</v>
      </c>
      <c r="R37" s="749" t="s">
        <v>28</v>
      </c>
      <c r="S37" s="750">
        <f t="shared" si="9"/>
        <v>100</v>
      </c>
      <c r="T37" s="749" t="s">
        <v>28</v>
      </c>
      <c r="U37" s="750">
        <f t="shared" si="10"/>
        <v>100</v>
      </c>
      <c r="V37" s="749" t="s">
        <v>28</v>
      </c>
      <c r="W37" s="750">
        <f t="shared" si="11"/>
        <v>100</v>
      </c>
      <c r="X37" s="751"/>
      <c r="Y37" s="3075"/>
      <c r="Z37" s="23" t="str">
        <f t="shared" si="12"/>
        <v>成新度</v>
      </c>
      <c r="AA37" s="752">
        <f t="shared" si="3"/>
        <v>1</v>
      </c>
      <c r="AB37" s="752">
        <f t="shared" si="4"/>
        <v>1</v>
      </c>
      <c r="AC37" s="752">
        <f t="shared" si="5"/>
        <v>1</v>
      </c>
    </row>
    <row r="38" spans="1:29" ht="27">
      <c r="A38" s="453"/>
      <c r="B38" s="402" t="s">
        <v>2378</v>
      </c>
      <c r="C38" s="2770" t="s">
        <v>2901</v>
      </c>
      <c r="D38" s="415">
        <v>100</v>
      </c>
      <c r="E38" s="2770" t="s">
        <v>2901</v>
      </c>
      <c r="F38" s="442">
        <f>SUMIF(114:114,E38,115:115)-SUMIF(114:114,C38,115:115)+100</f>
        <v>100</v>
      </c>
      <c r="G38" s="2770" t="s">
        <v>2901</v>
      </c>
      <c r="H38" s="415">
        <f>SUMIF(114:114,G38,115:115)-SUMIF(114:114,C38,115:115)+100</f>
        <v>100</v>
      </c>
      <c r="I38" s="2770" t="s">
        <v>2901</v>
      </c>
      <c r="J38" s="415">
        <f>SUMIF(114:114,I38,115:115)-SUMIF(114:114,C38,115:115)+100</f>
        <v>100</v>
      </c>
      <c r="K38" s="406"/>
      <c r="L38" s="1253"/>
      <c r="M38" s="1244"/>
      <c r="N38" s="1244"/>
      <c r="O38" s="1244"/>
      <c r="P38" s="3073" t="s">
        <v>2372</v>
      </c>
      <c r="Q38" s="1899" t="str">
        <f t="shared" si="8"/>
        <v>物业管理</v>
      </c>
      <c r="R38" s="753" t="s">
        <v>28</v>
      </c>
      <c r="S38" s="754">
        <f t="shared" si="9"/>
        <v>100</v>
      </c>
      <c r="T38" s="753" t="s">
        <v>28</v>
      </c>
      <c r="U38" s="754">
        <f t="shared" si="10"/>
        <v>100</v>
      </c>
      <c r="V38" s="753" t="s">
        <v>28</v>
      </c>
      <c r="W38" s="754">
        <f t="shared" si="11"/>
        <v>100</v>
      </c>
      <c r="X38" s="1900"/>
      <c r="Y38" s="3075" t="s">
        <v>2372</v>
      </c>
      <c r="Z38" s="1902" t="str">
        <f t="shared" si="12"/>
        <v>物业管理</v>
      </c>
      <c r="AA38" s="1903">
        <f t="shared" si="3"/>
        <v>1</v>
      </c>
      <c r="AB38" s="1903">
        <f t="shared" si="4"/>
        <v>1</v>
      </c>
      <c r="AC38" s="1903">
        <f t="shared" si="5"/>
        <v>1</v>
      </c>
    </row>
    <row r="39" spans="1:29" ht="15">
      <c r="A39" s="453"/>
      <c r="B39" s="402" t="s">
        <v>2379</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3"/>
      <c r="M39" s="1244"/>
      <c r="N39" s="1244"/>
      <c r="O39" s="1244"/>
      <c r="P39" s="3073"/>
      <c r="Q39" s="1899" t="str">
        <f t="shared" si="8"/>
        <v>市政基础设施</v>
      </c>
      <c r="R39" s="753" t="s">
        <v>28</v>
      </c>
      <c r="S39" s="754">
        <f t="shared" si="9"/>
        <v>100</v>
      </c>
      <c r="T39" s="753" t="s">
        <v>28</v>
      </c>
      <c r="U39" s="754">
        <f t="shared" si="10"/>
        <v>100</v>
      </c>
      <c r="V39" s="753" t="s">
        <v>28</v>
      </c>
      <c r="W39" s="754">
        <f t="shared" si="11"/>
        <v>100</v>
      </c>
      <c r="X39" s="1900"/>
      <c r="Y39" s="3075"/>
      <c r="Z39" s="1902" t="str">
        <f t="shared" si="12"/>
        <v>市政基础设施</v>
      </c>
      <c r="AA39" s="1903">
        <f t="shared" si="3"/>
        <v>1</v>
      </c>
      <c r="AB39" s="1903">
        <f t="shared" si="4"/>
        <v>1</v>
      </c>
      <c r="AC39" s="1903">
        <f t="shared" si="5"/>
        <v>1</v>
      </c>
    </row>
    <row r="40" spans="1:29" ht="15">
      <c r="A40" s="453"/>
      <c r="B40" s="402" t="s">
        <v>2380</v>
      </c>
      <c r="C40" s="2757" t="s">
        <v>2865</v>
      </c>
      <c r="D40" s="415">
        <v>100</v>
      </c>
      <c r="E40" s="2757" t="s">
        <v>2865</v>
      </c>
      <c r="F40" s="442">
        <f>SUMIF(118:118,E40,119:119)-SUMIF(118:118,C40,119:119)+100</f>
        <v>100</v>
      </c>
      <c r="G40" s="2757" t="s">
        <v>2865</v>
      </c>
      <c r="H40" s="415">
        <f>SUMIF(118:118,G40,119:119)-SUMIF(118:118,C40,119:119)+100</f>
        <v>100</v>
      </c>
      <c r="I40" s="2757" t="s">
        <v>2865</v>
      </c>
      <c r="J40" s="415">
        <f>SUMIF(118:118,I40,119:119)-SUMIF(118:118,C40,119:119)+100</f>
        <v>100</v>
      </c>
      <c r="K40" s="406"/>
      <c r="L40" s="1253"/>
      <c r="M40" s="1244"/>
      <c r="N40" s="1244"/>
      <c r="O40" s="1244"/>
      <c r="P40" s="3073"/>
      <c r="Q40" s="1899" t="str">
        <f t="shared" si="8"/>
        <v>房型</v>
      </c>
      <c r="R40" s="753" t="s">
        <v>28</v>
      </c>
      <c r="S40" s="754">
        <f t="shared" si="9"/>
        <v>100</v>
      </c>
      <c r="T40" s="753" t="s">
        <v>28</v>
      </c>
      <c r="U40" s="754">
        <f t="shared" si="10"/>
        <v>100</v>
      </c>
      <c r="V40" s="753" t="s">
        <v>28</v>
      </c>
      <c r="W40" s="754">
        <f t="shared" si="11"/>
        <v>100</v>
      </c>
      <c r="X40" s="1900"/>
      <c r="Y40" s="3075"/>
      <c r="Z40" s="1902" t="str">
        <f t="shared" si="12"/>
        <v>房型</v>
      </c>
      <c r="AA40" s="1903">
        <f t="shared" si="3"/>
        <v>1</v>
      </c>
      <c r="AB40" s="1903">
        <f t="shared" si="4"/>
        <v>1</v>
      </c>
      <c r="AC40" s="1903">
        <f t="shared" si="5"/>
        <v>1</v>
      </c>
    </row>
    <row r="41" spans="1:29" s="452" customFormat="1" ht="28.5">
      <c r="A41" s="449"/>
      <c r="B41" s="402" t="s">
        <v>2381</v>
      </c>
      <c r="C41" s="450">
        <v>66.209999999999994</v>
      </c>
      <c r="D41" s="52">
        <v>100</v>
      </c>
      <c r="E41" s="410">
        <v>64.510000000000005</v>
      </c>
      <c r="F41" s="405">
        <f>SUMIF(120:120,E41,121:121)-SUMIF(120:120,C41,121:121)+100</f>
        <v>100</v>
      </c>
      <c r="G41" s="409">
        <v>59.31</v>
      </c>
      <c r="H41" s="52">
        <f>SUMIF(120:120,G41,121:121)-SUMIF(120:120,C41,121:121)+100</f>
        <v>100</v>
      </c>
      <c r="I41" s="458">
        <v>59.31</v>
      </c>
      <c r="J41" s="415">
        <f>SUMIF(120:120,I41,121:121)-SUMIF(120:120,C41,121:121)+100</f>
        <v>100</v>
      </c>
      <c r="K41" s="2400"/>
      <c r="L41" s="1251"/>
      <c r="M41" s="1254"/>
      <c r="N41" s="1254"/>
      <c r="O41" s="1254"/>
      <c r="P41" s="3073"/>
      <c r="Q41" s="755" t="str">
        <f t="shared" si="8"/>
        <v>单套/主力户型建筑面积</v>
      </c>
      <c r="R41" s="756" t="s">
        <v>28</v>
      </c>
      <c r="S41" s="757">
        <f t="shared" si="9"/>
        <v>100</v>
      </c>
      <c r="T41" s="756" t="s">
        <v>28</v>
      </c>
      <c r="U41" s="757">
        <f t="shared" si="10"/>
        <v>100</v>
      </c>
      <c r="V41" s="756" t="s">
        <v>28</v>
      </c>
      <c r="W41" s="757">
        <f t="shared" si="11"/>
        <v>100</v>
      </c>
      <c r="X41" s="758"/>
      <c r="Y41" s="3075"/>
      <c r="Z41" s="759" t="str">
        <f t="shared" si="12"/>
        <v>单套/主力户型建筑面积</v>
      </c>
      <c r="AA41" s="1903">
        <f t="shared" si="3"/>
        <v>1</v>
      </c>
      <c r="AB41" s="1903">
        <f t="shared" si="4"/>
        <v>1</v>
      </c>
      <c r="AC41" s="1903">
        <f t="shared" si="5"/>
        <v>1</v>
      </c>
    </row>
    <row r="42" spans="1:29" ht="15">
      <c r="A42" s="453"/>
      <c r="B42" s="402" t="s">
        <v>2382</v>
      </c>
      <c r="C42" s="2410" t="s">
        <v>2899</v>
      </c>
      <c r="D42" s="415">
        <v>100</v>
      </c>
      <c r="E42" s="2410" t="s">
        <v>2899</v>
      </c>
      <c r="F42" s="442">
        <f>SUMIF(122:122,E42,123:123)-SUMIF(122:122,C42,123:123)+100</f>
        <v>100</v>
      </c>
      <c r="G42" s="2410" t="s">
        <v>2899</v>
      </c>
      <c r="H42" s="415">
        <f>SUMIF(122:122,G42,123:123)-SUMIF(122:122,C42,123:123)+100</f>
        <v>100</v>
      </c>
      <c r="I42" s="2410" t="s">
        <v>2899</v>
      </c>
      <c r="J42" s="415">
        <f>SUMIF(122:122,I42,123:123)-SUMIF(122:122,C42,123:123)+100</f>
        <v>100</v>
      </c>
      <c r="K42" s="406"/>
      <c r="L42" s="1253"/>
      <c r="M42" s="1244"/>
      <c r="N42" s="1244"/>
      <c r="O42" s="1244"/>
      <c r="P42" s="3073"/>
      <c r="Q42" s="1899" t="str">
        <f t="shared" si="8"/>
        <v>内部装修</v>
      </c>
      <c r="R42" s="753" t="s">
        <v>28</v>
      </c>
      <c r="S42" s="754">
        <f t="shared" si="9"/>
        <v>100</v>
      </c>
      <c r="T42" s="753" t="s">
        <v>28</v>
      </c>
      <c r="U42" s="754">
        <f t="shared" si="10"/>
        <v>100</v>
      </c>
      <c r="V42" s="753" t="s">
        <v>28</v>
      </c>
      <c r="W42" s="754">
        <f t="shared" si="11"/>
        <v>100</v>
      </c>
      <c r="X42" s="1900"/>
      <c r="Y42" s="3075"/>
      <c r="Z42" s="1902" t="str">
        <f t="shared" si="12"/>
        <v>内部装修</v>
      </c>
      <c r="AA42" s="1903">
        <f t="shared" si="3"/>
        <v>1</v>
      </c>
      <c r="AB42" s="1903">
        <f t="shared" si="4"/>
        <v>1</v>
      </c>
      <c r="AC42" s="1903">
        <f t="shared" si="5"/>
        <v>1</v>
      </c>
    </row>
    <row r="43" spans="1:29" ht="15">
      <c r="A43" s="453"/>
      <c r="B43" s="402"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73"/>
      <c r="Q43" s="1899" t="str">
        <f t="shared" si="8"/>
        <v>内部装修维护情况</v>
      </c>
      <c r="R43" s="753" t="s">
        <v>28</v>
      </c>
      <c r="S43" s="754">
        <f t="shared" si="9"/>
        <v>100</v>
      </c>
      <c r="T43" s="753" t="s">
        <v>28</v>
      </c>
      <c r="U43" s="754">
        <f t="shared" si="10"/>
        <v>100</v>
      </c>
      <c r="V43" s="753" t="s">
        <v>28</v>
      </c>
      <c r="W43" s="754">
        <f t="shared" si="11"/>
        <v>100</v>
      </c>
      <c r="X43" s="1900"/>
      <c r="Y43" s="3075"/>
      <c r="Z43" s="1902" t="str">
        <f t="shared" si="12"/>
        <v>内部装修维护情况</v>
      </c>
      <c r="AA43" s="1903">
        <f t="shared" si="3"/>
        <v>1</v>
      </c>
      <c r="AB43" s="1903">
        <f t="shared" si="4"/>
        <v>1</v>
      </c>
      <c r="AC43" s="1903">
        <f t="shared" si="5"/>
        <v>1</v>
      </c>
    </row>
    <row r="44" spans="1:29" s="35" customFormat="1" ht="15.75" thickBot="1">
      <c r="A44" s="454"/>
      <c r="B44" s="2756" t="s">
        <v>2863</v>
      </c>
      <c r="C44" s="450">
        <v>1999</v>
      </c>
      <c r="D44" s="52">
        <v>100</v>
      </c>
      <c r="E44" s="450">
        <v>1999</v>
      </c>
      <c r="F44" s="405">
        <f>SUMIF(126:126,E44,127:127)-SUMIF(126:126,C44,127:127)+100</f>
        <v>100</v>
      </c>
      <c r="G44" s="450">
        <v>1991</v>
      </c>
      <c r="H44" s="52">
        <f>SUMIF(126:126,G44,127:127)-SUMIF(126:126,C44,127:127)+100</f>
        <v>98.4</v>
      </c>
      <c r="I44" s="450">
        <v>1991</v>
      </c>
      <c r="J44" s="52">
        <f>SUMIF(126:126,I44,127:127)-SUMIF(126:126,C44,127:127)+100</f>
        <v>98.4</v>
      </c>
      <c r="K44" s="2400"/>
      <c r="L44" s="1245"/>
      <c r="M44" s="1246"/>
      <c r="N44" s="1246"/>
      <c r="O44" s="1246"/>
      <c r="P44" s="3073"/>
      <c r="Q44" s="1887" t="str">
        <f t="shared" si="8"/>
        <v>建成年代</v>
      </c>
      <c r="R44" s="749" t="s">
        <v>28</v>
      </c>
      <c r="S44" s="750">
        <f t="shared" si="9"/>
        <v>100</v>
      </c>
      <c r="T44" s="749" t="s">
        <v>28</v>
      </c>
      <c r="U44" s="750">
        <f t="shared" si="10"/>
        <v>98.4</v>
      </c>
      <c r="V44" s="749" t="s">
        <v>28</v>
      </c>
      <c r="W44" s="750">
        <f t="shared" si="11"/>
        <v>98.4</v>
      </c>
      <c r="X44" s="751"/>
      <c r="Y44" s="3075"/>
      <c r="Z44" s="23" t="str">
        <f t="shared" si="12"/>
        <v>建成年代</v>
      </c>
      <c r="AA44" s="752">
        <f t="shared" si="3"/>
        <v>1</v>
      </c>
      <c r="AB44" s="752">
        <f t="shared" si="4"/>
        <v>1.0162601626016259</v>
      </c>
      <c r="AC44" s="752">
        <f t="shared" si="5"/>
        <v>1.0162601626016259</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73"/>
      <c r="Q45" s="1899">
        <f t="shared" si="8"/>
        <v>111</v>
      </c>
      <c r="R45" s="753" t="s">
        <v>28</v>
      </c>
      <c r="S45" s="754">
        <f t="shared" si="9"/>
        <v>100</v>
      </c>
      <c r="T45" s="753" t="s">
        <v>28</v>
      </c>
      <c r="U45" s="754">
        <f t="shared" si="10"/>
        <v>100</v>
      </c>
      <c r="V45" s="753" t="s">
        <v>28</v>
      </c>
      <c r="W45" s="754">
        <f t="shared" si="11"/>
        <v>100</v>
      </c>
      <c r="X45" s="1900"/>
      <c r="Y45" s="3075"/>
      <c r="Z45" s="1902">
        <f t="shared" si="12"/>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74"/>
      <c r="Q46" s="1899">
        <f t="shared" si="8"/>
        <v>111</v>
      </c>
      <c r="R46" s="753" t="s">
        <v>27</v>
      </c>
      <c r="S46" s="754">
        <f t="shared" si="9"/>
        <v>100</v>
      </c>
      <c r="T46" s="753" t="s">
        <v>27</v>
      </c>
      <c r="U46" s="754">
        <f t="shared" si="10"/>
        <v>100</v>
      </c>
      <c r="V46" s="753" t="s">
        <v>27</v>
      </c>
      <c r="W46" s="754">
        <f t="shared" si="11"/>
        <v>100</v>
      </c>
      <c r="X46" s="1900"/>
      <c r="Y46" s="3076"/>
      <c r="Z46" s="1902">
        <f t="shared" si="12"/>
        <v>111</v>
      </c>
      <c r="AA46" s="1903">
        <f t="shared" si="3"/>
        <v>1</v>
      </c>
      <c r="AB46" s="1903">
        <f t="shared" si="4"/>
        <v>1</v>
      </c>
      <c r="AC46" s="1903">
        <f t="shared" si="5"/>
        <v>1</v>
      </c>
    </row>
    <row r="47" spans="1:29" ht="15">
      <c r="A47" s="460" t="s">
        <v>2384</v>
      </c>
      <c r="B47" s="461"/>
      <c r="C47" s="1502" t="s">
        <v>26</v>
      </c>
      <c r="D47" s="1503"/>
      <c r="E47" s="1504">
        <v>107426</v>
      </c>
      <c r="F47" s="1505"/>
      <c r="G47" s="1506">
        <v>104199</v>
      </c>
      <c r="H47" s="1507"/>
      <c r="I47" s="1504">
        <v>102850</v>
      </c>
      <c r="J47" s="1507"/>
      <c r="K47" s="2416"/>
      <c r="L47" s="1256"/>
      <c r="M47" s="1257"/>
      <c r="N47" s="1244"/>
      <c r="O47" s="1257"/>
      <c r="P47" s="3081" t="str">
        <f>A47</f>
        <v>成交单价（元/平方米）</v>
      </c>
      <c r="Q47" s="3081"/>
      <c r="R47" s="3082">
        <f>E47</f>
        <v>107426</v>
      </c>
      <c r="S47" s="3082"/>
      <c r="T47" s="3082">
        <f>G47</f>
        <v>104199</v>
      </c>
      <c r="U47" s="3082"/>
      <c r="V47" s="3082">
        <f>I47</f>
        <v>102850</v>
      </c>
      <c r="W47" s="3082"/>
      <c r="X47" s="738"/>
      <c r="Y47" s="760"/>
      <c r="Z47" s="738"/>
      <c r="AA47" s="738"/>
      <c r="AB47" s="738"/>
      <c r="AC47" s="738"/>
    </row>
    <row r="48" spans="1:29" ht="15.75" thickBot="1">
      <c r="A48" s="467" t="s">
        <v>2385</v>
      </c>
      <c r="B48" s="468"/>
      <c r="C48" s="1508">
        <f>R49</f>
        <v>106962</v>
      </c>
      <c r="D48" s="1509"/>
      <c r="E48" s="1510">
        <f>R48</f>
        <v>103813</v>
      </c>
      <c r="F48" s="1510"/>
      <c r="G48" s="1508">
        <f>T48</f>
        <v>110916</v>
      </c>
      <c r="H48" s="1509"/>
      <c r="I48" s="1510">
        <f>V48</f>
        <v>106157</v>
      </c>
      <c r="J48" s="1509"/>
      <c r="K48" s="2417"/>
      <c r="L48" s="1256"/>
      <c r="M48" s="1257"/>
      <c r="N48" s="1257"/>
      <c r="O48" s="1257"/>
      <c r="P48" s="3081" t="str">
        <f>A48</f>
        <v>比较价值（元/平方米）</v>
      </c>
      <c r="Q48" s="3081"/>
      <c r="R48" s="3082">
        <f>IF(E1="售价",ROUND(PRODUCT(R47,AA7:AA46),0),ROUND(PRODUCT(R47,AA7:AA46),1))</f>
        <v>103813</v>
      </c>
      <c r="S48" s="3082"/>
      <c r="T48" s="3085">
        <f>IF(E1="售价",ROUND(PRODUCT(T47,AB7:AB46),0),ROUND(PRODUCT(T47,AB7:AB46),1))</f>
        <v>110916</v>
      </c>
      <c r="U48" s="3086"/>
      <c r="V48" s="3082">
        <f>IF(E1="售价",ROUND(PRODUCT(V47,AC7:AC46),0),ROUND(PRODUCT(V47,AC7:AC46),1))</f>
        <v>106157</v>
      </c>
      <c r="W48" s="3082"/>
      <c r="X48" s="738"/>
      <c r="Y48" s="738"/>
      <c r="Z48" s="738"/>
      <c r="AA48" s="738"/>
      <c r="AB48" s="738"/>
      <c r="AC48" s="738"/>
    </row>
    <row r="49" spans="1:29" ht="15.75" thickBot="1">
      <c r="A49" s="473" t="s">
        <v>2386</v>
      </c>
      <c r="B49" s="474"/>
      <c r="C49" s="1511">
        <f>R49</f>
        <v>106962</v>
      </c>
      <c r="D49" s="1512"/>
      <c r="E49" s="1512"/>
      <c r="F49" s="1512"/>
      <c r="G49" s="1512"/>
      <c r="H49" s="1512"/>
      <c r="I49" s="1512"/>
      <c r="J49" s="1512"/>
      <c r="K49" s="2418"/>
      <c r="L49" s="1256"/>
      <c r="M49" s="1257"/>
      <c r="N49" s="1257"/>
      <c r="O49" s="1257"/>
      <c r="P49" s="3087" t="str">
        <f>A49</f>
        <v>估价对象XX用房的比较价值（楼面单价，元/平方米）</v>
      </c>
      <c r="Q49" s="3088"/>
      <c r="R49" s="3089">
        <f>IF(E1="售价",ROUND(AVERAGE(R48:V48),0),ROUND(AVERAGE(R48:V48),1))</f>
        <v>106962</v>
      </c>
      <c r="S49" s="3089"/>
      <c r="T49" s="3089"/>
      <c r="U49" s="3089"/>
      <c r="V49" s="3089"/>
      <c r="W49" s="308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3.4802963020045707E-2</v>
      </c>
      <c r="F52" s="481" t="str">
        <f>IF(OR(E52&gt;=0.3,E52&lt;=-0.3),"超过30%","")</f>
        <v/>
      </c>
      <c r="G52" s="480">
        <f>IF(G47&lt;G48,G48/G47-1,G47/G48-1)</f>
        <v>6.4463190625629885E-2</v>
      </c>
      <c r="H52" s="481" t="str">
        <f>IF(OR(G52&gt;=0.3,G52&lt;=-0.3),"超过30%","")</f>
        <v/>
      </c>
      <c r="I52" s="480">
        <f>IF(I47&lt;I48,I48/I47-1,I47/I48-1)</f>
        <v>3.2153621779290154E-2</v>
      </c>
      <c r="J52" s="481" t="str">
        <f>IF(OR(I52&gt;=0.3,I52&lt;=-0.3),"超过30%","")</f>
        <v/>
      </c>
      <c r="K52" s="1262"/>
      <c r="L52" s="1258"/>
      <c r="M52" s="1257"/>
      <c r="N52" s="1257"/>
      <c r="O52" s="1257"/>
    </row>
    <row r="53" spans="1:29" ht="13.5" customHeight="1">
      <c r="A53" s="1257"/>
      <c r="B53" s="1257"/>
      <c r="C53" s="478" t="s">
        <v>2388</v>
      </c>
      <c r="D53" s="482"/>
      <c r="E53" s="480">
        <f>IF(E48&lt;G48,G48/E48-1,E48/G48-1)</f>
        <v>6.8421103330026156E-2</v>
      </c>
      <c r="F53" s="481" t="str">
        <f>IF(OR(E53&gt;=0.2,E53&lt;=-0.2),"超过20%","")</f>
        <v/>
      </c>
      <c r="G53" s="480">
        <f>IF(G48&lt;I48,I48/G48-1,G48/I48-1)</f>
        <v>4.482982751961706E-2</v>
      </c>
      <c r="H53" s="481" t="str">
        <f>IF(OR(G53&gt;=0.2,G53&lt;=-0.2),"超过20%","")</f>
        <v/>
      </c>
      <c r="I53" s="480">
        <f>IF(I48&lt;E48,E48/I48-1,I48/E48-1)</f>
        <v>2.2579060425958142E-2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3.0969587040182711E-2</v>
      </c>
      <c r="F54" s="481" t="str">
        <f>IF(OR(E54&gt;=0.3,E54&lt;=-0.3),"超过30%","")</f>
        <v/>
      </c>
      <c r="G54" s="480">
        <f>IF(G47&lt;I47,I47/G47-1,G47/I47-1)</f>
        <v>1.3116188624209935E-2</v>
      </c>
      <c r="H54" s="481" t="str">
        <f>IF(OR(G54&gt;=0.3,G54&lt;=-0.3),"超过30%","")</f>
        <v/>
      </c>
      <c r="I54" s="480">
        <f>IF(I47&lt;E47,E47/I47-1,I47/E47-1)</f>
        <v>4.4491978609625615E-2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8" t="str">
        <f>YEAR(C7)&amp;"-"&amp;MONTH(C7)</f>
        <v>2018-8</v>
      </c>
      <c r="D58" s="1679">
        <f>EDATE(C58,-1)</f>
        <v>43282</v>
      </c>
      <c r="E58" s="1679">
        <f t="shared" ref="E58:O58" si="13">EDATE(D58,-1)</f>
        <v>43252</v>
      </c>
      <c r="F58" s="1679">
        <f t="shared" si="13"/>
        <v>43221</v>
      </c>
      <c r="G58" s="1679">
        <f t="shared" si="13"/>
        <v>43191</v>
      </c>
      <c r="H58" s="1679">
        <f t="shared" si="13"/>
        <v>43160</v>
      </c>
      <c r="I58" s="1679">
        <f t="shared" si="13"/>
        <v>43132</v>
      </c>
      <c r="J58" s="1679">
        <f t="shared" si="13"/>
        <v>43101</v>
      </c>
      <c r="K58" s="1679">
        <f t="shared" si="13"/>
        <v>43070</v>
      </c>
      <c r="L58" s="1679">
        <f t="shared" si="13"/>
        <v>43040</v>
      </c>
      <c r="M58" s="1679">
        <f t="shared" si="13"/>
        <v>43009</v>
      </c>
      <c r="N58" s="1679">
        <f t="shared" si="13"/>
        <v>42979</v>
      </c>
      <c r="O58" s="1679">
        <f t="shared" si="13"/>
        <v>42948</v>
      </c>
      <c r="P58" s="2422"/>
    </row>
    <row r="59" spans="1:29" s="35" customFormat="1" ht="15">
      <c r="A59" s="490"/>
      <c r="B59" s="491"/>
      <c r="C59" s="623">
        <v>100</v>
      </c>
      <c r="D59" s="493">
        <v>99.5</v>
      </c>
      <c r="E59" s="493">
        <v>99</v>
      </c>
      <c r="F59" s="493">
        <v>98.5</v>
      </c>
      <c r="G59" s="493">
        <v>98</v>
      </c>
      <c r="H59" s="493">
        <v>97.5</v>
      </c>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8"/>
      <c r="O66" s="1268"/>
      <c r="P66" s="2425"/>
      <c r="Q66" s="485"/>
    </row>
    <row r="67" spans="1:17" ht="15.75" thickTop="1">
      <c r="A67" s="516"/>
      <c r="B67" s="529" t="s">
        <v>2364</v>
      </c>
      <c r="C67" s="530" t="str">
        <f>C68&amp;"（含）"&amp;"-"&amp;D68</f>
        <v>1（含）-</v>
      </c>
      <c r="D67" s="530" t="str">
        <f t="shared" ref="D67:L67" si="15">D68&amp;"（含）"&amp;"-"&amp;E68</f>
        <v>（含）-</v>
      </c>
      <c r="E67" s="530" t="str">
        <f t="shared" si="15"/>
        <v>（含）-</v>
      </c>
      <c r="F67" s="530" t="str">
        <f t="shared" si="15"/>
        <v>（含）-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25"/>
      <c r="Q87" s="485"/>
    </row>
    <row r="88" spans="1:17" s="35" customFormat="1" ht="15.75" thickTop="1">
      <c r="A88" s="563"/>
      <c r="B88" s="521" t="s">
        <v>2418</v>
      </c>
      <c r="C88" s="2760" t="s">
        <v>2867</v>
      </c>
      <c r="D88" s="2760" t="s">
        <v>2868</v>
      </c>
      <c r="E88" s="2760" t="s">
        <v>2869</v>
      </c>
      <c r="F88" s="2760" t="s">
        <v>2870</v>
      </c>
      <c r="G88" s="2760" t="s">
        <v>2871</v>
      </c>
      <c r="H88" s="2760" t="s">
        <v>2872</v>
      </c>
      <c r="I88" s="537"/>
      <c r="J88" s="537"/>
      <c r="K88" s="537"/>
      <c r="L88" s="537"/>
      <c r="M88" s="565"/>
      <c r="N88" s="1266"/>
      <c r="O88" s="1266"/>
      <c r="P88" s="2425"/>
      <c r="Q88" s="485"/>
    </row>
    <row r="89" spans="1:17" s="35" customFormat="1" ht="15.75" thickBot="1">
      <c r="A89" s="563"/>
      <c r="B89" s="526"/>
      <c r="C89" s="566">
        <v>100</v>
      </c>
      <c r="D89" s="527">
        <f t="shared" ref="D89:M89" si="18">C89-$K26</f>
        <v>98</v>
      </c>
      <c r="E89" s="527">
        <f t="shared" si="18"/>
        <v>96</v>
      </c>
      <c r="F89" s="527">
        <f t="shared" si="18"/>
        <v>94</v>
      </c>
      <c r="G89" s="527">
        <f t="shared" si="18"/>
        <v>92</v>
      </c>
      <c r="H89" s="527">
        <f t="shared" si="18"/>
        <v>90</v>
      </c>
      <c r="I89" s="527">
        <f t="shared" si="18"/>
        <v>88</v>
      </c>
      <c r="J89" s="527">
        <f t="shared" si="18"/>
        <v>86</v>
      </c>
      <c r="K89" s="527">
        <f t="shared" si="18"/>
        <v>84</v>
      </c>
      <c r="L89" s="527">
        <f t="shared" si="18"/>
        <v>82</v>
      </c>
      <c r="M89" s="527">
        <f t="shared" si="18"/>
        <v>80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2769" t="s">
        <v>2895</v>
      </c>
      <c r="D92" s="414" t="s">
        <v>2897</v>
      </c>
      <c r="E92" s="414" t="s">
        <v>2898</v>
      </c>
      <c r="F92" s="414" t="s">
        <v>2889</v>
      </c>
      <c r="G92" s="567"/>
      <c r="H92" s="567"/>
      <c r="I92" s="567"/>
      <c r="J92" s="567"/>
      <c r="K92" s="568"/>
      <c r="L92" s="569"/>
      <c r="M92" s="570"/>
      <c r="N92" s="1267"/>
      <c r="O92" s="1267"/>
      <c r="P92" s="2425"/>
      <c r="Q92" s="485"/>
    </row>
    <row r="93" spans="1:17" ht="15.75" thickBot="1">
      <c r="A93" s="516"/>
      <c r="B93" s="526"/>
      <c r="C93" s="544">
        <v>100</v>
      </c>
      <c r="D93" s="518">
        <v>100</v>
      </c>
      <c r="E93" s="518">
        <v>96</v>
      </c>
      <c r="F93" s="518">
        <v>98</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2761" t="s">
        <v>2873</v>
      </c>
      <c r="D100" s="2761" t="s">
        <v>2874</v>
      </c>
      <c r="E100" s="2761" t="s">
        <v>2875</v>
      </c>
      <c r="F100" s="2761" t="s">
        <v>2876</v>
      </c>
      <c r="G100" s="511"/>
      <c r="H100" s="511"/>
      <c r="I100" s="511"/>
      <c r="J100" s="511"/>
      <c r="K100" s="512"/>
      <c r="L100" s="513"/>
      <c r="M100" s="514"/>
      <c r="N100" s="1267"/>
      <c r="O100" s="1267"/>
      <c r="P100" s="2425"/>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8"/>
      <c r="O101" s="1268"/>
      <c r="P101" s="2425"/>
      <c r="Q101" s="485"/>
    </row>
    <row r="102" spans="1:17" ht="15.75" thickTop="1">
      <c r="A102" s="516"/>
      <c r="B102" s="521" t="s">
        <v>2420</v>
      </c>
      <c r="C102" s="562" t="str">
        <f>C103&amp;"(含)"&amp;"-"&amp;D103</f>
        <v>1(含)-</v>
      </c>
      <c r="D102" s="562" t="str">
        <f t="shared" ref="D102:L102" si="20">D103&amp;"(含)"&amp;"-"&amp;E103</f>
        <v>(含)-</v>
      </c>
      <c r="E102" s="562" t="str">
        <f t="shared" si="20"/>
        <v>(含)-</v>
      </c>
      <c r="F102" s="562" t="str">
        <f t="shared" si="20"/>
        <v>(含)-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6"/>
      <c r="O102" s="1266"/>
      <c r="P102" s="2425"/>
      <c r="Q102" s="485"/>
    </row>
    <row r="103" spans="1:17" s="452" customFormat="1">
      <c r="A103" s="577"/>
      <c r="B103" s="578"/>
      <c r="C103" s="579">
        <v>1</v>
      </c>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2421</v>
      </c>
      <c r="C105" s="2760" t="s">
        <v>2877</v>
      </c>
      <c r="D105" s="2760" t="s">
        <v>2878</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8"/>
      <c r="O108" s="1268"/>
      <c r="P108" s="2425"/>
      <c r="Q108" s="485"/>
    </row>
    <row r="109" spans="1:17" ht="15" thickTop="1">
      <c r="A109" s="583"/>
      <c r="B109" s="521" t="s">
        <v>2423</v>
      </c>
      <c r="C109" s="2760" t="s">
        <v>2879</v>
      </c>
      <c r="D109" s="2760" t="s">
        <v>2880</v>
      </c>
      <c r="E109" s="2760" t="s">
        <v>2881</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2425</v>
      </c>
      <c r="C114" s="2762" t="s">
        <v>2882</v>
      </c>
      <c r="D114" s="2760" t="s">
        <v>2883</v>
      </c>
      <c r="E114" s="2760" t="s">
        <v>2884</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8"/>
      <c r="O115" s="1268"/>
      <c r="P115" s="2425"/>
      <c r="Q115" s="485"/>
    </row>
    <row r="116" spans="1:17" ht="15" thickTop="1">
      <c r="A116" s="583"/>
      <c r="B116" s="521" t="s">
        <v>2426</v>
      </c>
      <c r="C116" s="2763" t="s">
        <v>2885</v>
      </c>
      <c r="D116" s="2763" t="s">
        <v>2886</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2764" t="s">
        <v>2887</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2760" t="s">
        <v>2879</v>
      </c>
      <c r="D122" s="2760" t="s">
        <v>2880</v>
      </c>
      <c r="E122" s="2760" t="s">
        <v>2881</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1991</v>
      </c>
      <c r="D126" s="537">
        <v>1992</v>
      </c>
      <c r="E126" s="537">
        <v>1993</v>
      </c>
      <c r="F126" s="537">
        <v>1994</v>
      </c>
      <c r="G126" s="537">
        <v>1995</v>
      </c>
      <c r="H126" s="538">
        <v>1996</v>
      </c>
      <c r="I126" s="538">
        <v>1997</v>
      </c>
      <c r="J126" s="538">
        <v>1998</v>
      </c>
      <c r="K126" s="538">
        <v>1999</v>
      </c>
      <c r="L126" s="539"/>
      <c r="M126" s="540"/>
      <c r="N126" s="1269"/>
      <c r="O126" s="1269"/>
      <c r="P126" s="2426"/>
      <c r="Q126" s="543"/>
    </row>
    <row r="127" spans="1:17" s="452" customFormat="1" ht="15.75" thickBot="1">
      <c r="A127" s="536"/>
      <c r="B127" s="526"/>
      <c r="C127" s="544">
        <v>100</v>
      </c>
      <c r="D127" s="518">
        <v>100.2</v>
      </c>
      <c r="E127" s="518">
        <v>100.4</v>
      </c>
      <c r="F127" s="518">
        <v>100.6</v>
      </c>
      <c r="G127" s="544">
        <v>100.8</v>
      </c>
      <c r="H127" s="546">
        <v>101</v>
      </c>
      <c r="I127" s="546">
        <v>101.2</v>
      </c>
      <c r="J127" s="546">
        <v>101.4</v>
      </c>
      <c r="K127" s="546">
        <v>101.6</v>
      </c>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2"/>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2340</v>
      </c>
      <c r="D3" s="378">
        <f>IF(C1="仅计算典型户型",'数据-取费表'!E5,'数据-取费表'!B5)</f>
        <v>66.209999999999994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55" t="s">
        <v>2343</v>
      </c>
      <c r="S4" s="3056"/>
      <c r="T4" s="3055" t="s">
        <v>2344</v>
      </c>
      <c r="U4" s="3056"/>
      <c r="V4" s="3061" t="s">
        <v>2345</v>
      </c>
      <c r="W4" s="3061"/>
      <c r="X4" s="1900"/>
      <c r="Y4" s="3055" t="s">
        <v>2347</v>
      </c>
      <c r="Z4" s="3056"/>
      <c r="AA4" s="3042" t="s">
        <v>2343</v>
      </c>
      <c r="AB4" s="3061" t="s">
        <v>2344</v>
      </c>
      <c r="AC4" s="3042" t="s">
        <v>2345</v>
      </c>
    </row>
    <row r="5" spans="1:29" ht="15">
      <c r="A5" s="383"/>
      <c r="B5" s="384"/>
      <c r="C5" s="3090" t="s">
        <v>2348</v>
      </c>
      <c r="D5" s="3065"/>
      <c r="E5" s="3091" t="s">
        <v>2349</v>
      </c>
      <c r="F5" s="3063"/>
      <c r="G5" s="3090" t="s">
        <v>2350</v>
      </c>
      <c r="H5" s="3065"/>
      <c r="I5" s="3090" t="s">
        <v>2351</v>
      </c>
      <c r="J5" s="3065"/>
      <c r="K5" s="594"/>
      <c r="L5" s="1243"/>
      <c r="M5" s="1244"/>
      <c r="N5" s="1244"/>
      <c r="O5" s="1244"/>
      <c r="P5" s="3051"/>
      <c r="Q5" s="3052"/>
      <c r="R5" s="3057"/>
      <c r="S5" s="3058"/>
      <c r="T5" s="3057"/>
      <c r="U5" s="3058"/>
      <c r="V5" s="3061"/>
      <c r="W5" s="3061"/>
      <c r="X5" s="1900"/>
      <c r="Y5" s="3057"/>
      <c r="Z5" s="3058"/>
      <c r="AA5" s="3043"/>
      <c r="AB5" s="3061"/>
      <c r="AC5" s="3043"/>
    </row>
    <row r="6" spans="1:29" ht="15.75" thickBot="1">
      <c r="A6" s="385"/>
      <c r="B6" s="386"/>
      <c r="C6" s="3066" t="s">
        <v>2352</v>
      </c>
      <c r="D6" s="3067"/>
      <c r="E6" s="3068" t="s">
        <v>2352</v>
      </c>
      <c r="F6" s="3069"/>
      <c r="G6" s="3066" t="s">
        <v>2352</v>
      </c>
      <c r="H6" s="3067"/>
      <c r="I6" s="3066" t="s">
        <v>2352</v>
      </c>
      <c r="J6" s="3067"/>
      <c r="K6" s="594" t="s">
        <v>2353</v>
      </c>
      <c r="L6" s="1243"/>
      <c r="M6" s="1244"/>
      <c r="N6" s="1244"/>
      <c r="O6" s="1244"/>
      <c r="P6" s="3053"/>
      <c r="Q6" s="3054"/>
      <c r="R6" s="3057"/>
      <c r="S6" s="3058"/>
      <c r="T6" s="3059"/>
      <c r="U6" s="3060"/>
      <c r="V6" s="3061"/>
      <c r="W6" s="3061"/>
      <c r="X6" s="1900"/>
      <c r="Y6" s="3059"/>
      <c r="Z6" s="3060"/>
      <c r="AA6" s="3044"/>
      <c r="AB6" s="3061"/>
      <c r="AC6" s="3044"/>
    </row>
    <row r="7" spans="1:29" s="35" customFormat="1" ht="15.75" thickBot="1">
      <c r="A7" s="387" t="s">
        <v>2354</v>
      </c>
      <c r="B7" s="388"/>
      <c r="C7" s="389">
        <f>'数据-取费表'!B2</f>
        <v>43339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7" t="s">
        <v>2355</v>
      </c>
      <c r="Q7" s="3079"/>
      <c r="R7" s="749" t="s">
        <v>25</v>
      </c>
      <c r="S7" s="750">
        <f t="shared" ref="S7:S15" si="0">F7</f>
        <v>0</v>
      </c>
      <c r="T7" s="749" t="s">
        <v>25</v>
      </c>
      <c r="U7" s="750">
        <f t="shared" ref="U7:U15" si="1">H7</f>
        <v>0</v>
      </c>
      <c r="V7" s="749" t="s">
        <v>25</v>
      </c>
      <c r="W7" s="750">
        <f t="shared" ref="W7:W15" si="2">J7</f>
        <v>0</v>
      </c>
      <c r="X7" s="751"/>
      <c r="Y7" s="3077" t="s">
        <v>2355</v>
      </c>
      <c r="Z7" s="307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7" t="s">
        <v>2358</v>
      </c>
      <c r="Q8" s="3078"/>
      <c r="R8" s="749" t="s">
        <v>25</v>
      </c>
      <c r="S8" s="750">
        <f t="shared" si="0"/>
        <v>0</v>
      </c>
      <c r="T8" s="749" t="s">
        <v>25</v>
      </c>
      <c r="U8" s="750">
        <f t="shared" si="1"/>
        <v>0</v>
      </c>
      <c r="V8" s="749" t="s">
        <v>25</v>
      </c>
      <c r="W8" s="750">
        <f t="shared" si="2"/>
        <v>0</v>
      </c>
      <c r="X8" s="751"/>
      <c r="Y8" s="3077" t="s">
        <v>2358</v>
      </c>
      <c r="Z8" s="307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80" t="s">
        <v>2361</v>
      </c>
      <c r="Q9" s="1887" t="str">
        <f t="shared" ref="Q9:Q15" si="6">B9</f>
        <v>用途</v>
      </c>
      <c r="R9" s="749" t="s">
        <v>25</v>
      </c>
      <c r="S9" s="750">
        <f t="shared" si="0"/>
        <v>100</v>
      </c>
      <c r="T9" s="749" t="s">
        <v>25</v>
      </c>
      <c r="U9" s="750">
        <f t="shared" si="1"/>
        <v>100</v>
      </c>
      <c r="V9" s="749" t="s">
        <v>25</v>
      </c>
      <c r="W9" s="750">
        <f t="shared" si="2"/>
        <v>100</v>
      </c>
      <c r="X9" s="751"/>
      <c r="Y9" s="289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80"/>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80"/>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80"/>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80"/>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80"/>
      <c r="Q14" s="188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2365</v>
      </c>
      <c r="B15" s="26" t="s">
        <v>2451</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83" t="s">
        <v>2366</v>
      </c>
      <c r="Q15" s="1899" t="str">
        <f t="shared" si="6"/>
        <v>商业繁华度</v>
      </c>
      <c r="R15" s="753" t="s">
        <v>25</v>
      </c>
      <c r="S15" s="754">
        <f t="shared" si="0"/>
        <v>100</v>
      </c>
      <c r="T15" s="753" t="s">
        <v>25</v>
      </c>
      <c r="U15" s="754">
        <f t="shared" si="1"/>
        <v>100</v>
      </c>
      <c r="V15" s="753" t="s">
        <v>25</v>
      </c>
      <c r="W15" s="754">
        <f t="shared" si="2"/>
        <v>100</v>
      </c>
      <c r="X15" s="1900"/>
      <c r="Y15" s="3070"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84"/>
      <c r="Q16" s="1899"/>
      <c r="R16" s="753"/>
      <c r="S16" s="754"/>
      <c r="T16" s="753"/>
      <c r="U16" s="754"/>
      <c r="V16" s="753"/>
      <c r="W16" s="754"/>
      <c r="X16" s="1900"/>
      <c r="Y16" s="3071"/>
      <c r="Z16" s="1902"/>
      <c r="AA16" s="1903">
        <v>1</v>
      </c>
      <c r="AB16" s="1903">
        <v>1</v>
      </c>
      <c r="AC16" s="1903">
        <v>1</v>
      </c>
    </row>
    <row r="17" spans="1:29" ht="128.25">
      <c r="A17" s="408"/>
      <c r="B17" s="431" t="s">
        <v>1751</v>
      </c>
      <c r="C17" s="2406" t="str">
        <f>估价对象房地状况!C6</f>
        <v>估价对象紧邻城市次干道—太平街，有14路、40路、66路、70路等多条公交线路及地铁4号线（陶然亭站）通过，交通便捷度较好。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84"/>
      <c r="Q17" s="1899" t="str">
        <f>B17</f>
        <v>交通便捷度</v>
      </c>
      <c r="R17" s="753" t="s">
        <v>25</v>
      </c>
      <c r="S17" s="754">
        <f>F17</f>
        <v>100</v>
      </c>
      <c r="T17" s="753" t="s">
        <v>25</v>
      </c>
      <c r="U17" s="754">
        <f>H17</f>
        <v>100</v>
      </c>
      <c r="V17" s="753" t="s">
        <v>25</v>
      </c>
      <c r="W17" s="754">
        <f>J17</f>
        <v>100</v>
      </c>
      <c r="X17" s="1900"/>
      <c r="Y17" s="3071"/>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84"/>
      <c r="Q18" s="1899"/>
      <c r="R18" s="753"/>
      <c r="S18" s="754"/>
      <c r="T18" s="753"/>
      <c r="U18" s="754"/>
      <c r="V18" s="753"/>
      <c r="W18" s="754"/>
      <c r="X18" s="1900"/>
      <c r="Y18" s="3071"/>
      <c r="Z18" s="1902"/>
      <c r="AA18" s="1903">
        <v>1</v>
      </c>
      <c r="AB18" s="1903">
        <v>1</v>
      </c>
      <c r="AC18" s="1903">
        <v>1</v>
      </c>
    </row>
    <row r="19" spans="1:29" ht="42.75">
      <c r="A19" s="408"/>
      <c r="B19" s="431" t="s">
        <v>2452</v>
      </c>
      <c r="C19" s="2406"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84"/>
      <c r="Q19" s="1899" t="str">
        <f>B19</f>
        <v>公共配套设施</v>
      </c>
      <c r="R19" s="753" t="s">
        <v>25</v>
      </c>
      <c r="S19" s="754">
        <f>F19</f>
        <v>100</v>
      </c>
      <c r="T19" s="753" t="s">
        <v>25</v>
      </c>
      <c r="U19" s="754">
        <f>H19</f>
        <v>100</v>
      </c>
      <c r="V19" s="753" t="s">
        <v>25</v>
      </c>
      <c r="W19" s="754">
        <f>J19</f>
        <v>100</v>
      </c>
      <c r="X19" s="1900"/>
      <c r="Y19" s="3071"/>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84"/>
      <c r="Q20" s="1899"/>
      <c r="R20" s="753"/>
      <c r="S20" s="754"/>
      <c r="T20" s="753"/>
      <c r="U20" s="754"/>
      <c r="V20" s="753"/>
      <c r="W20" s="754"/>
      <c r="X20" s="1900"/>
      <c r="Y20" s="3071"/>
      <c r="Z20" s="1902"/>
      <c r="AA20" s="1903">
        <v>1</v>
      </c>
      <c r="AB20" s="1903">
        <v>1</v>
      </c>
      <c r="AC20" s="1903">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84"/>
      <c r="Q21" s="1899" t="str">
        <f>B21</f>
        <v>基础设施水平</v>
      </c>
      <c r="R21" s="753" t="s">
        <v>25</v>
      </c>
      <c r="S21" s="754">
        <f>F21</f>
        <v>100</v>
      </c>
      <c r="T21" s="753" t="s">
        <v>25</v>
      </c>
      <c r="U21" s="754">
        <f>H21</f>
        <v>100</v>
      </c>
      <c r="V21" s="753" t="s">
        <v>25</v>
      </c>
      <c r="W21" s="754">
        <f>J21</f>
        <v>100</v>
      </c>
      <c r="X21" s="1900"/>
      <c r="Y21" s="3071"/>
      <c r="Z21" s="1902" t="str">
        <f>Q21</f>
        <v>基础设施水平</v>
      </c>
      <c r="AA21" s="1903">
        <f>D21/F21</f>
        <v>1</v>
      </c>
      <c r="AB21" s="1903">
        <f>D21/H21</f>
        <v>1</v>
      </c>
      <c r="AC21" s="1903">
        <f>D21/J21</f>
        <v>1</v>
      </c>
    </row>
    <row r="22" spans="1:29" ht="15">
      <c r="A22" s="408"/>
      <c r="B22" s="2408"/>
      <c r="C22" s="437"/>
      <c r="D22" s="427"/>
      <c r="E22" s="426"/>
      <c r="F22" s="429"/>
      <c r="G22" s="426"/>
      <c r="H22" s="427"/>
      <c r="I22" s="426"/>
      <c r="J22" s="427"/>
      <c r="K22" s="1469"/>
      <c r="L22" s="1253"/>
      <c r="M22" s="1244"/>
      <c r="N22" s="1244"/>
      <c r="O22" s="1244"/>
      <c r="P22" s="3084"/>
      <c r="Q22" s="1899"/>
      <c r="R22" s="753"/>
      <c r="S22" s="754"/>
      <c r="T22" s="753"/>
      <c r="U22" s="754"/>
      <c r="V22" s="753"/>
      <c r="W22" s="754"/>
      <c r="X22" s="1900"/>
      <c r="Y22" s="3071"/>
      <c r="Z22" s="1902"/>
      <c r="AA22" s="1903">
        <v>1</v>
      </c>
      <c r="AB22" s="1903">
        <v>1</v>
      </c>
      <c r="AC22" s="1903">
        <v>1</v>
      </c>
    </row>
    <row r="23" spans="1:29" ht="156.75">
      <c r="A23" s="408"/>
      <c r="B23" s="431" t="s">
        <v>1756</v>
      </c>
      <c r="C23" s="2456" t="str">
        <f>估价对象房地状况!C9</f>
        <v>区域自然环境：陶然亭公园、天坛公园、永定门公园、护城河；人文环境：自然博物馆、北京古代建筑博物馆、中国盲文博物馆、北京先农坛体育场；综合评价环境状况好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84"/>
      <c r="Q23" s="1899" t="str">
        <f>B23</f>
        <v>自然及人文环境</v>
      </c>
      <c r="R23" s="753" t="s">
        <v>25</v>
      </c>
      <c r="S23" s="754">
        <f>F23</f>
        <v>100</v>
      </c>
      <c r="T23" s="753" t="s">
        <v>25</v>
      </c>
      <c r="U23" s="754">
        <f>H23</f>
        <v>100</v>
      </c>
      <c r="V23" s="753" t="s">
        <v>25</v>
      </c>
      <c r="W23" s="754">
        <f>J23</f>
        <v>100</v>
      </c>
      <c r="X23" s="1900"/>
      <c r="Y23" s="3071"/>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84"/>
      <c r="Q24" s="1899"/>
      <c r="R24" s="753"/>
      <c r="S24" s="754"/>
      <c r="T24" s="753"/>
      <c r="U24" s="754"/>
      <c r="V24" s="753"/>
      <c r="W24" s="754"/>
      <c r="X24" s="1900"/>
      <c r="Y24" s="3071"/>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84"/>
      <c r="Q25" s="1899" t="str">
        <f t="shared" ref="Q25:Q46" si="8">B25</f>
        <v>临街状况</v>
      </c>
      <c r="R25" s="753" t="s">
        <v>25</v>
      </c>
      <c r="S25" s="754">
        <f>F25</f>
        <v>100</v>
      </c>
      <c r="T25" s="753" t="s">
        <v>25</v>
      </c>
      <c r="U25" s="754">
        <f>H25</f>
        <v>100</v>
      </c>
      <c r="V25" s="753" t="s">
        <v>25</v>
      </c>
      <c r="W25" s="754">
        <f>J25</f>
        <v>100</v>
      </c>
      <c r="X25" s="1900"/>
      <c r="Y25" s="3071"/>
      <c r="Z25" s="1902" t="str">
        <f>Q25</f>
        <v>临街状况</v>
      </c>
      <c r="AA25" s="1903">
        <f t="shared" si="3"/>
        <v>1</v>
      </c>
      <c r="AB25" s="1903">
        <f t="shared" si="4"/>
        <v>1</v>
      </c>
      <c r="AC25" s="1903">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84"/>
      <c r="Q26" s="1899" t="str">
        <f t="shared" si="8"/>
        <v>平面位置/可视性</v>
      </c>
      <c r="R26" s="753" t="s">
        <v>25</v>
      </c>
      <c r="S26" s="754">
        <f>F26</f>
        <v>100</v>
      </c>
      <c r="T26" s="753" t="s">
        <v>25</v>
      </c>
      <c r="U26" s="754">
        <f>H26</f>
        <v>100</v>
      </c>
      <c r="V26" s="753" t="s">
        <v>25</v>
      </c>
      <c r="W26" s="754">
        <f>J26</f>
        <v>100</v>
      </c>
      <c r="X26" s="1900"/>
      <c r="Y26" s="3071"/>
      <c r="Z26" s="1902" t="str">
        <f>Q26</f>
        <v>平面位置/可视性</v>
      </c>
      <c r="AA26" s="1903">
        <f t="shared" si="3"/>
        <v>1</v>
      </c>
      <c r="AB26" s="1903">
        <f t="shared" si="4"/>
        <v>1</v>
      </c>
      <c r="AC26" s="1903">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84"/>
      <c r="Q27" s="1887" t="str">
        <f t="shared" si="8"/>
        <v>人流量</v>
      </c>
      <c r="R27" s="749" t="s">
        <v>25</v>
      </c>
      <c r="S27" s="750">
        <f>F27</f>
        <v>100</v>
      </c>
      <c r="T27" s="749" t="s">
        <v>25</v>
      </c>
      <c r="U27" s="750">
        <f>H27</f>
        <v>100</v>
      </c>
      <c r="V27" s="749" t="s">
        <v>25</v>
      </c>
      <c r="W27" s="750">
        <f>J27</f>
        <v>100</v>
      </c>
      <c r="X27" s="751"/>
      <c r="Y27" s="3071"/>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84"/>
      <c r="Q28" s="1899" t="str">
        <f t="shared" si="8"/>
        <v>楼层</v>
      </c>
      <c r="R28" s="753" t="s">
        <v>25</v>
      </c>
      <c r="S28" s="754">
        <f t="shared" ref="S28:S46" si="9">F28</f>
        <v>100</v>
      </c>
      <c r="T28" s="753" t="s">
        <v>25</v>
      </c>
      <c r="U28" s="754">
        <f t="shared" ref="U28:U46" si="10">H28</f>
        <v>100</v>
      </c>
      <c r="V28" s="753" t="s">
        <v>25</v>
      </c>
      <c r="W28" s="754">
        <f t="shared" ref="W28:W46" si="11">J28</f>
        <v>100</v>
      </c>
      <c r="X28" s="1900"/>
      <c r="Y28" s="3071"/>
      <c r="Z28" s="1902" t="str">
        <f t="shared" ref="Z28:Z46" si="12">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84"/>
      <c r="Q29" s="1899">
        <f t="shared" si="8"/>
        <v>111</v>
      </c>
      <c r="R29" s="753" t="s">
        <v>25</v>
      </c>
      <c r="S29" s="754">
        <f t="shared" si="9"/>
        <v>100</v>
      </c>
      <c r="T29" s="753" t="s">
        <v>25</v>
      </c>
      <c r="U29" s="754">
        <f t="shared" si="10"/>
        <v>100</v>
      </c>
      <c r="V29" s="753" t="s">
        <v>25</v>
      </c>
      <c r="W29" s="754">
        <f t="shared" si="11"/>
        <v>100</v>
      </c>
      <c r="X29" s="1900"/>
      <c r="Y29" s="3071"/>
      <c r="Z29" s="1902">
        <f t="shared" si="12"/>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84"/>
      <c r="Q30" s="1899">
        <f t="shared" si="8"/>
        <v>111</v>
      </c>
      <c r="R30" s="753" t="s">
        <v>25</v>
      </c>
      <c r="S30" s="754">
        <f t="shared" si="9"/>
        <v>100</v>
      </c>
      <c r="T30" s="753" t="s">
        <v>25</v>
      </c>
      <c r="U30" s="754">
        <f t="shared" si="10"/>
        <v>100</v>
      </c>
      <c r="V30" s="753" t="s">
        <v>25</v>
      </c>
      <c r="W30" s="754">
        <f t="shared" si="11"/>
        <v>100</v>
      </c>
      <c r="X30" s="1900"/>
      <c r="Y30" s="3071"/>
      <c r="Z30" s="1902">
        <f t="shared" si="12"/>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84"/>
      <c r="Q31" s="1899">
        <f t="shared" si="8"/>
        <v>111</v>
      </c>
      <c r="R31" s="753" t="s">
        <v>25</v>
      </c>
      <c r="S31" s="754">
        <f t="shared" si="9"/>
        <v>100</v>
      </c>
      <c r="T31" s="753" t="s">
        <v>25</v>
      </c>
      <c r="U31" s="754">
        <f t="shared" si="10"/>
        <v>100</v>
      </c>
      <c r="V31" s="753" t="s">
        <v>25</v>
      </c>
      <c r="W31" s="754">
        <f t="shared" si="11"/>
        <v>100</v>
      </c>
      <c r="X31" s="1900"/>
      <c r="Y31" s="3071"/>
      <c r="Z31" s="1902">
        <f t="shared" si="12"/>
        <v>111</v>
      </c>
      <c r="AA31" s="1903">
        <f t="shared" si="3"/>
        <v>1</v>
      </c>
      <c r="AB31" s="1903">
        <f t="shared" si="4"/>
        <v>1</v>
      </c>
      <c r="AC31" s="1903">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72" t="s">
        <v>2372</v>
      </c>
      <c r="Q32" s="1899" t="str">
        <f t="shared" si="8"/>
        <v>商业类型</v>
      </c>
      <c r="R32" s="753" t="s">
        <v>25</v>
      </c>
      <c r="S32" s="754">
        <f t="shared" si="9"/>
        <v>100</v>
      </c>
      <c r="T32" s="753" t="s">
        <v>25</v>
      </c>
      <c r="U32" s="754">
        <f t="shared" si="10"/>
        <v>100</v>
      </c>
      <c r="V32" s="753" t="s">
        <v>25</v>
      </c>
      <c r="W32" s="754">
        <f t="shared" si="11"/>
        <v>100</v>
      </c>
      <c r="X32" s="1900"/>
      <c r="Y32" s="3075" t="s">
        <v>2372</v>
      </c>
      <c r="Z32" s="1902" t="str">
        <f t="shared" si="12"/>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73"/>
      <c r="Q33" s="755" t="str">
        <f t="shared" si="8"/>
        <v>项目建筑规模</v>
      </c>
      <c r="R33" s="756" t="s">
        <v>25</v>
      </c>
      <c r="S33" s="757" t="e">
        <f t="shared" si="9"/>
        <v>#N/A</v>
      </c>
      <c r="T33" s="756" t="s">
        <v>25</v>
      </c>
      <c r="U33" s="757" t="e">
        <f t="shared" si="10"/>
        <v>#N/A</v>
      </c>
      <c r="V33" s="756" t="s">
        <v>25</v>
      </c>
      <c r="W33" s="757" t="e">
        <f t="shared" si="11"/>
        <v>#N/A</v>
      </c>
      <c r="X33" s="758"/>
      <c r="Y33" s="3075"/>
      <c r="Z33" s="759" t="str">
        <f t="shared" si="12"/>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73"/>
      <c r="Q34" s="1899" t="str">
        <f t="shared" si="8"/>
        <v>建筑结构</v>
      </c>
      <c r="R34" s="753" t="s">
        <v>25</v>
      </c>
      <c r="S34" s="754">
        <f t="shared" si="9"/>
        <v>100</v>
      </c>
      <c r="T34" s="753" t="s">
        <v>25</v>
      </c>
      <c r="U34" s="754">
        <f t="shared" si="10"/>
        <v>100</v>
      </c>
      <c r="V34" s="753" t="s">
        <v>25</v>
      </c>
      <c r="W34" s="754">
        <f t="shared" si="11"/>
        <v>100</v>
      </c>
      <c r="X34" s="1900"/>
      <c r="Y34" s="3075"/>
      <c r="Z34" s="1902" t="str">
        <f t="shared" si="12"/>
        <v>建筑结构</v>
      </c>
      <c r="AA34" s="1903">
        <f t="shared" si="3"/>
        <v>1</v>
      </c>
      <c r="AB34" s="1903">
        <f t="shared" si="4"/>
        <v>1</v>
      </c>
      <c r="AC34" s="1903">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73"/>
      <c r="Q35" s="1899" t="str">
        <f t="shared" si="8"/>
        <v>公共部分装修</v>
      </c>
      <c r="R35" s="753" t="s">
        <v>25</v>
      </c>
      <c r="S35" s="754">
        <f t="shared" si="9"/>
        <v>100</v>
      </c>
      <c r="T35" s="753" t="s">
        <v>25</v>
      </c>
      <c r="U35" s="754">
        <f t="shared" si="10"/>
        <v>100</v>
      </c>
      <c r="V35" s="753" t="s">
        <v>25</v>
      </c>
      <c r="W35" s="754">
        <f t="shared" si="11"/>
        <v>100</v>
      </c>
      <c r="X35" s="1900"/>
      <c r="Y35" s="3075"/>
      <c r="Z35" s="1902" t="str">
        <f t="shared" si="12"/>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73"/>
      <c r="Q36" s="1899" t="str">
        <f t="shared" si="8"/>
        <v>成新度</v>
      </c>
      <c r="R36" s="753" t="s">
        <v>25</v>
      </c>
      <c r="S36" s="754" t="e">
        <f t="shared" si="9"/>
        <v>#N/A</v>
      </c>
      <c r="T36" s="753" t="s">
        <v>25</v>
      </c>
      <c r="U36" s="754" t="e">
        <f t="shared" si="10"/>
        <v>#N/A</v>
      </c>
      <c r="V36" s="753" t="s">
        <v>25</v>
      </c>
      <c r="W36" s="754" t="e">
        <f t="shared" si="11"/>
        <v>#N/A</v>
      </c>
      <c r="X36" s="1900"/>
      <c r="Y36" s="3075"/>
      <c r="Z36" s="1902" t="str">
        <f t="shared" si="12"/>
        <v>成新度</v>
      </c>
      <c r="AA36" s="1903" t="e">
        <f t="shared" si="3"/>
        <v>#N/A</v>
      </c>
      <c r="AB36" s="1903" t="e">
        <f t="shared" si="4"/>
        <v>#N/A</v>
      </c>
      <c r="AC36" s="1903"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73"/>
      <c r="Q37" s="1887" t="str">
        <f t="shared" si="8"/>
        <v>市政基础设施</v>
      </c>
      <c r="R37" s="749" t="s">
        <v>25</v>
      </c>
      <c r="S37" s="750">
        <f t="shared" si="9"/>
        <v>100</v>
      </c>
      <c r="T37" s="749" t="s">
        <v>25</v>
      </c>
      <c r="U37" s="750">
        <f t="shared" si="10"/>
        <v>100</v>
      </c>
      <c r="V37" s="749" t="s">
        <v>25</v>
      </c>
      <c r="W37" s="750">
        <f t="shared" si="11"/>
        <v>100</v>
      </c>
      <c r="X37" s="751"/>
      <c r="Y37" s="3075"/>
      <c r="Z37" s="23" t="str">
        <f t="shared" si="12"/>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73" t="s">
        <v>2372</v>
      </c>
      <c r="Q38" s="1899" t="str">
        <f t="shared" si="8"/>
        <v>业态</v>
      </c>
      <c r="R38" s="753" t="s">
        <v>25</v>
      </c>
      <c r="S38" s="754">
        <f t="shared" si="9"/>
        <v>100</v>
      </c>
      <c r="T38" s="753" t="s">
        <v>25</v>
      </c>
      <c r="U38" s="754">
        <f t="shared" si="10"/>
        <v>100</v>
      </c>
      <c r="V38" s="753" t="s">
        <v>25</v>
      </c>
      <c r="W38" s="754">
        <f t="shared" si="11"/>
        <v>100</v>
      </c>
      <c r="X38" s="1900"/>
      <c r="Y38" s="3075" t="s">
        <v>2372</v>
      </c>
      <c r="Z38" s="1902" t="str">
        <f t="shared" si="12"/>
        <v>业态</v>
      </c>
      <c r="AA38" s="1903">
        <f t="shared" si="3"/>
        <v>1</v>
      </c>
      <c r="AB38" s="1903">
        <f t="shared" si="4"/>
        <v>1</v>
      </c>
      <c r="AC38" s="1903">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73"/>
      <c r="Q39" s="1899" t="str">
        <f t="shared" si="8"/>
        <v>层高</v>
      </c>
      <c r="R39" s="753" t="s">
        <v>25</v>
      </c>
      <c r="S39" s="754">
        <f t="shared" si="9"/>
        <v>100</v>
      </c>
      <c r="T39" s="753" t="s">
        <v>25</v>
      </c>
      <c r="U39" s="754">
        <f t="shared" si="10"/>
        <v>100</v>
      </c>
      <c r="V39" s="753" t="s">
        <v>25</v>
      </c>
      <c r="W39" s="754">
        <f t="shared" si="11"/>
        <v>100</v>
      </c>
      <c r="X39" s="1900"/>
      <c r="Y39" s="3075"/>
      <c r="Z39" s="1902" t="str">
        <f t="shared" si="12"/>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73"/>
      <c r="Q40" s="1899" t="str">
        <f t="shared" si="8"/>
        <v>单套建筑面积</v>
      </c>
      <c r="R40" s="753" t="s">
        <v>25</v>
      </c>
      <c r="S40" s="754">
        <f t="shared" si="9"/>
        <v>100</v>
      </c>
      <c r="T40" s="753" t="s">
        <v>25</v>
      </c>
      <c r="U40" s="754">
        <f t="shared" si="10"/>
        <v>100</v>
      </c>
      <c r="V40" s="753" t="s">
        <v>25</v>
      </c>
      <c r="W40" s="754">
        <f t="shared" si="11"/>
        <v>100</v>
      </c>
      <c r="X40" s="1900"/>
      <c r="Y40" s="3075"/>
      <c r="Z40" s="1902" t="str">
        <f t="shared" si="12"/>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73"/>
      <c r="Q41" s="755" t="str">
        <f t="shared" si="8"/>
        <v>进深比</v>
      </c>
      <c r="R41" s="756" t="s">
        <v>25</v>
      </c>
      <c r="S41" s="757">
        <f t="shared" si="9"/>
        <v>100</v>
      </c>
      <c r="T41" s="756" t="s">
        <v>25</v>
      </c>
      <c r="U41" s="757">
        <f t="shared" si="10"/>
        <v>100</v>
      </c>
      <c r="V41" s="756" t="s">
        <v>25</v>
      </c>
      <c r="W41" s="757">
        <f t="shared" si="11"/>
        <v>100</v>
      </c>
      <c r="X41" s="758"/>
      <c r="Y41" s="3075"/>
      <c r="Z41" s="759" t="str">
        <f t="shared" si="12"/>
        <v>进深比</v>
      </c>
      <c r="AA41" s="1903">
        <f t="shared" si="3"/>
        <v>1</v>
      </c>
      <c r="AB41" s="1903">
        <f t="shared" si="4"/>
        <v>1</v>
      </c>
      <c r="AC41" s="1903">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73"/>
      <c r="Q42" s="1899" t="str">
        <f t="shared" si="8"/>
        <v>内部装修</v>
      </c>
      <c r="R42" s="753" t="s">
        <v>25</v>
      </c>
      <c r="S42" s="754">
        <f t="shared" si="9"/>
        <v>100</v>
      </c>
      <c r="T42" s="753" t="s">
        <v>25</v>
      </c>
      <c r="U42" s="754">
        <f t="shared" si="10"/>
        <v>100</v>
      </c>
      <c r="V42" s="753" t="s">
        <v>25</v>
      </c>
      <c r="W42" s="754">
        <f t="shared" si="11"/>
        <v>100</v>
      </c>
      <c r="X42" s="1900"/>
      <c r="Y42" s="3075"/>
      <c r="Z42" s="1902" t="str">
        <f t="shared" si="12"/>
        <v>内部装修</v>
      </c>
      <c r="AA42" s="1903">
        <f t="shared" si="3"/>
        <v>1</v>
      </c>
      <c r="AB42" s="1903">
        <f t="shared" si="4"/>
        <v>1</v>
      </c>
      <c r="AC42" s="1903">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73"/>
      <c r="Q43" s="1899" t="str">
        <f t="shared" si="8"/>
        <v>内部装修维护情况</v>
      </c>
      <c r="R43" s="753" t="s">
        <v>25</v>
      </c>
      <c r="S43" s="754">
        <f t="shared" si="9"/>
        <v>100</v>
      </c>
      <c r="T43" s="753" t="s">
        <v>25</v>
      </c>
      <c r="U43" s="754">
        <f t="shared" si="10"/>
        <v>100</v>
      </c>
      <c r="V43" s="753" t="s">
        <v>25</v>
      </c>
      <c r="W43" s="754">
        <f t="shared" si="11"/>
        <v>100</v>
      </c>
      <c r="X43" s="1900"/>
      <c r="Y43" s="3075"/>
      <c r="Z43" s="1902" t="str">
        <f t="shared" si="12"/>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73"/>
      <c r="Q44" s="1887">
        <f t="shared" si="8"/>
        <v>111</v>
      </c>
      <c r="R44" s="749" t="s">
        <v>25</v>
      </c>
      <c r="S44" s="750">
        <f t="shared" si="9"/>
        <v>100</v>
      </c>
      <c r="T44" s="749" t="s">
        <v>25</v>
      </c>
      <c r="U44" s="750">
        <f t="shared" si="10"/>
        <v>100</v>
      </c>
      <c r="V44" s="749" t="s">
        <v>25</v>
      </c>
      <c r="W44" s="750">
        <f t="shared" si="11"/>
        <v>100</v>
      </c>
      <c r="X44" s="751"/>
      <c r="Y44" s="3075"/>
      <c r="Z44" s="23">
        <f t="shared" si="12"/>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73"/>
      <c r="Q45" s="1899">
        <f t="shared" si="8"/>
        <v>111</v>
      </c>
      <c r="R45" s="753" t="s">
        <v>25</v>
      </c>
      <c r="S45" s="754">
        <f t="shared" si="9"/>
        <v>100</v>
      </c>
      <c r="T45" s="753" t="s">
        <v>25</v>
      </c>
      <c r="U45" s="754">
        <f t="shared" si="10"/>
        <v>100</v>
      </c>
      <c r="V45" s="753" t="s">
        <v>25</v>
      </c>
      <c r="W45" s="754">
        <f t="shared" si="11"/>
        <v>100</v>
      </c>
      <c r="X45" s="1900"/>
      <c r="Y45" s="3075"/>
      <c r="Z45" s="1902">
        <f t="shared" si="12"/>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4"/>
      <c r="Q46" s="1899">
        <f t="shared" si="8"/>
        <v>111</v>
      </c>
      <c r="R46" s="753" t="s">
        <v>25</v>
      </c>
      <c r="S46" s="754">
        <f t="shared" si="9"/>
        <v>100</v>
      </c>
      <c r="T46" s="753" t="s">
        <v>25</v>
      </c>
      <c r="U46" s="754">
        <f t="shared" si="10"/>
        <v>100</v>
      </c>
      <c r="V46" s="753" t="s">
        <v>25</v>
      </c>
      <c r="W46" s="754">
        <f t="shared" si="11"/>
        <v>100</v>
      </c>
      <c r="X46" s="1900"/>
      <c r="Y46" s="3076"/>
      <c r="Z46" s="1902">
        <f t="shared" si="12"/>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81" t="str">
        <f>A47</f>
        <v>成交单价（元/平方米）</v>
      </c>
      <c r="Q47" s="3081"/>
      <c r="R47" s="3082">
        <f>E47</f>
        <v>0</v>
      </c>
      <c r="S47" s="3082"/>
      <c r="T47" s="3082">
        <f>G47</f>
        <v>0</v>
      </c>
      <c r="U47" s="3082"/>
      <c r="V47" s="3082">
        <f>I47</f>
        <v>0</v>
      </c>
      <c r="W47" s="308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81" t="str">
        <f>A48</f>
        <v>比较价值（元/平方米）</v>
      </c>
      <c r="Q48" s="3081"/>
      <c r="R48" s="3082" t="e">
        <f>IF(E1="售价",ROUND(PRODUCT(R47,AA7:AA46),0),ROUND(PRODUCT(R47,AA7:AA46),1))</f>
        <v>#DIV/0!</v>
      </c>
      <c r="S48" s="3082"/>
      <c r="T48" s="3082" t="e">
        <f>IF(E1="售价",ROUND(PRODUCT(T47,AB7:AB46),0),ROUND(PRODUCT(T47,AB7:AB46),1))</f>
        <v>#DIV/0!</v>
      </c>
      <c r="U48" s="3082"/>
      <c r="V48" s="3082" t="e">
        <f>IF(E1="售价",ROUND(PRODUCT(V47,AC7:AC46),0),ROUND(PRODUCT(V47,AC7:AC46),1))</f>
        <v>#DIV/0!</v>
      </c>
      <c r="W48" s="308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87" t="str">
        <f>A49</f>
        <v>估价对象XX用房的比较价值（楼面单价，元/平方米）</v>
      </c>
      <c r="Q49" s="3088"/>
      <c r="R49" s="3089" t="e">
        <f>IF(E1="售价",ROUND(AVERAGE(R48:V48),0),ROUND(AVERAGE(R48:V48),1))</f>
        <v>#DIV/0!</v>
      </c>
      <c r="S49" s="3089"/>
      <c r="T49" s="3089"/>
      <c r="U49" s="3089"/>
      <c r="V49" s="3089"/>
      <c r="W49" s="308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2018-8</v>
      </c>
      <c r="D58" s="1679">
        <f>EDATE(C58,-1)</f>
        <v>43282</v>
      </c>
      <c r="E58" s="1679">
        <f t="shared" ref="E58:O58" si="13">EDATE(D58,-1)</f>
        <v>43252</v>
      </c>
      <c r="F58" s="1679">
        <f t="shared" si="13"/>
        <v>43221</v>
      </c>
      <c r="G58" s="1679">
        <f t="shared" si="13"/>
        <v>43191</v>
      </c>
      <c r="H58" s="1679">
        <f t="shared" si="13"/>
        <v>43160</v>
      </c>
      <c r="I58" s="1679">
        <f t="shared" si="13"/>
        <v>43132</v>
      </c>
      <c r="J58" s="1679">
        <f t="shared" si="13"/>
        <v>43101</v>
      </c>
      <c r="K58" s="1679">
        <f t="shared" si="13"/>
        <v>43070</v>
      </c>
      <c r="L58" s="1679">
        <f t="shared" si="13"/>
        <v>43040</v>
      </c>
      <c r="M58" s="1679">
        <f t="shared" si="13"/>
        <v>43009</v>
      </c>
      <c r="N58" s="1679">
        <f t="shared" si="13"/>
        <v>42979</v>
      </c>
      <c r="O58" s="1679">
        <f t="shared" si="13"/>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8"/>
      <c r="O101" s="1268"/>
      <c r="P101" s="2425"/>
      <c r="Q101" s="485"/>
    </row>
    <row r="102" spans="1:17" ht="15.75" thickTop="1">
      <c r="A102" s="516"/>
      <c r="B102" s="521" t="s">
        <v>2420</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2340</v>
      </c>
      <c r="D3" s="378">
        <f>IF(C1="仅计算典型户型",'数据-取费表'!E5,'数据-取费表'!B5)</f>
        <v>66.209999999999994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92" t="s">
        <v>2347</v>
      </c>
      <c r="Q4" s="3050"/>
      <c r="R4" s="3055" t="s">
        <v>2343</v>
      </c>
      <c r="S4" s="3056"/>
      <c r="T4" s="3055" t="s">
        <v>2344</v>
      </c>
      <c r="U4" s="3056"/>
      <c r="V4" s="3061" t="s">
        <v>2345</v>
      </c>
      <c r="W4" s="3061"/>
      <c r="X4" s="1900"/>
      <c r="Y4" s="3055" t="s">
        <v>2347</v>
      </c>
      <c r="Z4" s="3056"/>
      <c r="AA4" s="3042" t="s">
        <v>2343</v>
      </c>
      <c r="AB4" s="3042" t="s">
        <v>2344</v>
      </c>
      <c r="AC4" s="3042" t="s">
        <v>2345</v>
      </c>
    </row>
    <row r="5" spans="1:29" ht="15">
      <c r="A5" s="383"/>
      <c r="B5" s="384"/>
      <c r="C5" s="3090" t="s">
        <v>2348</v>
      </c>
      <c r="D5" s="3065"/>
      <c r="E5" s="3091" t="s">
        <v>2349</v>
      </c>
      <c r="F5" s="3063"/>
      <c r="G5" s="3090" t="s">
        <v>2350</v>
      </c>
      <c r="H5" s="3065"/>
      <c r="I5" s="3090" t="s">
        <v>2351</v>
      </c>
      <c r="J5" s="3065"/>
      <c r="K5" s="594"/>
      <c r="L5" s="1243"/>
      <c r="M5" s="1244"/>
      <c r="N5" s="1244"/>
      <c r="O5" s="1244"/>
      <c r="P5" s="3093"/>
      <c r="Q5" s="3052"/>
      <c r="R5" s="3057"/>
      <c r="S5" s="3058"/>
      <c r="T5" s="3057"/>
      <c r="U5" s="3058"/>
      <c r="V5" s="3061"/>
      <c r="W5" s="3061"/>
      <c r="X5" s="1900"/>
      <c r="Y5" s="3057"/>
      <c r="Z5" s="3058"/>
      <c r="AA5" s="3043"/>
      <c r="AB5" s="3043"/>
      <c r="AC5" s="3043"/>
    </row>
    <row r="6" spans="1:29" ht="15.75" thickBot="1">
      <c r="A6" s="385"/>
      <c r="B6" s="386"/>
      <c r="C6" s="3066" t="s">
        <v>2352</v>
      </c>
      <c r="D6" s="3067"/>
      <c r="E6" s="3068" t="s">
        <v>2352</v>
      </c>
      <c r="F6" s="3069"/>
      <c r="G6" s="3066" t="s">
        <v>2352</v>
      </c>
      <c r="H6" s="3067"/>
      <c r="I6" s="3066" t="s">
        <v>2352</v>
      </c>
      <c r="J6" s="3067"/>
      <c r="K6" s="594" t="s">
        <v>2353</v>
      </c>
      <c r="L6" s="1243"/>
      <c r="M6" s="1244"/>
      <c r="N6" s="1244"/>
      <c r="O6" s="1244"/>
      <c r="P6" s="3094"/>
      <c r="Q6" s="3054"/>
      <c r="R6" s="3057"/>
      <c r="S6" s="3058"/>
      <c r="T6" s="3059"/>
      <c r="U6" s="3060"/>
      <c r="V6" s="3061"/>
      <c r="W6" s="3061"/>
      <c r="X6" s="1900"/>
      <c r="Y6" s="3059"/>
      <c r="Z6" s="3060"/>
      <c r="AA6" s="3044"/>
      <c r="AB6" s="3044"/>
      <c r="AC6" s="3044"/>
    </row>
    <row r="7" spans="1:29" s="35" customFormat="1" ht="15.75" thickBot="1">
      <c r="A7" s="387" t="s">
        <v>2354</v>
      </c>
      <c r="B7" s="388"/>
      <c r="C7" s="389">
        <f>'数据-取费表'!B2</f>
        <v>43339</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79" t="s">
        <v>2355</v>
      </c>
      <c r="Q7" s="3079"/>
      <c r="R7" s="749" t="s">
        <v>25</v>
      </c>
      <c r="S7" s="750">
        <f t="shared" ref="S7:S15" si="0">F7</f>
        <v>0</v>
      </c>
      <c r="T7" s="749" t="s">
        <v>25</v>
      </c>
      <c r="U7" s="750">
        <f t="shared" ref="U7:U15" si="1">H7</f>
        <v>0</v>
      </c>
      <c r="V7" s="749" t="s">
        <v>25</v>
      </c>
      <c r="W7" s="750">
        <f t="shared" ref="W7:W15" si="2">J7</f>
        <v>0</v>
      </c>
      <c r="X7" s="751"/>
      <c r="Y7" s="3077" t="s">
        <v>2355</v>
      </c>
      <c r="Z7" s="307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9" t="s">
        <v>2358</v>
      </c>
      <c r="Q8" s="3078"/>
      <c r="R8" s="749" t="s">
        <v>25</v>
      </c>
      <c r="S8" s="750">
        <f t="shared" si="0"/>
        <v>0</v>
      </c>
      <c r="T8" s="749" t="s">
        <v>25</v>
      </c>
      <c r="U8" s="750">
        <f t="shared" si="1"/>
        <v>0</v>
      </c>
      <c r="V8" s="749" t="s">
        <v>25</v>
      </c>
      <c r="W8" s="750">
        <f t="shared" si="2"/>
        <v>0</v>
      </c>
      <c r="X8" s="751"/>
      <c r="Y8" s="3077" t="s">
        <v>2358</v>
      </c>
      <c r="Z8" s="307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88" t="s">
        <v>2361</v>
      </c>
      <c r="Q9" s="1887" t="str">
        <f t="shared" ref="Q9:Q15" si="6">B9</f>
        <v>用途</v>
      </c>
      <c r="R9" s="749" t="s">
        <v>25</v>
      </c>
      <c r="S9" s="750">
        <f t="shared" si="0"/>
        <v>100</v>
      </c>
      <c r="T9" s="749" t="s">
        <v>25</v>
      </c>
      <c r="U9" s="750">
        <f t="shared" si="1"/>
        <v>100</v>
      </c>
      <c r="V9" s="749" t="s">
        <v>25</v>
      </c>
      <c r="W9" s="750">
        <f t="shared" si="2"/>
        <v>100</v>
      </c>
      <c r="X9" s="751"/>
      <c r="Y9" s="289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88"/>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88"/>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8"/>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8"/>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8"/>
      <c r="Q14" s="188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0" t="s">
        <v>2366</v>
      </c>
      <c r="Q15" s="1899" t="str">
        <f t="shared" si="6"/>
        <v>办公集聚程度</v>
      </c>
      <c r="R15" s="753" t="s">
        <v>25</v>
      </c>
      <c r="S15" s="754">
        <f t="shared" si="0"/>
        <v>100</v>
      </c>
      <c r="T15" s="753" t="s">
        <v>25</v>
      </c>
      <c r="U15" s="754">
        <f t="shared" si="1"/>
        <v>100</v>
      </c>
      <c r="V15" s="753" t="s">
        <v>25</v>
      </c>
      <c r="W15" s="754">
        <f t="shared" si="2"/>
        <v>100</v>
      </c>
      <c r="X15" s="1900"/>
      <c r="Y15" s="3070"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2"/>
      <c r="Q16" s="1899"/>
      <c r="R16" s="753"/>
      <c r="S16" s="754"/>
      <c r="T16" s="753"/>
      <c r="U16" s="754"/>
      <c r="V16" s="753"/>
      <c r="W16" s="754"/>
      <c r="X16" s="1900"/>
      <c r="Y16" s="3071"/>
      <c r="Z16" s="1902"/>
      <c r="AA16" s="1903">
        <v>1</v>
      </c>
      <c r="AB16" s="1903">
        <v>1</v>
      </c>
      <c r="AC16" s="1903">
        <v>1</v>
      </c>
    </row>
    <row r="17" spans="1:29" ht="128.25">
      <c r="A17" s="408"/>
      <c r="B17" s="615" t="s">
        <v>1751</v>
      </c>
      <c r="C17" s="2467" t="str">
        <f>估价对象房地状况!C6</f>
        <v>估价对象紧邻城市次干道—太平街，有14路、40路、66路、70路等多条公交线路及地铁4号线（陶然亭站）通过，交通便捷度较好。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71"/>
      <c r="Z17" s="1902" t="str">
        <f>Q17</f>
        <v>交通便捷度</v>
      </c>
      <c r="AA17" s="1903">
        <f t="shared" si="3"/>
        <v>1</v>
      </c>
      <c r="AB17" s="1903">
        <f t="shared" si="4"/>
        <v>1</v>
      </c>
      <c r="AC17" s="1903">
        <f t="shared" si="5"/>
        <v>1</v>
      </c>
    </row>
    <row r="18" spans="1:29" ht="15">
      <c r="A18" s="408"/>
      <c r="B18" s="616"/>
      <c r="C18" s="2468"/>
      <c r="D18" s="430"/>
      <c r="E18" s="2407"/>
      <c r="F18" s="430"/>
      <c r="G18" s="1468"/>
      <c r="H18" s="427"/>
      <c r="I18" s="1468"/>
      <c r="J18" s="427"/>
      <c r="K18" s="599"/>
      <c r="L18" s="1253"/>
      <c r="M18" s="1244"/>
      <c r="N18" s="1244"/>
      <c r="O18" s="1244"/>
      <c r="P18" s="3052"/>
      <c r="Q18" s="1899"/>
      <c r="R18" s="753"/>
      <c r="S18" s="754"/>
      <c r="T18" s="753"/>
      <c r="U18" s="754"/>
      <c r="V18" s="753"/>
      <c r="W18" s="754"/>
      <c r="X18" s="1900"/>
      <c r="Y18" s="3071"/>
      <c r="Z18" s="1902"/>
      <c r="AA18" s="1903">
        <v>1</v>
      </c>
      <c r="AB18" s="1903">
        <v>1</v>
      </c>
      <c r="AC18" s="1903">
        <v>1</v>
      </c>
    </row>
    <row r="19" spans="1:29" ht="42.75">
      <c r="A19" s="408"/>
      <c r="B19" s="615" t="s">
        <v>2481</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71"/>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2"/>
      <c r="Q20" s="1899"/>
      <c r="R20" s="753"/>
      <c r="S20" s="754"/>
      <c r="T20" s="753"/>
      <c r="U20" s="754"/>
      <c r="V20" s="753"/>
      <c r="W20" s="754"/>
      <c r="X20" s="1900"/>
      <c r="Y20" s="3071"/>
      <c r="Z20" s="1902"/>
      <c r="AA20" s="1903">
        <v>1</v>
      </c>
      <c r="AB20" s="1903">
        <v>1</v>
      </c>
      <c r="AC20" s="1903">
        <v>1</v>
      </c>
    </row>
    <row r="21" spans="1:29" ht="15">
      <c r="A21" s="408"/>
      <c r="B21" s="617" t="s">
        <v>2482</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71"/>
      <c r="Z21" s="1902" t="str">
        <f>Q21</f>
        <v>基础设施水平</v>
      </c>
      <c r="AA21" s="1903">
        <f>D21/F21</f>
        <v>1</v>
      </c>
      <c r="AB21" s="1903">
        <f>D21/H21</f>
        <v>1</v>
      </c>
      <c r="AC21" s="1903">
        <f>D21/J21</f>
        <v>1</v>
      </c>
    </row>
    <row r="22" spans="1:29" ht="15">
      <c r="A22" s="408"/>
      <c r="B22" s="617"/>
      <c r="C22" s="2468"/>
      <c r="D22" s="427"/>
      <c r="E22" s="426"/>
      <c r="F22" s="427"/>
      <c r="G22" s="1472"/>
      <c r="H22" s="427"/>
      <c r="I22" s="1472"/>
      <c r="J22" s="427"/>
      <c r="K22" s="1469"/>
      <c r="L22" s="1253"/>
      <c r="M22" s="1244"/>
      <c r="N22" s="1244"/>
      <c r="O22" s="1244"/>
      <c r="P22" s="3052"/>
      <c r="Q22" s="1899"/>
      <c r="R22" s="753"/>
      <c r="S22" s="754"/>
      <c r="T22" s="753"/>
      <c r="U22" s="754"/>
      <c r="V22" s="753"/>
      <c r="W22" s="754"/>
      <c r="X22" s="1900"/>
      <c r="Y22" s="3071"/>
      <c r="Z22" s="1902"/>
      <c r="AA22" s="1903">
        <v>1</v>
      </c>
      <c r="AB22" s="1903">
        <v>1</v>
      </c>
      <c r="AC22" s="1903">
        <v>1</v>
      </c>
    </row>
    <row r="23" spans="1:29" ht="156.75">
      <c r="A23" s="408"/>
      <c r="B23" s="615" t="s">
        <v>2483</v>
      </c>
      <c r="C23" s="2467" t="str">
        <f>估价对象房地状况!C9</f>
        <v>区域自然环境：陶然亭公园、天坛公园、永定门公园、护城河；人文环境：自然博物馆、北京古代建筑博物馆、中国盲文博物馆、北京先农坛体育场；综合评价环境状况好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2"/>
      <c r="Q23" s="1899" t="str">
        <f>B23</f>
        <v>环境质量</v>
      </c>
      <c r="R23" s="753" t="s">
        <v>25</v>
      </c>
      <c r="S23" s="754">
        <f>F23</f>
        <v>100</v>
      </c>
      <c r="T23" s="753" t="s">
        <v>25</v>
      </c>
      <c r="U23" s="754">
        <f>H23</f>
        <v>100</v>
      </c>
      <c r="V23" s="753" t="s">
        <v>25</v>
      </c>
      <c r="W23" s="754">
        <f>J23</f>
        <v>100</v>
      </c>
      <c r="X23" s="1900"/>
      <c r="Y23" s="3071"/>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2"/>
      <c r="Q24" s="1899"/>
      <c r="R24" s="753"/>
      <c r="S24" s="754"/>
      <c r="T24" s="753"/>
      <c r="U24" s="754"/>
      <c r="V24" s="753"/>
      <c r="W24" s="754"/>
      <c r="X24" s="1900"/>
      <c r="Y24" s="3071"/>
      <c r="Z24" s="1902"/>
      <c r="AA24" s="1903">
        <v>1</v>
      </c>
      <c r="AB24" s="1903">
        <v>1</v>
      </c>
      <c r="AC24" s="1903">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52"/>
      <c r="Q25" s="1899" t="str">
        <f>B25</f>
        <v>毗邻道路的类型与等级</v>
      </c>
      <c r="R25" s="753" t="s">
        <v>25</v>
      </c>
      <c r="S25" s="754">
        <f>F25</f>
        <v>100</v>
      </c>
      <c r="T25" s="753" t="s">
        <v>25</v>
      </c>
      <c r="U25" s="754">
        <f>H25</f>
        <v>100</v>
      </c>
      <c r="V25" s="753" t="s">
        <v>25</v>
      </c>
      <c r="W25" s="754">
        <f>J25</f>
        <v>100</v>
      </c>
      <c r="X25" s="1900"/>
      <c r="Y25" s="307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2"/>
      <c r="Q26" s="1899"/>
      <c r="R26" s="753"/>
      <c r="S26" s="754"/>
      <c r="T26" s="753"/>
      <c r="U26" s="754"/>
      <c r="V26" s="753"/>
      <c r="W26" s="754"/>
      <c r="X26" s="1900"/>
      <c r="Y26" s="3071"/>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2"/>
      <c r="Q27" s="1899" t="str">
        <f t="shared" ref="Q27:Q47" si="8">B27</f>
        <v>楼层</v>
      </c>
      <c r="R27" s="753" t="s">
        <v>25</v>
      </c>
      <c r="S27" s="754">
        <f>F27</f>
        <v>100</v>
      </c>
      <c r="T27" s="753" t="s">
        <v>25</v>
      </c>
      <c r="U27" s="754">
        <f>H27</f>
        <v>100</v>
      </c>
      <c r="V27" s="753" t="s">
        <v>25</v>
      </c>
      <c r="W27" s="754">
        <f>J27</f>
        <v>100</v>
      </c>
      <c r="X27" s="1900"/>
      <c r="Y27" s="3071"/>
      <c r="Z27" s="1902" t="str">
        <f>Q27</f>
        <v>楼层</v>
      </c>
      <c r="AA27" s="1903">
        <f t="shared" si="3"/>
        <v>1</v>
      </c>
      <c r="AB27" s="1903">
        <f t="shared" si="4"/>
        <v>1</v>
      </c>
      <c r="AC27" s="1903">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52"/>
      <c r="Q28" s="1887" t="str">
        <f t="shared" si="8"/>
        <v>朝向</v>
      </c>
      <c r="R28" s="749" t="s">
        <v>25</v>
      </c>
      <c r="S28" s="750">
        <f>F28</f>
        <v>100</v>
      </c>
      <c r="T28" s="749" t="s">
        <v>25</v>
      </c>
      <c r="U28" s="750">
        <f>H28</f>
        <v>100</v>
      </c>
      <c r="V28" s="749" t="s">
        <v>25</v>
      </c>
      <c r="W28" s="750">
        <f>J28</f>
        <v>100</v>
      </c>
      <c r="X28" s="751"/>
      <c r="Y28" s="3071"/>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2"/>
      <c r="Q29" s="1899">
        <f t="shared" si="8"/>
        <v>111</v>
      </c>
      <c r="R29" s="753" t="s">
        <v>25</v>
      </c>
      <c r="S29" s="754">
        <f t="shared" ref="S29:S47" si="9">F29</f>
        <v>100</v>
      </c>
      <c r="T29" s="753" t="s">
        <v>25</v>
      </c>
      <c r="U29" s="754">
        <f t="shared" ref="U29:U47" si="10">H29</f>
        <v>100</v>
      </c>
      <c r="V29" s="753" t="s">
        <v>25</v>
      </c>
      <c r="W29" s="754">
        <f t="shared" ref="W29:W47" si="11">J29</f>
        <v>100</v>
      </c>
      <c r="X29" s="1900"/>
      <c r="Y29" s="3071"/>
      <c r="Z29" s="1902">
        <f t="shared" ref="Z29:Z47" si="12">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2"/>
      <c r="Q30" s="1899">
        <f t="shared" si="8"/>
        <v>111</v>
      </c>
      <c r="R30" s="753" t="s">
        <v>25</v>
      </c>
      <c r="S30" s="754">
        <f t="shared" si="9"/>
        <v>100</v>
      </c>
      <c r="T30" s="753" t="s">
        <v>25</v>
      </c>
      <c r="U30" s="754">
        <f t="shared" si="10"/>
        <v>100</v>
      </c>
      <c r="V30" s="753" t="s">
        <v>25</v>
      </c>
      <c r="W30" s="754">
        <f t="shared" si="11"/>
        <v>100</v>
      </c>
      <c r="X30" s="1900"/>
      <c r="Y30" s="3071"/>
      <c r="Z30" s="1902">
        <f t="shared" si="12"/>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2"/>
      <c r="Q31" s="1899">
        <f t="shared" si="8"/>
        <v>111</v>
      </c>
      <c r="R31" s="753" t="s">
        <v>25</v>
      </c>
      <c r="S31" s="754">
        <f t="shared" si="9"/>
        <v>100</v>
      </c>
      <c r="T31" s="753" t="s">
        <v>25</v>
      </c>
      <c r="U31" s="754">
        <f t="shared" si="10"/>
        <v>100</v>
      </c>
      <c r="V31" s="753" t="s">
        <v>25</v>
      </c>
      <c r="W31" s="754">
        <f t="shared" si="11"/>
        <v>100</v>
      </c>
      <c r="X31" s="1900"/>
      <c r="Y31" s="3071"/>
      <c r="Z31" s="1902">
        <f t="shared" si="12"/>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2"/>
      <c r="Q32" s="1899">
        <f t="shared" si="8"/>
        <v>111</v>
      </c>
      <c r="R32" s="753" t="s">
        <v>25</v>
      </c>
      <c r="S32" s="754">
        <f t="shared" si="9"/>
        <v>100</v>
      </c>
      <c r="T32" s="753" t="s">
        <v>25</v>
      </c>
      <c r="U32" s="754">
        <f t="shared" si="10"/>
        <v>100</v>
      </c>
      <c r="V32" s="753" t="s">
        <v>25</v>
      </c>
      <c r="W32" s="754">
        <f t="shared" si="11"/>
        <v>100</v>
      </c>
      <c r="X32" s="1900"/>
      <c r="Y32" s="3071"/>
      <c r="Z32" s="1902">
        <f t="shared" si="12"/>
        <v>111</v>
      </c>
      <c r="AA32" s="1903">
        <f t="shared" si="3"/>
        <v>1</v>
      </c>
      <c r="AB32" s="1903">
        <f t="shared" si="4"/>
        <v>1</v>
      </c>
      <c r="AC32" s="1903">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95" t="s">
        <v>2372</v>
      </c>
      <c r="Q33" s="1899" t="str">
        <f t="shared" si="8"/>
        <v>建筑类型</v>
      </c>
      <c r="R33" s="753" t="s">
        <v>25</v>
      </c>
      <c r="S33" s="754">
        <f t="shared" si="9"/>
        <v>100</v>
      </c>
      <c r="T33" s="753" t="s">
        <v>25</v>
      </c>
      <c r="U33" s="754">
        <f t="shared" si="10"/>
        <v>100</v>
      </c>
      <c r="V33" s="753" t="s">
        <v>25</v>
      </c>
      <c r="W33" s="754">
        <f t="shared" si="11"/>
        <v>100</v>
      </c>
      <c r="X33" s="1900"/>
      <c r="Y33" s="3075" t="s">
        <v>2372</v>
      </c>
      <c r="Z33" s="1902" t="str">
        <f t="shared" si="12"/>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96"/>
      <c r="Q34" s="755" t="str">
        <f t="shared" si="8"/>
        <v>项目建筑规模</v>
      </c>
      <c r="R34" s="756" t="s">
        <v>25</v>
      </c>
      <c r="S34" s="757" t="e">
        <f t="shared" si="9"/>
        <v>#N/A</v>
      </c>
      <c r="T34" s="756" t="s">
        <v>25</v>
      </c>
      <c r="U34" s="757" t="e">
        <f t="shared" si="10"/>
        <v>#N/A</v>
      </c>
      <c r="V34" s="756" t="s">
        <v>25</v>
      </c>
      <c r="W34" s="757" t="e">
        <f t="shared" si="11"/>
        <v>#N/A</v>
      </c>
      <c r="X34" s="758"/>
      <c r="Y34" s="3075"/>
      <c r="Z34" s="759" t="str">
        <f t="shared" si="12"/>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96"/>
      <c r="Q35" s="1899" t="str">
        <f t="shared" si="8"/>
        <v>建筑结构</v>
      </c>
      <c r="R35" s="753" t="s">
        <v>25</v>
      </c>
      <c r="S35" s="754">
        <f t="shared" si="9"/>
        <v>100</v>
      </c>
      <c r="T35" s="753" t="s">
        <v>25</v>
      </c>
      <c r="U35" s="754">
        <f t="shared" si="10"/>
        <v>100</v>
      </c>
      <c r="V35" s="753" t="s">
        <v>25</v>
      </c>
      <c r="W35" s="754">
        <f t="shared" si="11"/>
        <v>100</v>
      </c>
      <c r="X35" s="1900"/>
      <c r="Y35" s="3075"/>
      <c r="Z35" s="1902" t="str">
        <f t="shared" si="12"/>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96"/>
      <c r="Q36" s="1899" t="str">
        <f t="shared" si="8"/>
        <v>公共部分装修</v>
      </c>
      <c r="R36" s="753" t="s">
        <v>25</v>
      </c>
      <c r="S36" s="754">
        <f t="shared" si="9"/>
        <v>100</v>
      </c>
      <c r="T36" s="753" t="s">
        <v>25</v>
      </c>
      <c r="U36" s="754">
        <f t="shared" si="10"/>
        <v>100</v>
      </c>
      <c r="V36" s="753" t="s">
        <v>25</v>
      </c>
      <c r="W36" s="754">
        <f t="shared" si="11"/>
        <v>100</v>
      </c>
      <c r="X36" s="1900"/>
      <c r="Y36" s="3075"/>
      <c r="Z36" s="1902" t="str">
        <f t="shared" si="12"/>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96"/>
      <c r="Q37" s="1899" t="str">
        <f t="shared" si="8"/>
        <v>成新度</v>
      </c>
      <c r="R37" s="753" t="s">
        <v>25</v>
      </c>
      <c r="S37" s="754" t="e">
        <f t="shared" si="9"/>
        <v>#N/A</v>
      </c>
      <c r="T37" s="753" t="s">
        <v>25</v>
      </c>
      <c r="U37" s="754" t="e">
        <f t="shared" si="10"/>
        <v>#N/A</v>
      </c>
      <c r="V37" s="753" t="s">
        <v>25</v>
      </c>
      <c r="W37" s="754" t="e">
        <f t="shared" si="11"/>
        <v>#N/A</v>
      </c>
      <c r="X37" s="1900"/>
      <c r="Y37" s="3075"/>
      <c r="Z37" s="1902" t="str">
        <f t="shared" si="12"/>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6"/>
      <c r="Q38" s="1887" t="str">
        <f t="shared" si="8"/>
        <v>写字楼等级</v>
      </c>
      <c r="R38" s="749" t="s">
        <v>25</v>
      </c>
      <c r="S38" s="750">
        <f t="shared" si="9"/>
        <v>100</v>
      </c>
      <c r="T38" s="749" t="s">
        <v>25</v>
      </c>
      <c r="U38" s="750">
        <f t="shared" si="10"/>
        <v>100</v>
      </c>
      <c r="V38" s="749" t="s">
        <v>25</v>
      </c>
      <c r="W38" s="750">
        <f t="shared" si="11"/>
        <v>100</v>
      </c>
      <c r="X38" s="751"/>
      <c r="Y38" s="3075"/>
      <c r="Z38" s="23" t="str">
        <f t="shared" si="12"/>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96" t="s">
        <v>2372</v>
      </c>
      <c r="Q39" s="1899" t="str">
        <f t="shared" si="8"/>
        <v>物业管理</v>
      </c>
      <c r="R39" s="753" t="s">
        <v>25</v>
      </c>
      <c r="S39" s="754">
        <f t="shared" si="9"/>
        <v>100</v>
      </c>
      <c r="T39" s="753" t="s">
        <v>25</v>
      </c>
      <c r="U39" s="754">
        <f t="shared" si="10"/>
        <v>100</v>
      </c>
      <c r="V39" s="753" t="s">
        <v>25</v>
      </c>
      <c r="W39" s="754">
        <f t="shared" si="11"/>
        <v>100</v>
      </c>
      <c r="X39" s="1900"/>
      <c r="Y39" s="3075" t="s">
        <v>2372</v>
      </c>
      <c r="Z39" s="1902" t="str">
        <f t="shared" si="12"/>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96"/>
      <c r="Q40" s="1899" t="str">
        <f t="shared" si="8"/>
        <v>市政基础设施</v>
      </c>
      <c r="R40" s="753" t="s">
        <v>25</v>
      </c>
      <c r="S40" s="754">
        <f t="shared" si="9"/>
        <v>100</v>
      </c>
      <c r="T40" s="753" t="s">
        <v>25</v>
      </c>
      <c r="U40" s="754">
        <f t="shared" si="10"/>
        <v>100</v>
      </c>
      <c r="V40" s="753" t="s">
        <v>25</v>
      </c>
      <c r="W40" s="754">
        <f t="shared" si="11"/>
        <v>100</v>
      </c>
      <c r="X40" s="1900"/>
      <c r="Y40" s="3075"/>
      <c r="Z40" s="1902" t="str">
        <f t="shared" si="12"/>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96"/>
      <c r="Q41" s="1899" t="str">
        <f t="shared" si="8"/>
        <v>层高</v>
      </c>
      <c r="R41" s="753" t="s">
        <v>25</v>
      </c>
      <c r="S41" s="754">
        <f t="shared" si="9"/>
        <v>100</v>
      </c>
      <c r="T41" s="753" t="s">
        <v>25</v>
      </c>
      <c r="U41" s="754">
        <f t="shared" si="10"/>
        <v>100</v>
      </c>
      <c r="V41" s="753" t="s">
        <v>25</v>
      </c>
      <c r="W41" s="754">
        <f t="shared" si="11"/>
        <v>100</v>
      </c>
      <c r="X41" s="1900"/>
      <c r="Y41" s="3075"/>
      <c r="Z41" s="1902" t="str">
        <f t="shared" si="12"/>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6"/>
      <c r="Q42" s="755" t="str">
        <f t="shared" si="8"/>
        <v>单套建筑面积</v>
      </c>
      <c r="R42" s="756" t="s">
        <v>25</v>
      </c>
      <c r="S42" s="757">
        <f t="shared" si="9"/>
        <v>100</v>
      </c>
      <c r="T42" s="756" t="s">
        <v>25</v>
      </c>
      <c r="U42" s="757">
        <f t="shared" si="10"/>
        <v>100</v>
      </c>
      <c r="V42" s="756" t="s">
        <v>25</v>
      </c>
      <c r="W42" s="757">
        <f t="shared" si="11"/>
        <v>100</v>
      </c>
      <c r="X42" s="758"/>
      <c r="Y42" s="3075"/>
      <c r="Z42" s="759" t="str">
        <f t="shared" si="12"/>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96"/>
      <c r="Q43" s="1899" t="str">
        <f t="shared" si="8"/>
        <v>内部装修</v>
      </c>
      <c r="R43" s="753" t="s">
        <v>25</v>
      </c>
      <c r="S43" s="754">
        <f t="shared" si="9"/>
        <v>100</v>
      </c>
      <c r="T43" s="753" t="s">
        <v>25</v>
      </c>
      <c r="U43" s="754">
        <f t="shared" si="10"/>
        <v>100</v>
      </c>
      <c r="V43" s="753" t="s">
        <v>25</v>
      </c>
      <c r="W43" s="754">
        <f t="shared" si="11"/>
        <v>100</v>
      </c>
      <c r="X43" s="1900"/>
      <c r="Y43" s="3075"/>
      <c r="Z43" s="1902" t="str">
        <f t="shared" si="12"/>
        <v>内部装修</v>
      </c>
      <c r="AA43" s="1903">
        <f t="shared" si="3"/>
        <v>1</v>
      </c>
      <c r="AB43" s="1903">
        <f t="shared" si="4"/>
        <v>1</v>
      </c>
      <c r="AC43" s="1903">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96"/>
      <c r="Q44" s="1899" t="str">
        <f t="shared" si="8"/>
        <v>内部装修维护情况</v>
      </c>
      <c r="R44" s="753" t="s">
        <v>25</v>
      </c>
      <c r="S44" s="754">
        <f t="shared" si="9"/>
        <v>100</v>
      </c>
      <c r="T44" s="753" t="s">
        <v>25</v>
      </c>
      <c r="U44" s="754">
        <f t="shared" si="10"/>
        <v>100</v>
      </c>
      <c r="V44" s="753" t="s">
        <v>25</v>
      </c>
      <c r="W44" s="754">
        <f t="shared" si="11"/>
        <v>100</v>
      </c>
      <c r="X44" s="1900"/>
      <c r="Y44" s="3075"/>
      <c r="Z44" s="1902" t="str">
        <f t="shared" si="12"/>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6"/>
      <c r="Q45" s="1887">
        <f t="shared" si="8"/>
        <v>111</v>
      </c>
      <c r="R45" s="749" t="s">
        <v>25</v>
      </c>
      <c r="S45" s="750">
        <f t="shared" si="9"/>
        <v>100</v>
      </c>
      <c r="T45" s="749" t="s">
        <v>25</v>
      </c>
      <c r="U45" s="750">
        <f t="shared" si="10"/>
        <v>100</v>
      </c>
      <c r="V45" s="749" t="s">
        <v>25</v>
      </c>
      <c r="W45" s="750">
        <f t="shared" si="11"/>
        <v>100</v>
      </c>
      <c r="X45" s="751"/>
      <c r="Y45" s="3075"/>
      <c r="Z45" s="23">
        <f t="shared" si="12"/>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6"/>
      <c r="Q46" s="1899">
        <f t="shared" si="8"/>
        <v>111</v>
      </c>
      <c r="R46" s="753" t="s">
        <v>25</v>
      </c>
      <c r="S46" s="754">
        <f t="shared" si="9"/>
        <v>100</v>
      </c>
      <c r="T46" s="753" t="s">
        <v>25</v>
      </c>
      <c r="U46" s="754">
        <f t="shared" si="10"/>
        <v>100</v>
      </c>
      <c r="V46" s="753" t="s">
        <v>25</v>
      </c>
      <c r="W46" s="754">
        <f t="shared" si="11"/>
        <v>100</v>
      </c>
      <c r="X46" s="1900"/>
      <c r="Y46" s="3075"/>
      <c r="Z46" s="1902">
        <f t="shared" si="12"/>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7"/>
      <c r="Q47" s="1899">
        <f t="shared" si="8"/>
        <v>111</v>
      </c>
      <c r="R47" s="753" t="s">
        <v>25</v>
      </c>
      <c r="S47" s="754">
        <f t="shared" si="9"/>
        <v>100</v>
      </c>
      <c r="T47" s="753" t="s">
        <v>25</v>
      </c>
      <c r="U47" s="754">
        <f t="shared" si="10"/>
        <v>100</v>
      </c>
      <c r="V47" s="753" t="s">
        <v>25</v>
      </c>
      <c r="W47" s="754">
        <f t="shared" si="11"/>
        <v>100</v>
      </c>
      <c r="X47" s="1900"/>
      <c r="Y47" s="3076"/>
      <c r="Z47" s="1902">
        <f t="shared" si="12"/>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88" t="str">
        <f>A48</f>
        <v>成交单价（元/平方米）</v>
      </c>
      <c r="Q48" s="3081"/>
      <c r="R48" s="3082">
        <f>E48</f>
        <v>0</v>
      </c>
      <c r="S48" s="3082"/>
      <c r="T48" s="3082">
        <f>G48</f>
        <v>0</v>
      </c>
      <c r="U48" s="3082"/>
      <c r="V48" s="3082">
        <f>I48</f>
        <v>0</v>
      </c>
      <c r="W48" s="308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88" t="str">
        <f>A49</f>
        <v>比较价值（元/平方米）</v>
      </c>
      <c r="Q49" s="3081"/>
      <c r="R49" s="3082" t="e">
        <f>IF(E1="售价",ROUND(PRODUCT(R48,AA7:AA47),0),ROUND(PRODUCT(R48,AA7:AA47),1))</f>
        <v>#DIV/0!</v>
      </c>
      <c r="S49" s="3082"/>
      <c r="T49" s="3082" t="e">
        <f>IF(E1="售价",ROUND(PRODUCT(T48,AB7:AB47),0),ROUND(PRODUCT(T48,AB7:AB47),1))</f>
        <v>#DIV/0!</v>
      </c>
      <c r="U49" s="3082"/>
      <c r="V49" s="3082" t="e">
        <f>IF(E1="售价",ROUND(PRODUCT(V48,AC7:AC47),0),ROUND(PRODUCT(V48,AC7:AC47),1))</f>
        <v>#DIV/0!</v>
      </c>
      <c r="W49" s="308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98" t="str">
        <f>A50</f>
        <v>估价对象XX用房的比较价值（楼面单价，元/平方米）</v>
      </c>
      <c r="Q50" s="3088"/>
      <c r="R50" s="3089" t="e">
        <f>IF(E1="售价",ROUND(AVERAGE(R49:V49),0),ROUND(AVERAGE(R49:V49),1))</f>
        <v>#DIV/0!</v>
      </c>
      <c r="S50" s="3089"/>
      <c r="T50" s="3089"/>
      <c r="U50" s="3089"/>
      <c r="V50" s="3089"/>
      <c r="W50" s="308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2018-8</v>
      </c>
      <c r="D59" s="1679">
        <f>EDATE(C59,-1)</f>
        <v>43282</v>
      </c>
      <c r="E59" s="1679">
        <f t="shared" ref="E59:O59" si="13">EDATE(D59,-1)</f>
        <v>43252</v>
      </c>
      <c r="F59" s="1679">
        <f t="shared" si="13"/>
        <v>43221</v>
      </c>
      <c r="G59" s="1679">
        <f t="shared" si="13"/>
        <v>43191</v>
      </c>
      <c r="H59" s="1679">
        <f t="shared" si="13"/>
        <v>43160</v>
      </c>
      <c r="I59" s="1679">
        <f t="shared" si="13"/>
        <v>43132</v>
      </c>
      <c r="J59" s="1679">
        <f t="shared" si="13"/>
        <v>43101</v>
      </c>
      <c r="K59" s="1679">
        <f t="shared" si="13"/>
        <v>43070</v>
      </c>
      <c r="L59" s="1679">
        <f t="shared" si="13"/>
        <v>43040</v>
      </c>
      <c r="M59" s="1679">
        <f t="shared" si="13"/>
        <v>43009</v>
      </c>
      <c r="N59" s="1679">
        <f t="shared" si="13"/>
        <v>42979</v>
      </c>
      <c r="O59" s="1679">
        <f t="shared" si="13"/>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8"/>
      <c r="O102" s="1268"/>
      <c r="P102" s="22"/>
      <c r="Q102" s="485"/>
    </row>
    <row r="103" spans="1:17" ht="15.75" thickTop="1">
      <c r="A103" s="516"/>
      <c r="B103" s="521" t="s">
        <v>2420</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2340</v>
      </c>
      <c r="D3" s="378">
        <f>IF(C1="仅计算典型户型",'数据-取费表'!E5,'数据-取费表'!B5)</f>
        <v>66.209999999999994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55" t="s">
        <v>2343</v>
      </c>
      <c r="S4" s="3056"/>
      <c r="T4" s="3055" t="s">
        <v>2344</v>
      </c>
      <c r="U4" s="3056"/>
      <c r="V4" s="3061" t="s">
        <v>2345</v>
      </c>
      <c r="W4" s="3061"/>
      <c r="X4" s="1900"/>
      <c r="Y4" s="3055" t="s">
        <v>2347</v>
      </c>
      <c r="Z4" s="3056"/>
      <c r="AA4" s="3042" t="s">
        <v>2343</v>
      </c>
      <c r="AB4" s="3043" t="s">
        <v>2344</v>
      </c>
      <c r="AC4" s="3042" t="s">
        <v>2345</v>
      </c>
    </row>
    <row r="5" spans="1:29" ht="15">
      <c r="A5" s="383"/>
      <c r="B5" s="384"/>
      <c r="C5" s="3090" t="s">
        <v>2348</v>
      </c>
      <c r="D5" s="3065"/>
      <c r="E5" s="3091" t="s">
        <v>2349</v>
      </c>
      <c r="F5" s="3063"/>
      <c r="G5" s="3090" t="s">
        <v>2350</v>
      </c>
      <c r="H5" s="3065"/>
      <c r="I5" s="3090" t="s">
        <v>2351</v>
      </c>
      <c r="J5" s="3065"/>
      <c r="K5" s="594"/>
      <c r="L5" s="1243"/>
      <c r="M5" s="1244"/>
      <c r="N5" s="1244"/>
      <c r="O5" s="1244"/>
      <c r="P5" s="3051"/>
      <c r="Q5" s="3052"/>
      <c r="R5" s="3057"/>
      <c r="S5" s="3058"/>
      <c r="T5" s="3057"/>
      <c r="U5" s="3058"/>
      <c r="V5" s="3061"/>
      <c r="W5" s="3061"/>
      <c r="X5" s="1900"/>
      <c r="Y5" s="3057"/>
      <c r="Z5" s="3058"/>
      <c r="AA5" s="3043"/>
      <c r="AB5" s="3043"/>
      <c r="AC5" s="3043"/>
    </row>
    <row r="6" spans="1:29" ht="15.75" thickBot="1">
      <c r="A6" s="385"/>
      <c r="B6" s="386"/>
      <c r="C6" s="3066" t="s">
        <v>2352</v>
      </c>
      <c r="D6" s="3067"/>
      <c r="E6" s="3068" t="s">
        <v>2352</v>
      </c>
      <c r="F6" s="3069"/>
      <c r="G6" s="3066" t="s">
        <v>2352</v>
      </c>
      <c r="H6" s="3067"/>
      <c r="I6" s="3066" t="s">
        <v>2352</v>
      </c>
      <c r="J6" s="3067"/>
      <c r="K6" s="594" t="s">
        <v>2353</v>
      </c>
      <c r="L6" s="1243"/>
      <c r="M6" s="1244"/>
      <c r="N6" s="1244"/>
      <c r="O6" s="1244"/>
      <c r="P6" s="3053"/>
      <c r="Q6" s="3054"/>
      <c r="R6" s="3057"/>
      <c r="S6" s="3058"/>
      <c r="T6" s="3059"/>
      <c r="U6" s="3060"/>
      <c r="V6" s="3061"/>
      <c r="W6" s="3061"/>
      <c r="X6" s="1900"/>
      <c r="Y6" s="3059"/>
      <c r="Z6" s="3060"/>
      <c r="AA6" s="3044"/>
      <c r="AB6" s="3044"/>
      <c r="AC6" s="3044"/>
    </row>
    <row r="7" spans="1:29" s="35" customFormat="1" ht="15.75" thickBot="1">
      <c r="A7" s="387" t="s">
        <v>2354</v>
      </c>
      <c r="B7" s="388"/>
      <c r="C7" s="389">
        <f>'数据-取费表'!B2</f>
        <v>43339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7" t="s">
        <v>2355</v>
      </c>
      <c r="Q7" s="3079"/>
      <c r="R7" s="749" t="s">
        <v>25</v>
      </c>
      <c r="S7" s="750">
        <f t="shared" ref="S7:S15" si="0">F7</f>
        <v>0</v>
      </c>
      <c r="T7" s="749" t="s">
        <v>25</v>
      </c>
      <c r="U7" s="750">
        <f t="shared" ref="U7:U15" si="1">H7</f>
        <v>0</v>
      </c>
      <c r="V7" s="749" t="s">
        <v>25</v>
      </c>
      <c r="W7" s="750">
        <f t="shared" ref="W7:W15" si="2">J7</f>
        <v>0</v>
      </c>
      <c r="X7" s="751"/>
      <c r="Y7" s="3077" t="s">
        <v>2355</v>
      </c>
      <c r="Z7" s="307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7" t="s">
        <v>2358</v>
      </c>
      <c r="Q8" s="3078"/>
      <c r="R8" s="749" t="s">
        <v>25</v>
      </c>
      <c r="S8" s="750">
        <f t="shared" si="0"/>
        <v>100</v>
      </c>
      <c r="T8" s="749" t="s">
        <v>25</v>
      </c>
      <c r="U8" s="750">
        <f t="shared" si="1"/>
        <v>100</v>
      </c>
      <c r="V8" s="749" t="s">
        <v>25</v>
      </c>
      <c r="W8" s="750">
        <f t="shared" si="2"/>
        <v>100</v>
      </c>
      <c r="X8" s="751"/>
      <c r="Y8" s="3077" t="s">
        <v>2358</v>
      </c>
      <c r="Z8" s="307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81" t="s">
        <v>2361</v>
      </c>
      <c r="Q9" s="1887" t="str">
        <f t="shared" ref="Q9:Q15" si="6">B9</f>
        <v>用途</v>
      </c>
      <c r="R9" s="749" t="s">
        <v>25</v>
      </c>
      <c r="S9" s="750">
        <f t="shared" si="0"/>
        <v>100</v>
      </c>
      <c r="T9" s="749" t="s">
        <v>25</v>
      </c>
      <c r="U9" s="750">
        <f t="shared" si="1"/>
        <v>100</v>
      </c>
      <c r="V9" s="749" t="s">
        <v>25</v>
      </c>
      <c r="W9" s="750">
        <f t="shared" si="2"/>
        <v>100</v>
      </c>
      <c r="X9" s="751"/>
      <c r="Y9" s="289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81"/>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81"/>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81"/>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81"/>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81"/>
      <c r="Q14" s="188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70" t="s">
        <v>2366</v>
      </c>
      <c r="Q15" s="1899" t="str">
        <f t="shared" si="6"/>
        <v>产业集聚程度</v>
      </c>
      <c r="R15" s="753" t="s">
        <v>25</v>
      </c>
      <c r="S15" s="754">
        <f t="shared" si="0"/>
        <v>100</v>
      </c>
      <c r="T15" s="753" t="s">
        <v>25</v>
      </c>
      <c r="U15" s="754">
        <f t="shared" si="1"/>
        <v>100</v>
      </c>
      <c r="V15" s="753" t="s">
        <v>25</v>
      </c>
      <c r="W15" s="754">
        <f t="shared" si="2"/>
        <v>100</v>
      </c>
      <c r="X15" s="1900"/>
      <c r="Y15" s="3070"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71"/>
      <c r="Q16" s="1899"/>
      <c r="R16" s="753"/>
      <c r="S16" s="754"/>
      <c r="T16" s="753"/>
      <c r="U16" s="754"/>
      <c r="V16" s="753"/>
      <c r="W16" s="754"/>
      <c r="X16" s="1900"/>
      <c r="Y16" s="3071"/>
      <c r="Z16" s="1902"/>
      <c r="AA16" s="1903">
        <v>1</v>
      </c>
      <c r="AB16" s="1903">
        <v>1</v>
      </c>
      <c r="AC16" s="1903">
        <v>1</v>
      </c>
    </row>
    <row r="17" spans="1:29" ht="85.5">
      <c r="A17" s="408"/>
      <c r="B17" s="431" t="s">
        <v>1751</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71"/>
      <c r="Q17" s="1899" t="str">
        <f>B17</f>
        <v>交通便捷度</v>
      </c>
      <c r="R17" s="753" t="s">
        <v>25</v>
      </c>
      <c r="S17" s="754">
        <f>F17</f>
        <v>100</v>
      </c>
      <c r="T17" s="753" t="s">
        <v>25</v>
      </c>
      <c r="U17" s="754">
        <f>H17</f>
        <v>100</v>
      </c>
      <c r="V17" s="753" t="s">
        <v>25</v>
      </c>
      <c r="W17" s="754">
        <f>J17</f>
        <v>100</v>
      </c>
      <c r="X17" s="1900"/>
      <c r="Y17" s="3071"/>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71"/>
      <c r="Q18" s="1899"/>
      <c r="R18" s="753"/>
      <c r="S18" s="754"/>
      <c r="T18" s="753"/>
      <c r="U18" s="754"/>
      <c r="V18" s="753"/>
      <c r="W18" s="754"/>
      <c r="X18" s="1900"/>
      <c r="Y18" s="3071"/>
      <c r="Z18" s="1902"/>
      <c r="AA18" s="1903">
        <v>1</v>
      </c>
      <c r="AB18" s="1903">
        <v>1</v>
      </c>
      <c r="AC18" s="1903">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71"/>
      <c r="Q19" s="1899" t="str">
        <f>B19</f>
        <v>公共配套设施</v>
      </c>
      <c r="R19" s="753" t="s">
        <v>25</v>
      </c>
      <c r="S19" s="754">
        <f>F19</f>
        <v>100</v>
      </c>
      <c r="T19" s="753" t="s">
        <v>25</v>
      </c>
      <c r="U19" s="754">
        <f>H19</f>
        <v>100</v>
      </c>
      <c r="V19" s="753" t="s">
        <v>25</v>
      </c>
      <c r="W19" s="754">
        <f>J19</f>
        <v>100</v>
      </c>
      <c r="X19" s="1900"/>
      <c r="Y19" s="3071"/>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71"/>
      <c r="Q20" s="1899"/>
      <c r="R20" s="753"/>
      <c r="S20" s="754"/>
      <c r="T20" s="753"/>
      <c r="U20" s="754"/>
      <c r="V20" s="753"/>
      <c r="W20" s="754"/>
      <c r="X20" s="1900"/>
      <c r="Y20" s="3071"/>
      <c r="Z20" s="1902"/>
      <c r="AA20" s="1903">
        <v>1</v>
      </c>
      <c r="AB20" s="1903">
        <v>1</v>
      </c>
      <c r="AC20" s="1903">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71"/>
      <c r="Q21" s="1899" t="str">
        <f>B21</f>
        <v>基础设施水平</v>
      </c>
      <c r="R21" s="753" t="s">
        <v>25</v>
      </c>
      <c r="S21" s="754">
        <f>F21</f>
        <v>100</v>
      </c>
      <c r="T21" s="753" t="s">
        <v>25</v>
      </c>
      <c r="U21" s="754">
        <f>H21</f>
        <v>100</v>
      </c>
      <c r="V21" s="753" t="s">
        <v>25</v>
      </c>
      <c r="W21" s="754">
        <f>J21</f>
        <v>100</v>
      </c>
      <c r="X21" s="1900"/>
      <c r="Y21" s="3071"/>
      <c r="Z21" s="1902" t="str">
        <f>Q21</f>
        <v>基础设施水平</v>
      </c>
      <c r="AA21" s="1903">
        <f>D21/F21</f>
        <v>1</v>
      </c>
      <c r="AB21" s="1903">
        <f>D21/H21</f>
        <v>1</v>
      </c>
      <c r="AC21" s="1903">
        <f>D21/J21</f>
        <v>1</v>
      </c>
    </row>
    <row r="22" spans="1:29" ht="15">
      <c r="A22" s="408"/>
      <c r="B22" s="2408"/>
      <c r="C22" s="437"/>
      <c r="D22" s="427"/>
      <c r="E22" s="426"/>
      <c r="F22" s="429"/>
      <c r="G22" s="426"/>
      <c r="H22" s="427"/>
      <c r="I22" s="426"/>
      <c r="J22" s="427"/>
      <c r="K22" s="1469"/>
      <c r="L22" s="1253"/>
      <c r="M22" s="1244"/>
      <c r="N22" s="1244"/>
      <c r="O22" s="1252"/>
      <c r="P22" s="3071"/>
      <c r="Q22" s="1899"/>
      <c r="R22" s="753"/>
      <c r="S22" s="754"/>
      <c r="T22" s="753"/>
      <c r="U22" s="754"/>
      <c r="V22" s="753"/>
      <c r="W22" s="754"/>
      <c r="X22" s="1900"/>
      <c r="Y22" s="3071"/>
      <c r="Z22" s="1902"/>
      <c r="AA22" s="1903">
        <v>1</v>
      </c>
      <c r="AB22" s="1903">
        <v>1</v>
      </c>
      <c r="AC22" s="1903">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71"/>
      <c r="Q23" s="1899" t="str">
        <f>B23</f>
        <v>环境质量</v>
      </c>
      <c r="R23" s="753" t="s">
        <v>25</v>
      </c>
      <c r="S23" s="754">
        <f>F23</f>
        <v>100</v>
      </c>
      <c r="T23" s="753" t="s">
        <v>25</v>
      </c>
      <c r="U23" s="754">
        <f>H23</f>
        <v>100</v>
      </c>
      <c r="V23" s="753" t="s">
        <v>25</v>
      </c>
      <c r="W23" s="754">
        <f>J23</f>
        <v>100</v>
      </c>
      <c r="X23" s="1900"/>
      <c r="Y23" s="3071"/>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71"/>
      <c r="Q24" s="1899"/>
      <c r="R24" s="753"/>
      <c r="S24" s="754"/>
      <c r="T24" s="753"/>
      <c r="U24" s="754"/>
      <c r="V24" s="753"/>
      <c r="W24" s="754"/>
      <c r="X24" s="1900"/>
      <c r="Y24" s="3071"/>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71"/>
      <c r="Q25" s="1899">
        <f>B25</f>
        <v>111</v>
      </c>
      <c r="R25" s="753" t="s">
        <v>25</v>
      </c>
      <c r="S25" s="754">
        <f>F25</f>
        <v>100</v>
      </c>
      <c r="T25" s="753" t="s">
        <v>25</v>
      </c>
      <c r="U25" s="754">
        <f>H25</f>
        <v>100</v>
      </c>
      <c r="V25" s="753" t="s">
        <v>25</v>
      </c>
      <c r="W25" s="754">
        <f>J25</f>
        <v>100</v>
      </c>
      <c r="X25" s="1900"/>
      <c r="Y25" s="3071"/>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71"/>
      <c r="Q26" s="1899">
        <f t="shared" ref="Q26:Q40" si="8">B26</f>
        <v>111</v>
      </c>
      <c r="R26" s="753" t="s">
        <v>25</v>
      </c>
      <c r="S26" s="754">
        <f>F26</f>
        <v>100</v>
      </c>
      <c r="T26" s="753" t="s">
        <v>25</v>
      </c>
      <c r="U26" s="754">
        <f>H26</f>
        <v>100</v>
      </c>
      <c r="V26" s="753" t="s">
        <v>25</v>
      </c>
      <c r="W26" s="754">
        <f>J26</f>
        <v>100</v>
      </c>
      <c r="X26" s="1900"/>
      <c r="Y26" s="3071"/>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71"/>
      <c r="Q27" s="1887">
        <f t="shared" si="8"/>
        <v>111</v>
      </c>
      <c r="R27" s="749" t="s">
        <v>25</v>
      </c>
      <c r="S27" s="750">
        <f>F27</f>
        <v>100</v>
      </c>
      <c r="T27" s="749" t="s">
        <v>25</v>
      </c>
      <c r="U27" s="750">
        <f>H27</f>
        <v>100</v>
      </c>
      <c r="V27" s="749" t="s">
        <v>25</v>
      </c>
      <c r="W27" s="750">
        <f>J27</f>
        <v>100</v>
      </c>
      <c r="X27" s="751"/>
      <c r="Y27" s="3071"/>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71"/>
      <c r="Q28" s="1899">
        <f t="shared" si="8"/>
        <v>111</v>
      </c>
      <c r="R28" s="753" t="s">
        <v>25</v>
      </c>
      <c r="S28" s="754">
        <f t="shared" ref="S28:S40" si="9">F28</f>
        <v>100</v>
      </c>
      <c r="T28" s="753" t="s">
        <v>25</v>
      </c>
      <c r="U28" s="754">
        <f t="shared" ref="U28:U40" si="10">H28</f>
        <v>100</v>
      </c>
      <c r="V28" s="753" t="s">
        <v>25</v>
      </c>
      <c r="W28" s="754">
        <f t="shared" ref="W28:W40" si="11">J28</f>
        <v>100</v>
      </c>
      <c r="X28" s="1900"/>
      <c r="Y28" s="3071"/>
      <c r="Z28" s="1902">
        <f t="shared" ref="Z28:Z40" si="12">Q28</f>
        <v>111</v>
      </c>
      <c r="AA28" s="1903">
        <f t="shared" si="3"/>
        <v>1</v>
      </c>
      <c r="AB28" s="1903">
        <f t="shared" si="4"/>
        <v>1</v>
      </c>
      <c r="AC28" s="1903">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99" t="s">
        <v>2372</v>
      </c>
      <c r="Q29" s="1899" t="str">
        <f t="shared" si="8"/>
        <v>建筑类型</v>
      </c>
      <c r="R29" s="753" t="s">
        <v>25</v>
      </c>
      <c r="S29" s="754">
        <f t="shared" si="9"/>
        <v>100</v>
      </c>
      <c r="T29" s="753" t="s">
        <v>25</v>
      </c>
      <c r="U29" s="754">
        <f t="shared" si="10"/>
        <v>100</v>
      </c>
      <c r="V29" s="753" t="s">
        <v>25</v>
      </c>
      <c r="W29" s="754">
        <f t="shared" si="11"/>
        <v>100</v>
      </c>
      <c r="X29" s="1900"/>
      <c r="Y29" s="3075" t="s">
        <v>2372</v>
      </c>
      <c r="Z29" s="1902" t="str">
        <f t="shared" si="12"/>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75"/>
      <c r="Q30" s="755" t="str">
        <f t="shared" si="8"/>
        <v>项目建筑规模</v>
      </c>
      <c r="R30" s="756" t="s">
        <v>25</v>
      </c>
      <c r="S30" s="757" t="e">
        <f t="shared" si="9"/>
        <v>#N/A</v>
      </c>
      <c r="T30" s="756" t="s">
        <v>25</v>
      </c>
      <c r="U30" s="757" t="e">
        <f t="shared" si="10"/>
        <v>#N/A</v>
      </c>
      <c r="V30" s="756" t="s">
        <v>25</v>
      </c>
      <c r="W30" s="757" t="e">
        <f t="shared" si="11"/>
        <v>#N/A</v>
      </c>
      <c r="X30" s="758"/>
      <c r="Y30" s="3075"/>
      <c r="Z30" s="759" t="str">
        <f t="shared" si="12"/>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75"/>
      <c r="Q31" s="1899" t="str">
        <f t="shared" si="8"/>
        <v>建筑结构</v>
      </c>
      <c r="R31" s="753" t="s">
        <v>25</v>
      </c>
      <c r="S31" s="754">
        <f t="shared" si="9"/>
        <v>100</v>
      </c>
      <c r="T31" s="753" t="s">
        <v>25</v>
      </c>
      <c r="U31" s="754">
        <f t="shared" si="10"/>
        <v>100</v>
      </c>
      <c r="V31" s="753" t="s">
        <v>25</v>
      </c>
      <c r="W31" s="754">
        <f t="shared" si="11"/>
        <v>100</v>
      </c>
      <c r="X31" s="1900"/>
      <c r="Y31" s="3075"/>
      <c r="Z31" s="1902" t="str">
        <f t="shared" si="12"/>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75"/>
      <c r="Q32" s="1899" t="str">
        <f t="shared" si="8"/>
        <v>公共部分装修</v>
      </c>
      <c r="R32" s="753" t="s">
        <v>25</v>
      </c>
      <c r="S32" s="754">
        <f t="shared" si="9"/>
        <v>100</v>
      </c>
      <c r="T32" s="753" t="s">
        <v>25</v>
      </c>
      <c r="U32" s="754">
        <f t="shared" si="10"/>
        <v>100</v>
      </c>
      <c r="V32" s="753" t="s">
        <v>25</v>
      </c>
      <c r="W32" s="754">
        <f t="shared" si="11"/>
        <v>100</v>
      </c>
      <c r="X32" s="1900"/>
      <c r="Y32" s="3075"/>
      <c r="Z32" s="1902" t="str">
        <f t="shared" si="12"/>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75"/>
      <c r="Q33" s="1899" t="str">
        <f t="shared" si="8"/>
        <v>成新度</v>
      </c>
      <c r="R33" s="753" t="s">
        <v>25</v>
      </c>
      <c r="S33" s="754" t="e">
        <f t="shared" si="9"/>
        <v>#N/A</v>
      </c>
      <c r="T33" s="753" t="s">
        <v>25</v>
      </c>
      <c r="U33" s="754" t="e">
        <f t="shared" si="10"/>
        <v>#N/A</v>
      </c>
      <c r="V33" s="753" t="s">
        <v>25</v>
      </c>
      <c r="W33" s="754" t="e">
        <f t="shared" si="11"/>
        <v>#N/A</v>
      </c>
      <c r="X33" s="1900"/>
      <c r="Y33" s="3075"/>
      <c r="Z33" s="1902" t="str">
        <f t="shared" si="12"/>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75"/>
      <c r="Q34" s="1887" t="str">
        <f t="shared" si="8"/>
        <v>物业管理</v>
      </c>
      <c r="R34" s="749" t="s">
        <v>25</v>
      </c>
      <c r="S34" s="750">
        <f t="shared" si="9"/>
        <v>100</v>
      </c>
      <c r="T34" s="749" t="s">
        <v>25</v>
      </c>
      <c r="U34" s="750">
        <f t="shared" si="10"/>
        <v>100</v>
      </c>
      <c r="V34" s="749" t="s">
        <v>25</v>
      </c>
      <c r="W34" s="750">
        <f t="shared" si="11"/>
        <v>100</v>
      </c>
      <c r="X34" s="751"/>
      <c r="Y34" s="3075"/>
      <c r="Z34" s="23" t="str">
        <f t="shared" si="12"/>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75" t="s">
        <v>2372</v>
      </c>
      <c r="Q35" s="1899" t="str">
        <f t="shared" si="8"/>
        <v>市政基础设施</v>
      </c>
      <c r="R35" s="753" t="s">
        <v>25</v>
      </c>
      <c r="S35" s="754">
        <f t="shared" si="9"/>
        <v>100</v>
      </c>
      <c r="T35" s="753" t="s">
        <v>25</v>
      </c>
      <c r="U35" s="754">
        <f t="shared" si="10"/>
        <v>100</v>
      </c>
      <c r="V35" s="753" t="s">
        <v>25</v>
      </c>
      <c r="W35" s="754">
        <f t="shared" si="11"/>
        <v>100</v>
      </c>
      <c r="X35" s="1900"/>
      <c r="Y35" s="3075" t="s">
        <v>2372</v>
      </c>
      <c r="Z35" s="1902" t="str">
        <f t="shared" si="12"/>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75"/>
      <c r="Q36" s="1899" t="str">
        <f t="shared" si="8"/>
        <v>内部装修</v>
      </c>
      <c r="R36" s="753" t="s">
        <v>25</v>
      </c>
      <c r="S36" s="754">
        <f t="shared" si="9"/>
        <v>100</v>
      </c>
      <c r="T36" s="753" t="s">
        <v>25</v>
      </c>
      <c r="U36" s="754">
        <f t="shared" si="10"/>
        <v>100</v>
      </c>
      <c r="V36" s="753" t="s">
        <v>25</v>
      </c>
      <c r="W36" s="754">
        <f t="shared" si="11"/>
        <v>100</v>
      </c>
      <c r="X36" s="1900"/>
      <c r="Y36" s="3075"/>
      <c r="Z36" s="1902" t="str">
        <f t="shared" si="12"/>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75"/>
      <c r="Q37" s="1899" t="str">
        <f t="shared" si="8"/>
        <v>内部装修状况</v>
      </c>
      <c r="R37" s="753" t="s">
        <v>25</v>
      </c>
      <c r="S37" s="754">
        <f t="shared" si="9"/>
        <v>0</v>
      </c>
      <c r="T37" s="753" t="s">
        <v>25</v>
      </c>
      <c r="U37" s="754">
        <f t="shared" si="10"/>
        <v>0</v>
      </c>
      <c r="V37" s="753" t="s">
        <v>25</v>
      </c>
      <c r="W37" s="754">
        <f t="shared" si="11"/>
        <v>0</v>
      </c>
      <c r="X37" s="1900"/>
      <c r="Y37" s="3075"/>
      <c r="Z37" s="1902" t="str">
        <f t="shared" si="12"/>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75"/>
      <c r="Q38" s="755">
        <f t="shared" si="8"/>
        <v>111</v>
      </c>
      <c r="R38" s="756" t="s">
        <v>25</v>
      </c>
      <c r="S38" s="757">
        <f t="shared" si="9"/>
        <v>100</v>
      </c>
      <c r="T38" s="756" t="s">
        <v>25</v>
      </c>
      <c r="U38" s="757">
        <f t="shared" si="10"/>
        <v>100</v>
      </c>
      <c r="V38" s="756" t="s">
        <v>25</v>
      </c>
      <c r="W38" s="757">
        <f t="shared" si="11"/>
        <v>100</v>
      </c>
      <c r="X38" s="758"/>
      <c r="Y38" s="3075"/>
      <c r="Z38" s="759">
        <f t="shared" si="12"/>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75"/>
      <c r="Q39" s="1899">
        <f t="shared" si="8"/>
        <v>111</v>
      </c>
      <c r="R39" s="753" t="s">
        <v>25</v>
      </c>
      <c r="S39" s="754">
        <f t="shared" si="9"/>
        <v>100</v>
      </c>
      <c r="T39" s="753" t="s">
        <v>25</v>
      </c>
      <c r="U39" s="754">
        <f t="shared" si="10"/>
        <v>100</v>
      </c>
      <c r="V39" s="753" t="s">
        <v>25</v>
      </c>
      <c r="W39" s="754">
        <f t="shared" si="11"/>
        <v>100</v>
      </c>
      <c r="X39" s="1900"/>
      <c r="Y39" s="3075"/>
      <c r="Z39" s="1902">
        <f t="shared" si="12"/>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76"/>
      <c r="Q40" s="1899">
        <f t="shared" si="8"/>
        <v>111</v>
      </c>
      <c r="R40" s="753" t="s">
        <v>25</v>
      </c>
      <c r="S40" s="754">
        <f t="shared" si="9"/>
        <v>100</v>
      </c>
      <c r="T40" s="753" t="s">
        <v>25</v>
      </c>
      <c r="U40" s="754">
        <f t="shared" si="10"/>
        <v>100</v>
      </c>
      <c r="V40" s="753" t="s">
        <v>25</v>
      </c>
      <c r="W40" s="754">
        <f t="shared" si="11"/>
        <v>100</v>
      </c>
      <c r="X40" s="1900"/>
      <c r="Y40" s="3076"/>
      <c r="Z40" s="1902">
        <f t="shared" si="12"/>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81" t="str">
        <f>A41</f>
        <v>成交单价（元/平方米）</v>
      </c>
      <c r="Q41" s="3081"/>
      <c r="R41" s="3082">
        <f>E41</f>
        <v>0</v>
      </c>
      <c r="S41" s="3082"/>
      <c r="T41" s="3082">
        <f>G41</f>
        <v>0</v>
      </c>
      <c r="U41" s="3082"/>
      <c r="V41" s="3082">
        <f>I41</f>
        <v>0</v>
      </c>
      <c r="W41" s="308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81" t="str">
        <f>A42</f>
        <v>比较价值（元/平方米）</v>
      </c>
      <c r="Q42" s="3081"/>
      <c r="R42" s="3082" t="e">
        <f>IF(E1="售价",ROUND(PRODUCT(R41,AA7:AA40),0),ROUND(PRODUCT(R41,AA7:AA40),1))</f>
        <v>#DIV/0!</v>
      </c>
      <c r="S42" s="3082"/>
      <c r="T42" s="3082" t="e">
        <f>IF(E1="售价",ROUND(PRODUCT(T41,AB7:AB40),0),ROUND(PRODUCT(T41,AB7:AB40),1))</f>
        <v>#DIV/0!</v>
      </c>
      <c r="U42" s="3082"/>
      <c r="V42" s="3082" t="e">
        <f>IF(E1="售价",ROUND(PRODUCT(V41,AC7:AC40),0),ROUND(PRODUCT(V41,AC7:AC40),1))</f>
        <v>#DIV/0!</v>
      </c>
      <c r="W42" s="308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87" t="str">
        <f>A43</f>
        <v>估价对象XX用房的比较价值（楼面单价，元/平方米）</v>
      </c>
      <c r="Q43" s="3088"/>
      <c r="R43" s="3089" t="e">
        <f>IF(E1="售价",ROUND(AVERAGE(R42:V42),0),ROUND(AVERAGE(R42:V42),1))</f>
        <v>#DIV/0!</v>
      </c>
      <c r="S43" s="3089"/>
      <c r="T43" s="3089"/>
      <c r="U43" s="3089"/>
      <c r="V43" s="3089"/>
      <c r="W43" s="308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2018-8</v>
      </c>
      <c r="D52" s="1679">
        <f>EDATE(C52,-1)</f>
        <v>43282</v>
      </c>
      <c r="E52" s="1680">
        <f t="shared" ref="E52:O52" si="13">EDATE(D52,-1)</f>
        <v>43252</v>
      </c>
      <c r="F52" s="1680">
        <f t="shared" si="13"/>
        <v>43221</v>
      </c>
      <c r="G52" s="1680">
        <f t="shared" si="13"/>
        <v>43191</v>
      </c>
      <c r="H52" s="1680">
        <f t="shared" si="13"/>
        <v>43160</v>
      </c>
      <c r="I52" s="1680">
        <f t="shared" si="13"/>
        <v>43132</v>
      </c>
      <c r="J52" s="1680">
        <f t="shared" si="13"/>
        <v>43101</v>
      </c>
      <c r="K52" s="1680">
        <f t="shared" si="13"/>
        <v>43070</v>
      </c>
      <c r="L52" s="1680">
        <f t="shared" si="13"/>
        <v>43040</v>
      </c>
      <c r="M52" s="1680">
        <f t="shared" si="13"/>
        <v>43009</v>
      </c>
      <c r="N52" s="1680">
        <f t="shared" si="13"/>
        <v>42979</v>
      </c>
      <c r="O52" s="1680">
        <f t="shared" si="13"/>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8"/>
      <c r="O89" s="1268"/>
      <c r="P89" s="22"/>
      <c r="Q89" s="485"/>
    </row>
    <row r="90" spans="1:17" ht="15.75" thickTop="1">
      <c r="A90" s="516"/>
      <c r="B90" s="521" t="s">
        <v>2420</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2340</v>
      </c>
      <c r="D3" s="378">
        <f>IF(C1="仅计算典型户型",'数据-取费表'!E5,'数据-取费表'!B5)</f>
        <v>66.209999999999994</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514"/>
      <c r="M4" s="425"/>
      <c r="N4" s="425"/>
      <c r="O4" s="425"/>
      <c r="P4" s="3049" t="s">
        <v>2347</v>
      </c>
      <c r="Q4" s="3050"/>
      <c r="R4" s="3055" t="s">
        <v>2343</v>
      </c>
      <c r="S4" s="3056"/>
      <c r="T4" s="3055" t="s">
        <v>2344</v>
      </c>
      <c r="U4" s="3056"/>
      <c r="V4" s="3061" t="s">
        <v>2345</v>
      </c>
      <c r="W4" s="3061"/>
      <c r="X4" s="1900"/>
      <c r="Y4" s="3055" t="s">
        <v>2347</v>
      </c>
      <c r="Z4" s="3056"/>
      <c r="AA4" s="3042" t="s">
        <v>2343</v>
      </c>
      <c r="AB4" s="3043" t="s">
        <v>2344</v>
      </c>
      <c r="AC4" s="3042" t="s">
        <v>2345</v>
      </c>
    </row>
    <row r="5" spans="1:29" ht="15">
      <c r="A5" s="383"/>
      <c r="B5" s="384"/>
      <c r="C5" s="3090" t="s">
        <v>2348</v>
      </c>
      <c r="D5" s="3065"/>
      <c r="E5" s="3091" t="s">
        <v>2349</v>
      </c>
      <c r="F5" s="3063"/>
      <c r="G5" s="3090" t="s">
        <v>2350</v>
      </c>
      <c r="H5" s="3065"/>
      <c r="I5" s="3090" t="s">
        <v>2351</v>
      </c>
      <c r="J5" s="3065"/>
      <c r="K5" s="594"/>
      <c r="L5" s="1514"/>
      <c r="M5" s="425"/>
      <c r="N5" s="425"/>
      <c r="O5" s="425"/>
      <c r="P5" s="3051"/>
      <c r="Q5" s="3052"/>
      <c r="R5" s="3057"/>
      <c r="S5" s="3058"/>
      <c r="T5" s="3057"/>
      <c r="U5" s="3058"/>
      <c r="V5" s="3061"/>
      <c r="W5" s="3061"/>
      <c r="X5" s="1900"/>
      <c r="Y5" s="3057"/>
      <c r="Z5" s="3058"/>
      <c r="AA5" s="3043"/>
      <c r="AB5" s="3043"/>
      <c r="AC5" s="3043"/>
    </row>
    <row r="6" spans="1:29" ht="15.75" thickBot="1">
      <c r="A6" s="385"/>
      <c r="B6" s="386"/>
      <c r="C6" s="3066" t="s">
        <v>2352</v>
      </c>
      <c r="D6" s="3067"/>
      <c r="E6" s="3068" t="s">
        <v>2352</v>
      </c>
      <c r="F6" s="3069"/>
      <c r="G6" s="3066" t="s">
        <v>2352</v>
      </c>
      <c r="H6" s="3067"/>
      <c r="I6" s="3066" t="s">
        <v>2352</v>
      </c>
      <c r="J6" s="3067"/>
      <c r="K6" s="594" t="s">
        <v>2353</v>
      </c>
      <c r="L6" s="1514"/>
      <c r="M6" s="425"/>
      <c r="N6" s="425"/>
      <c r="O6" s="425"/>
      <c r="P6" s="3053"/>
      <c r="Q6" s="3054"/>
      <c r="R6" s="3057"/>
      <c r="S6" s="3058"/>
      <c r="T6" s="3059"/>
      <c r="U6" s="3060"/>
      <c r="V6" s="3061"/>
      <c r="W6" s="3061"/>
      <c r="X6" s="1900"/>
      <c r="Y6" s="3059"/>
      <c r="Z6" s="3060"/>
      <c r="AA6" s="3044"/>
      <c r="AB6" s="3044"/>
      <c r="AC6" s="3044"/>
    </row>
    <row r="7" spans="1:29" s="35" customFormat="1" ht="15.75" thickBot="1">
      <c r="A7" s="387" t="s">
        <v>2354</v>
      </c>
      <c r="B7" s="388"/>
      <c r="C7" s="389">
        <f>'数据-取费表'!B2</f>
        <v>43339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7" t="s">
        <v>2355</v>
      </c>
      <c r="Q7" s="3079"/>
      <c r="R7" s="749" t="s">
        <v>25</v>
      </c>
      <c r="S7" s="750">
        <f t="shared" ref="S7:S14" si="0">F7</f>
        <v>0</v>
      </c>
      <c r="T7" s="749" t="s">
        <v>25</v>
      </c>
      <c r="U7" s="750">
        <f t="shared" ref="U7:U14" si="1">H7</f>
        <v>0</v>
      </c>
      <c r="V7" s="749" t="s">
        <v>25</v>
      </c>
      <c r="W7" s="750">
        <f t="shared" ref="W7:W14" si="2">J7</f>
        <v>0</v>
      </c>
      <c r="X7" s="751"/>
      <c r="Y7" s="3077" t="s">
        <v>2355</v>
      </c>
      <c r="Z7" s="307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7" t="s">
        <v>2358</v>
      </c>
      <c r="Q8" s="3078"/>
      <c r="R8" s="749" t="s">
        <v>25</v>
      </c>
      <c r="S8" s="750">
        <f t="shared" si="0"/>
        <v>0</v>
      </c>
      <c r="T8" s="749" t="s">
        <v>25</v>
      </c>
      <c r="U8" s="750">
        <f t="shared" si="1"/>
        <v>0</v>
      </c>
      <c r="V8" s="749" t="s">
        <v>25</v>
      </c>
      <c r="W8" s="750">
        <f t="shared" si="2"/>
        <v>0</v>
      </c>
      <c r="X8" s="751"/>
      <c r="Y8" s="3077" t="s">
        <v>2358</v>
      </c>
      <c r="Z8" s="307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81" t="s">
        <v>2361</v>
      </c>
      <c r="Q9" s="1887" t="str">
        <f t="shared" ref="Q9:Q14" si="6">B9</f>
        <v>用途</v>
      </c>
      <c r="R9" s="749" t="s">
        <v>25</v>
      </c>
      <c r="S9" s="750">
        <f t="shared" si="0"/>
        <v>100</v>
      </c>
      <c r="T9" s="749" t="s">
        <v>25</v>
      </c>
      <c r="U9" s="750">
        <f t="shared" si="1"/>
        <v>100</v>
      </c>
      <c r="V9" s="749" t="s">
        <v>25</v>
      </c>
      <c r="W9" s="750">
        <f t="shared" si="2"/>
        <v>100</v>
      </c>
      <c r="X9" s="751"/>
      <c r="Y9" s="2893"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81"/>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81"/>
      <c r="Q11" s="188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81"/>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81"/>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估价对象紧邻城市次干道—太平街，有14路、40路、66路、70路等多条公交线路及地铁4号线（陶然亭站）通过，交通便捷度较好。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70" t="s">
        <v>2366</v>
      </c>
      <c r="Q14" s="1899" t="str">
        <f t="shared" si="6"/>
        <v>交通便捷度</v>
      </c>
      <c r="R14" s="753" t="s">
        <v>25</v>
      </c>
      <c r="S14" s="754">
        <f t="shared" si="0"/>
        <v>100</v>
      </c>
      <c r="T14" s="753" t="s">
        <v>25</v>
      </c>
      <c r="U14" s="754">
        <f t="shared" si="1"/>
        <v>100</v>
      </c>
      <c r="V14" s="753" t="s">
        <v>25</v>
      </c>
      <c r="W14" s="754">
        <f t="shared" si="2"/>
        <v>100</v>
      </c>
      <c r="X14" s="1900"/>
      <c r="Y14" s="3070"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71"/>
      <c r="Q15" s="1899"/>
      <c r="R15" s="753"/>
      <c r="S15" s="754"/>
      <c r="T15" s="753"/>
      <c r="U15" s="754"/>
      <c r="V15" s="753"/>
      <c r="W15" s="754"/>
      <c r="X15" s="1900"/>
      <c r="Y15" s="3071"/>
      <c r="Z15" s="1902"/>
      <c r="AA15" s="1903">
        <v>1</v>
      </c>
      <c r="AB15" s="1903">
        <v>1</v>
      </c>
      <c r="AC15" s="1903">
        <v>1</v>
      </c>
    </row>
    <row r="16" spans="1:29" ht="42.75">
      <c r="A16" s="383"/>
      <c r="B16" s="615" t="s">
        <v>2481</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71"/>
      <c r="Q16" s="1899" t="str">
        <f>B16</f>
        <v>公共配套设施</v>
      </c>
      <c r="R16" s="753" t="s">
        <v>25</v>
      </c>
      <c r="S16" s="754">
        <f>F16</f>
        <v>100</v>
      </c>
      <c r="T16" s="753" t="s">
        <v>25</v>
      </c>
      <c r="U16" s="754">
        <f>H16</f>
        <v>100</v>
      </c>
      <c r="V16" s="753" t="s">
        <v>25</v>
      </c>
      <c r="W16" s="754">
        <f>J16</f>
        <v>100</v>
      </c>
      <c r="X16" s="1900"/>
      <c r="Y16" s="307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71"/>
      <c r="Q17" s="1899"/>
      <c r="R17" s="753"/>
      <c r="S17" s="754"/>
      <c r="T17" s="753"/>
      <c r="U17" s="754"/>
      <c r="V17" s="753"/>
      <c r="W17" s="754"/>
      <c r="X17" s="1900"/>
      <c r="Y17" s="3071"/>
      <c r="Z17" s="1902"/>
      <c r="AA17" s="1903">
        <v>1</v>
      </c>
      <c r="AB17" s="1903">
        <v>1</v>
      </c>
      <c r="AC17" s="1903">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71"/>
      <c r="Q18" s="1899" t="str">
        <f>B18</f>
        <v>基础设施水平</v>
      </c>
      <c r="R18" s="753" t="s">
        <v>25</v>
      </c>
      <c r="S18" s="754">
        <f>F18</f>
        <v>100</v>
      </c>
      <c r="T18" s="753" t="s">
        <v>25</v>
      </c>
      <c r="U18" s="754">
        <f>H18</f>
        <v>100</v>
      </c>
      <c r="V18" s="753" t="s">
        <v>25</v>
      </c>
      <c r="W18" s="754">
        <f>J18</f>
        <v>100</v>
      </c>
      <c r="X18" s="1900"/>
      <c r="Y18" s="3071"/>
      <c r="Z18" s="1902" t="str">
        <f>Q18</f>
        <v>基础设施水平</v>
      </c>
      <c r="AA18" s="1903">
        <f>D18/F18</f>
        <v>1</v>
      </c>
      <c r="AB18" s="1903">
        <f>D18/H18</f>
        <v>1</v>
      </c>
      <c r="AC18" s="1903">
        <f>D18/J18</f>
        <v>1</v>
      </c>
    </row>
    <row r="19" spans="1:29" ht="15">
      <c r="A19" s="383"/>
      <c r="B19" s="617"/>
      <c r="C19" s="1471"/>
      <c r="D19" s="1476"/>
      <c r="E19" s="1468"/>
      <c r="F19" s="430"/>
      <c r="G19" s="1468"/>
      <c r="H19" s="427"/>
      <c r="I19" s="428"/>
      <c r="J19" s="427"/>
      <c r="K19" s="1469"/>
      <c r="L19" s="1522"/>
      <c r="M19" s="425"/>
      <c r="N19" s="425"/>
      <c r="O19" s="1901"/>
      <c r="P19" s="3071"/>
      <c r="Q19" s="1899"/>
      <c r="R19" s="753"/>
      <c r="S19" s="754"/>
      <c r="T19" s="753"/>
      <c r="U19" s="754"/>
      <c r="V19" s="753"/>
      <c r="W19" s="754"/>
      <c r="X19" s="1900"/>
      <c r="Y19" s="3071"/>
      <c r="Z19" s="1902"/>
      <c r="AA19" s="1903">
        <v>1</v>
      </c>
      <c r="AB19" s="1903">
        <v>1</v>
      </c>
      <c r="AC19" s="1903">
        <v>1</v>
      </c>
    </row>
    <row r="20" spans="1:29" ht="156.75">
      <c r="A20" s="383"/>
      <c r="B20" s="615" t="s">
        <v>2510</v>
      </c>
      <c r="C20" s="1482" t="str">
        <f>IF(B1="工业",估价对象房地状况!G7,估价对象房地状况!C9)</f>
        <v>区域自然环境：陶然亭公园、天坛公园、永定门公园、护城河；人文环境：自然博物馆、北京古代建筑博物馆、中国盲文博物馆、北京先农坛体育场；综合评价环境状况好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71"/>
      <c r="Q20" s="1899" t="str">
        <f>B20</f>
        <v>自然及人文环境</v>
      </c>
      <c r="R20" s="753" t="s">
        <v>25</v>
      </c>
      <c r="S20" s="754">
        <f>F20</f>
        <v>100</v>
      </c>
      <c r="T20" s="753" t="s">
        <v>25</v>
      </c>
      <c r="U20" s="754">
        <f>H20</f>
        <v>100</v>
      </c>
      <c r="V20" s="753" t="s">
        <v>25</v>
      </c>
      <c r="W20" s="754">
        <f>J20</f>
        <v>100</v>
      </c>
      <c r="X20" s="1900"/>
      <c r="Y20" s="307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71"/>
      <c r="Q21" s="1899"/>
      <c r="R21" s="753"/>
      <c r="S21" s="754"/>
      <c r="T21" s="753"/>
      <c r="U21" s="754"/>
      <c r="V21" s="753"/>
      <c r="W21" s="754"/>
      <c r="X21" s="1900"/>
      <c r="Y21" s="3071"/>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71"/>
      <c r="Q22" s="1899" t="str">
        <f>B22</f>
        <v>楼层</v>
      </c>
      <c r="R22" s="753" t="s">
        <v>25</v>
      </c>
      <c r="S22" s="754">
        <f>F22</f>
        <v>100</v>
      </c>
      <c r="T22" s="753" t="s">
        <v>25</v>
      </c>
      <c r="U22" s="754">
        <f>H22</f>
        <v>100</v>
      </c>
      <c r="V22" s="753" t="s">
        <v>25</v>
      </c>
      <c r="W22" s="754">
        <f>J22</f>
        <v>100</v>
      </c>
      <c r="X22" s="1900"/>
      <c r="Y22" s="307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71"/>
      <c r="Q23" s="1899">
        <f>B23</f>
        <v>111</v>
      </c>
      <c r="R23" s="753" t="s">
        <v>25</v>
      </c>
      <c r="S23" s="754">
        <f>F23</f>
        <v>100</v>
      </c>
      <c r="T23" s="753" t="s">
        <v>25</v>
      </c>
      <c r="U23" s="754">
        <f>H23</f>
        <v>100</v>
      </c>
      <c r="V23" s="753" t="s">
        <v>25</v>
      </c>
      <c r="W23" s="754">
        <f>J23</f>
        <v>100</v>
      </c>
      <c r="X23" s="1900"/>
      <c r="Y23" s="307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71"/>
      <c r="Q24" s="1899">
        <f t="shared" ref="Q24:Q36" si="8">B24</f>
        <v>111</v>
      </c>
      <c r="R24" s="753" t="s">
        <v>25</v>
      </c>
      <c r="S24" s="754">
        <f>F24</f>
        <v>100</v>
      </c>
      <c r="T24" s="753" t="s">
        <v>25</v>
      </c>
      <c r="U24" s="754">
        <f>H24</f>
        <v>100</v>
      </c>
      <c r="V24" s="753" t="s">
        <v>25</v>
      </c>
      <c r="W24" s="754">
        <f>J24</f>
        <v>100</v>
      </c>
      <c r="X24" s="1900"/>
      <c r="Y24" s="307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71"/>
      <c r="Q25" s="1887">
        <f t="shared" si="8"/>
        <v>111</v>
      </c>
      <c r="R25" s="749" t="s">
        <v>25</v>
      </c>
      <c r="S25" s="750">
        <f>F25</f>
        <v>100</v>
      </c>
      <c r="T25" s="749" t="s">
        <v>25</v>
      </c>
      <c r="U25" s="750">
        <f>H25</f>
        <v>100</v>
      </c>
      <c r="V25" s="749" t="s">
        <v>25</v>
      </c>
      <c r="W25" s="750">
        <f>J25</f>
        <v>100</v>
      </c>
      <c r="X25" s="751"/>
      <c r="Y25" s="3071"/>
      <c r="Z25" s="23">
        <f>Q25</f>
        <v>111</v>
      </c>
      <c r="AA25" s="1903">
        <f>D25/F25</f>
        <v>1</v>
      </c>
      <c r="AB25" s="1903">
        <f>D25/H25</f>
        <v>1</v>
      </c>
      <c r="AC25" s="1903">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9" t="s">
        <v>2372</v>
      </c>
      <c r="Q26" s="1899" t="str">
        <f t="shared" si="8"/>
        <v>配套类型</v>
      </c>
      <c r="R26" s="753" t="s">
        <v>25</v>
      </c>
      <c r="S26" s="754">
        <f t="shared" ref="S26:S36" si="9">F26</f>
        <v>100</v>
      </c>
      <c r="T26" s="753" t="s">
        <v>25</v>
      </c>
      <c r="U26" s="754">
        <f t="shared" ref="U26:U36" si="10">H26</f>
        <v>100</v>
      </c>
      <c r="V26" s="753" t="s">
        <v>25</v>
      </c>
      <c r="W26" s="754">
        <f t="shared" ref="W26:W36" si="11">J26</f>
        <v>100</v>
      </c>
      <c r="X26" s="1900"/>
      <c r="Y26" s="3075" t="s">
        <v>2372</v>
      </c>
      <c r="Z26" s="1902" t="str">
        <f t="shared" ref="Z26:Z36" si="12">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75"/>
      <c r="Q27" s="755" t="str">
        <f t="shared" si="8"/>
        <v>项目停车位配比</v>
      </c>
      <c r="R27" s="756" t="s">
        <v>25</v>
      </c>
      <c r="S27" s="757">
        <f t="shared" si="9"/>
        <v>100</v>
      </c>
      <c r="T27" s="756" t="s">
        <v>25</v>
      </c>
      <c r="U27" s="757">
        <f t="shared" si="10"/>
        <v>100</v>
      </c>
      <c r="V27" s="756" t="s">
        <v>25</v>
      </c>
      <c r="W27" s="757">
        <f t="shared" si="11"/>
        <v>100</v>
      </c>
      <c r="X27" s="758"/>
      <c r="Y27" s="3075"/>
      <c r="Z27" s="759" t="str">
        <f t="shared" si="12"/>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75"/>
      <c r="Q28" s="1899" t="str">
        <f t="shared" si="8"/>
        <v>公共部分装修</v>
      </c>
      <c r="R28" s="753" t="s">
        <v>25</v>
      </c>
      <c r="S28" s="754">
        <f t="shared" si="9"/>
        <v>100</v>
      </c>
      <c r="T28" s="753" t="s">
        <v>25</v>
      </c>
      <c r="U28" s="754">
        <f t="shared" si="10"/>
        <v>100</v>
      </c>
      <c r="V28" s="753" t="s">
        <v>25</v>
      </c>
      <c r="W28" s="754">
        <f t="shared" si="11"/>
        <v>100</v>
      </c>
      <c r="X28" s="1900"/>
      <c r="Y28" s="3075"/>
      <c r="Z28" s="1902" t="str">
        <f t="shared" si="12"/>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75"/>
      <c r="Q29" s="1899" t="str">
        <f t="shared" si="8"/>
        <v>成新率</v>
      </c>
      <c r="R29" s="753" t="s">
        <v>25</v>
      </c>
      <c r="S29" s="754" t="e">
        <f t="shared" si="9"/>
        <v>#N/A</v>
      </c>
      <c r="T29" s="753" t="s">
        <v>25</v>
      </c>
      <c r="U29" s="754" t="e">
        <f t="shared" si="10"/>
        <v>#N/A</v>
      </c>
      <c r="V29" s="753" t="s">
        <v>25</v>
      </c>
      <c r="W29" s="754" t="e">
        <f t="shared" si="11"/>
        <v>#N/A</v>
      </c>
      <c r="X29" s="1900"/>
      <c r="Y29" s="3075"/>
      <c r="Z29" s="1902" t="str">
        <f t="shared" si="12"/>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75"/>
      <c r="Q30" s="1899" t="str">
        <f t="shared" si="8"/>
        <v>物业等级</v>
      </c>
      <c r="R30" s="753" t="s">
        <v>25</v>
      </c>
      <c r="S30" s="754">
        <f t="shared" si="9"/>
        <v>100</v>
      </c>
      <c r="T30" s="753" t="s">
        <v>25</v>
      </c>
      <c r="U30" s="754">
        <f t="shared" si="10"/>
        <v>100</v>
      </c>
      <c r="V30" s="753" t="s">
        <v>25</v>
      </c>
      <c r="W30" s="754">
        <f t="shared" si="11"/>
        <v>100</v>
      </c>
      <c r="X30" s="1900"/>
      <c r="Y30" s="3075"/>
      <c r="Z30" s="1902" t="str">
        <f t="shared" si="12"/>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75"/>
      <c r="Q31" s="1887" t="str">
        <f t="shared" si="8"/>
        <v>停车位面积</v>
      </c>
      <c r="R31" s="749" t="s">
        <v>25</v>
      </c>
      <c r="S31" s="750" t="e">
        <f t="shared" si="9"/>
        <v>#N/A</v>
      </c>
      <c r="T31" s="749" t="s">
        <v>25</v>
      </c>
      <c r="U31" s="750" t="e">
        <f t="shared" si="10"/>
        <v>#N/A</v>
      </c>
      <c r="V31" s="749" t="s">
        <v>25</v>
      </c>
      <c r="W31" s="750" t="e">
        <f t="shared" si="11"/>
        <v>#N/A</v>
      </c>
      <c r="X31" s="751"/>
      <c r="Y31" s="3075"/>
      <c r="Z31" s="23" t="str">
        <f t="shared" si="12"/>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75" t="s">
        <v>2372</v>
      </c>
      <c r="Q32" s="1899" t="str">
        <f t="shared" si="8"/>
        <v>车位类型</v>
      </c>
      <c r="R32" s="753" t="s">
        <v>25</v>
      </c>
      <c r="S32" s="754">
        <f t="shared" si="9"/>
        <v>100</v>
      </c>
      <c r="T32" s="753" t="s">
        <v>25</v>
      </c>
      <c r="U32" s="754">
        <f t="shared" si="10"/>
        <v>100</v>
      </c>
      <c r="V32" s="753" t="s">
        <v>25</v>
      </c>
      <c r="W32" s="754">
        <f t="shared" si="11"/>
        <v>100</v>
      </c>
      <c r="X32" s="1900"/>
      <c r="Y32" s="3075" t="s">
        <v>2372</v>
      </c>
      <c r="Z32" s="1902" t="str">
        <f t="shared" si="12"/>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75"/>
      <c r="Q33" s="1899" t="str">
        <f t="shared" si="8"/>
        <v>是否直接入户</v>
      </c>
      <c r="R33" s="753" t="s">
        <v>25</v>
      </c>
      <c r="S33" s="754">
        <f t="shared" si="9"/>
        <v>100</v>
      </c>
      <c r="T33" s="753" t="s">
        <v>25</v>
      </c>
      <c r="U33" s="754">
        <f t="shared" si="10"/>
        <v>100</v>
      </c>
      <c r="V33" s="753" t="s">
        <v>25</v>
      </c>
      <c r="W33" s="754">
        <f t="shared" si="11"/>
        <v>100</v>
      </c>
      <c r="X33" s="1900"/>
      <c r="Y33" s="3075"/>
      <c r="Z33" s="1902" t="str">
        <f t="shared" si="12"/>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75"/>
      <c r="Q34" s="1899">
        <f t="shared" si="8"/>
        <v>111</v>
      </c>
      <c r="R34" s="753" t="s">
        <v>25</v>
      </c>
      <c r="S34" s="754">
        <f t="shared" si="9"/>
        <v>100</v>
      </c>
      <c r="T34" s="753" t="s">
        <v>25</v>
      </c>
      <c r="U34" s="754">
        <f t="shared" si="10"/>
        <v>100</v>
      </c>
      <c r="V34" s="753" t="s">
        <v>25</v>
      </c>
      <c r="W34" s="754">
        <f t="shared" si="11"/>
        <v>100</v>
      </c>
      <c r="X34" s="1900"/>
      <c r="Y34" s="3075"/>
      <c r="Z34" s="1902">
        <f t="shared" si="12"/>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75"/>
      <c r="Q35" s="755">
        <f t="shared" si="8"/>
        <v>111</v>
      </c>
      <c r="R35" s="756" t="s">
        <v>25</v>
      </c>
      <c r="S35" s="757">
        <f t="shared" si="9"/>
        <v>100</v>
      </c>
      <c r="T35" s="756" t="s">
        <v>25</v>
      </c>
      <c r="U35" s="757">
        <f t="shared" si="10"/>
        <v>100</v>
      </c>
      <c r="V35" s="756" t="s">
        <v>25</v>
      </c>
      <c r="W35" s="757">
        <f t="shared" si="11"/>
        <v>100</v>
      </c>
      <c r="X35" s="758"/>
      <c r="Y35" s="3075"/>
      <c r="Z35" s="759">
        <f t="shared" si="12"/>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75"/>
      <c r="Q36" s="1899">
        <f t="shared" si="8"/>
        <v>111</v>
      </c>
      <c r="R36" s="753" t="s">
        <v>25</v>
      </c>
      <c r="S36" s="754">
        <f t="shared" si="9"/>
        <v>100</v>
      </c>
      <c r="T36" s="753" t="s">
        <v>25</v>
      </c>
      <c r="U36" s="754">
        <f t="shared" si="10"/>
        <v>100</v>
      </c>
      <c r="V36" s="753" t="s">
        <v>25</v>
      </c>
      <c r="W36" s="754">
        <f t="shared" si="11"/>
        <v>100</v>
      </c>
      <c r="X36" s="1900"/>
      <c r="Y36" s="3075"/>
      <c r="Z36" s="1902">
        <f t="shared" si="12"/>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81" t="str">
        <f>A37</f>
        <v>成交单价</v>
      </c>
      <c r="Q37" s="3081"/>
      <c r="R37" s="3082">
        <f>E37</f>
        <v>0</v>
      </c>
      <c r="S37" s="3082"/>
      <c r="T37" s="3082">
        <f>G37</f>
        <v>0</v>
      </c>
      <c r="U37" s="3082"/>
      <c r="V37" s="3082">
        <f>I37</f>
        <v>0</v>
      </c>
      <c r="W37" s="308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81" t="str">
        <f>A38</f>
        <v>比较价值</v>
      </c>
      <c r="Q38" s="3081"/>
      <c r="R38" s="3082" t="e">
        <f>IF(E1="售价",ROUND(PRODUCT(R37,AA7:AA36),0),ROUND(PRODUCT(R37,AA7:AA36),1))</f>
        <v>#DIV/0!</v>
      </c>
      <c r="S38" s="3082"/>
      <c r="T38" s="3082" t="e">
        <f>IF(E1="售价",ROUND(PRODUCT(T37,AB7:AB36),0),ROUND(PRODUCT(T37,AB7:AB36),1))</f>
        <v>#DIV/0!</v>
      </c>
      <c r="U38" s="3082"/>
      <c r="V38" s="3082" t="e">
        <f>IF(E1="售价",ROUND(PRODUCT(V37,AC7:AC36),0),ROUND(PRODUCT(V37,AC7:AC36),1))</f>
        <v>#DIV/0!</v>
      </c>
      <c r="W38" s="308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87" t="str">
        <f>A39</f>
        <v>估价对象XX用房的比较价值（楼面单价，元/平方米）</v>
      </c>
      <c r="Q39" s="3088"/>
      <c r="R39" s="3089" t="e">
        <f>IF(E1="售价",ROUND(AVERAGE(R38:V38),0),ROUND(AVERAGE(R38:V38),1))</f>
        <v>#DIV/0!</v>
      </c>
      <c r="S39" s="3089"/>
      <c r="T39" s="3089"/>
      <c r="U39" s="3089"/>
      <c r="V39" s="3089"/>
      <c r="W39" s="308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2018-8</v>
      </c>
      <c r="D48" s="1679">
        <f>EDATE(C48,-1)</f>
        <v>43282</v>
      </c>
      <c r="E48" s="1679">
        <f t="shared" ref="E48:O48" si="13">EDATE(D48,-1)</f>
        <v>43252</v>
      </c>
      <c r="F48" s="1679">
        <f t="shared" si="13"/>
        <v>43221</v>
      </c>
      <c r="G48" s="1679">
        <f t="shared" si="13"/>
        <v>43191</v>
      </c>
      <c r="H48" s="1679">
        <f t="shared" si="13"/>
        <v>43160</v>
      </c>
      <c r="I48" s="1679">
        <f t="shared" si="13"/>
        <v>43132</v>
      </c>
      <c r="J48" s="1679">
        <f t="shared" si="13"/>
        <v>43101</v>
      </c>
      <c r="K48" s="1679">
        <f t="shared" si="13"/>
        <v>43070</v>
      </c>
      <c r="L48" s="1679">
        <f t="shared" si="13"/>
        <v>43040</v>
      </c>
      <c r="M48" s="1679">
        <f t="shared" si="13"/>
        <v>43009</v>
      </c>
      <c r="N48" s="1679">
        <f t="shared" si="13"/>
        <v>42979</v>
      </c>
      <c r="O48" s="1679">
        <f t="shared" si="13"/>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2534</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2340</v>
      </c>
      <c r="D3" s="378">
        <f>IF(C1="仅计算典型户型",'数据-取费表'!E5,'数据-取费表'!B5)</f>
        <v>66.209999999999994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55" t="s">
        <v>2343</v>
      </c>
      <c r="S4" s="3056"/>
      <c r="T4" s="3055" t="s">
        <v>2344</v>
      </c>
      <c r="U4" s="3056"/>
      <c r="V4" s="3061" t="s">
        <v>2345</v>
      </c>
      <c r="W4" s="3061"/>
      <c r="X4" s="1900"/>
      <c r="Y4" s="3055" t="s">
        <v>2347</v>
      </c>
      <c r="Z4" s="3056"/>
      <c r="AA4" s="3042" t="s">
        <v>2343</v>
      </c>
      <c r="AB4" s="3043" t="s">
        <v>2344</v>
      </c>
      <c r="AC4" s="3042" t="s">
        <v>2345</v>
      </c>
    </row>
    <row r="5" spans="1:29" ht="15">
      <c r="A5" s="383"/>
      <c r="B5" s="384"/>
      <c r="C5" s="3090" t="s">
        <v>2348</v>
      </c>
      <c r="D5" s="3065"/>
      <c r="E5" s="3091" t="s">
        <v>2349</v>
      </c>
      <c r="F5" s="3063"/>
      <c r="G5" s="3090" t="s">
        <v>2350</v>
      </c>
      <c r="H5" s="3065"/>
      <c r="I5" s="3090" t="s">
        <v>2351</v>
      </c>
      <c r="J5" s="3065"/>
      <c r="K5" s="594"/>
      <c r="L5" s="1243"/>
      <c r="M5" s="1244"/>
      <c r="N5" s="1244"/>
      <c r="O5" s="1244"/>
      <c r="P5" s="3051"/>
      <c r="Q5" s="3052"/>
      <c r="R5" s="3057"/>
      <c r="S5" s="3058"/>
      <c r="T5" s="3057"/>
      <c r="U5" s="3058"/>
      <c r="V5" s="3061"/>
      <c r="W5" s="3061"/>
      <c r="X5" s="1900"/>
      <c r="Y5" s="3057"/>
      <c r="Z5" s="3058"/>
      <c r="AA5" s="3043"/>
      <c r="AB5" s="3043"/>
      <c r="AC5" s="3043"/>
    </row>
    <row r="6" spans="1:29" ht="15.75" thickBot="1">
      <c r="A6" s="385"/>
      <c r="B6" s="386"/>
      <c r="C6" s="3066" t="s">
        <v>2352</v>
      </c>
      <c r="D6" s="3067"/>
      <c r="E6" s="3068" t="s">
        <v>2352</v>
      </c>
      <c r="F6" s="3069"/>
      <c r="G6" s="3066" t="s">
        <v>2352</v>
      </c>
      <c r="H6" s="3067"/>
      <c r="I6" s="3066" t="s">
        <v>2352</v>
      </c>
      <c r="J6" s="3067"/>
      <c r="K6" s="594" t="s">
        <v>2353</v>
      </c>
      <c r="L6" s="1243"/>
      <c r="M6" s="1244"/>
      <c r="N6" s="1244"/>
      <c r="O6" s="1244"/>
      <c r="P6" s="3053"/>
      <c r="Q6" s="3054"/>
      <c r="R6" s="3057"/>
      <c r="S6" s="3058"/>
      <c r="T6" s="3059"/>
      <c r="U6" s="3060"/>
      <c r="V6" s="3061"/>
      <c r="W6" s="3061"/>
      <c r="X6" s="1900"/>
      <c r="Y6" s="3059"/>
      <c r="Z6" s="3060"/>
      <c r="AA6" s="3044"/>
      <c r="AB6" s="3044"/>
      <c r="AC6" s="3044"/>
    </row>
    <row r="7" spans="1:29" s="35" customFormat="1" ht="15.75" thickBot="1">
      <c r="A7" s="387" t="s">
        <v>2354</v>
      </c>
      <c r="B7" s="388"/>
      <c r="C7" s="389">
        <f>'数据-取费表'!B2</f>
        <v>43339</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77" t="s">
        <v>2355</v>
      </c>
      <c r="Q7" s="3079"/>
      <c r="R7" s="749" t="s">
        <v>25</v>
      </c>
      <c r="S7" s="750">
        <f t="shared" ref="S7:S14" si="0">F7</f>
        <v>0</v>
      </c>
      <c r="T7" s="749" t="s">
        <v>25</v>
      </c>
      <c r="U7" s="750">
        <f t="shared" ref="U7:U14" si="1">H7</f>
        <v>0</v>
      </c>
      <c r="V7" s="749" t="s">
        <v>25</v>
      </c>
      <c r="W7" s="750">
        <f t="shared" ref="W7:W14" si="2">J7</f>
        <v>0</v>
      </c>
      <c r="X7" s="751"/>
      <c r="Y7" s="3077" t="s">
        <v>2355</v>
      </c>
      <c r="Z7" s="307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7" t="s">
        <v>2358</v>
      </c>
      <c r="Q8" s="3078"/>
      <c r="R8" s="749" t="s">
        <v>25</v>
      </c>
      <c r="S8" s="750">
        <f t="shared" si="0"/>
        <v>0</v>
      </c>
      <c r="T8" s="749" t="s">
        <v>25</v>
      </c>
      <c r="U8" s="750">
        <f t="shared" si="1"/>
        <v>0</v>
      </c>
      <c r="V8" s="749" t="s">
        <v>25</v>
      </c>
      <c r="W8" s="750">
        <f t="shared" si="2"/>
        <v>0</v>
      </c>
      <c r="X8" s="751"/>
      <c r="Y8" s="3077" t="s">
        <v>2358</v>
      </c>
      <c r="Z8" s="307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81" t="s">
        <v>2361</v>
      </c>
      <c r="Q9" s="1887" t="str">
        <f t="shared" ref="Q9:Q14" si="6">B9</f>
        <v>用途</v>
      </c>
      <c r="R9" s="749" t="s">
        <v>25</v>
      </c>
      <c r="S9" s="750">
        <f t="shared" si="0"/>
        <v>100</v>
      </c>
      <c r="T9" s="749" t="s">
        <v>25</v>
      </c>
      <c r="U9" s="750">
        <f t="shared" si="1"/>
        <v>100</v>
      </c>
      <c r="V9" s="749" t="s">
        <v>25</v>
      </c>
      <c r="W9" s="750">
        <f t="shared" si="2"/>
        <v>100</v>
      </c>
      <c r="X9" s="751"/>
      <c r="Y9" s="2893"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81"/>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81"/>
      <c r="Q11" s="188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81"/>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81"/>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28.25">
      <c r="A14" s="419" t="s">
        <v>2365</v>
      </c>
      <c r="B14" s="26" t="s">
        <v>2509</v>
      </c>
      <c r="C14" s="2478" t="str">
        <f>IF(B1="工业",估价对象房地状况!G4,估价对象房地状况!C6)</f>
        <v>估价对象紧邻城市次干道—太平街，有14路、40路、66路、70路等多条公交线路及地铁4号线（陶然亭站）通过，交通便捷度较好。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70" t="s">
        <v>2366</v>
      </c>
      <c r="Q14" s="1899" t="str">
        <f t="shared" si="6"/>
        <v>交通便捷度</v>
      </c>
      <c r="R14" s="753" t="s">
        <v>25</v>
      </c>
      <c r="S14" s="754">
        <f t="shared" si="0"/>
        <v>100</v>
      </c>
      <c r="T14" s="753" t="s">
        <v>25</v>
      </c>
      <c r="U14" s="754">
        <f t="shared" si="1"/>
        <v>100</v>
      </c>
      <c r="V14" s="753" t="s">
        <v>25</v>
      </c>
      <c r="W14" s="754">
        <f t="shared" si="2"/>
        <v>100</v>
      </c>
      <c r="X14" s="1900"/>
      <c r="Y14" s="3070"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71"/>
      <c r="Q15" s="1899"/>
      <c r="R15" s="753"/>
      <c r="S15" s="754"/>
      <c r="T15" s="753"/>
      <c r="U15" s="754"/>
      <c r="V15" s="753"/>
      <c r="W15" s="754"/>
      <c r="X15" s="1900"/>
      <c r="Y15" s="3071"/>
      <c r="Z15" s="1902"/>
      <c r="AA15" s="1903">
        <v>1</v>
      </c>
      <c r="AB15" s="1903">
        <v>1</v>
      </c>
      <c r="AC15" s="1903">
        <v>1</v>
      </c>
    </row>
    <row r="16" spans="1:29" ht="42.75">
      <c r="A16" s="408"/>
      <c r="B16" s="615" t="s">
        <v>2481</v>
      </c>
      <c r="C16" s="2406"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71"/>
      <c r="Q16" s="1899" t="str">
        <f>B16</f>
        <v>公共配套设施</v>
      </c>
      <c r="R16" s="753" t="s">
        <v>25</v>
      </c>
      <c r="S16" s="754">
        <f>F16</f>
        <v>100</v>
      </c>
      <c r="T16" s="753" t="s">
        <v>25</v>
      </c>
      <c r="U16" s="754">
        <f>H16</f>
        <v>100</v>
      </c>
      <c r="V16" s="753" t="s">
        <v>25</v>
      </c>
      <c r="W16" s="754">
        <f>J16</f>
        <v>100</v>
      </c>
      <c r="X16" s="1900"/>
      <c r="Y16" s="307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71"/>
      <c r="Q17" s="1899"/>
      <c r="R17" s="753"/>
      <c r="S17" s="754"/>
      <c r="T17" s="753"/>
      <c r="U17" s="754"/>
      <c r="V17" s="753"/>
      <c r="W17" s="754"/>
      <c r="X17" s="1900"/>
      <c r="Y17" s="3071"/>
      <c r="Z17" s="1902"/>
      <c r="AA17" s="1903">
        <v>1</v>
      </c>
      <c r="AB17" s="1903">
        <v>1</v>
      </c>
      <c r="AC17" s="1903">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71"/>
      <c r="Q18" s="1899" t="str">
        <f>B18</f>
        <v>基础设施水平</v>
      </c>
      <c r="R18" s="753" t="s">
        <v>25</v>
      </c>
      <c r="S18" s="754">
        <f>F18</f>
        <v>100</v>
      </c>
      <c r="T18" s="753" t="s">
        <v>25</v>
      </c>
      <c r="U18" s="754">
        <f>H18</f>
        <v>100</v>
      </c>
      <c r="V18" s="753" t="s">
        <v>25</v>
      </c>
      <c r="W18" s="754">
        <f>J18</f>
        <v>100</v>
      </c>
      <c r="X18" s="1900"/>
      <c r="Y18" s="3071"/>
      <c r="Z18" s="1902" t="str">
        <f>Q18</f>
        <v>基础设施水平</v>
      </c>
      <c r="AA18" s="1903">
        <f>D18/F18</f>
        <v>1</v>
      </c>
      <c r="AB18" s="1903">
        <f>D18/H18</f>
        <v>1</v>
      </c>
      <c r="AC18" s="1903">
        <f>D18/J18</f>
        <v>1</v>
      </c>
    </row>
    <row r="19" spans="1:29" ht="15">
      <c r="A19" s="408"/>
      <c r="B19" s="617"/>
      <c r="C19" s="437"/>
      <c r="D19" s="427"/>
      <c r="E19" s="437"/>
      <c r="F19" s="433"/>
      <c r="G19" s="437"/>
      <c r="H19" s="427"/>
      <c r="I19" s="426"/>
      <c r="J19" s="427"/>
      <c r="K19" s="1469"/>
      <c r="L19" s="1253"/>
      <c r="M19" s="1244"/>
      <c r="N19" s="1244"/>
      <c r="O19" s="1252"/>
      <c r="P19" s="3071"/>
      <c r="Q19" s="1899"/>
      <c r="R19" s="753"/>
      <c r="S19" s="754"/>
      <c r="T19" s="753"/>
      <c r="U19" s="754"/>
      <c r="V19" s="753"/>
      <c r="W19" s="754"/>
      <c r="X19" s="1900"/>
      <c r="Y19" s="3071"/>
      <c r="Z19" s="1902"/>
      <c r="AA19" s="1903">
        <v>1</v>
      </c>
      <c r="AB19" s="1903">
        <v>1</v>
      </c>
      <c r="AC19" s="1903">
        <v>1</v>
      </c>
    </row>
    <row r="20" spans="1:29" ht="156.75">
      <c r="A20" s="408"/>
      <c r="B20" s="431" t="s">
        <v>2510</v>
      </c>
      <c r="C20" s="2406" t="str">
        <f>IF(B1="工业",估价对象房地状况!G7,估价对象房地状况!C9)</f>
        <v>区域自然环境：陶然亭公园、天坛公园、永定门公园、护城河；人文环境：自然博物馆、北京古代建筑博物馆、中国盲文博物馆、北京先农坛体育场；综合评价环境状况好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71"/>
      <c r="Q20" s="1899" t="str">
        <f>B20</f>
        <v>自然及人文环境</v>
      </c>
      <c r="R20" s="753" t="s">
        <v>25</v>
      </c>
      <c r="S20" s="754">
        <f>F20</f>
        <v>100</v>
      </c>
      <c r="T20" s="753" t="s">
        <v>25</v>
      </c>
      <c r="U20" s="754">
        <f>H20</f>
        <v>100</v>
      </c>
      <c r="V20" s="753" t="s">
        <v>25</v>
      </c>
      <c r="W20" s="754">
        <f>J20</f>
        <v>100</v>
      </c>
      <c r="X20" s="1900"/>
      <c r="Y20" s="307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71"/>
      <c r="Q21" s="1899"/>
      <c r="R21" s="753"/>
      <c r="S21" s="754"/>
      <c r="T21" s="753"/>
      <c r="U21" s="754"/>
      <c r="V21" s="753"/>
      <c r="W21" s="754"/>
      <c r="X21" s="1900"/>
      <c r="Y21" s="3071"/>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71"/>
      <c r="Q22" s="1899" t="str">
        <f>B22</f>
        <v>楼层</v>
      </c>
      <c r="R22" s="753" t="s">
        <v>25</v>
      </c>
      <c r="S22" s="754">
        <f>F22</f>
        <v>100</v>
      </c>
      <c r="T22" s="753" t="s">
        <v>25</v>
      </c>
      <c r="U22" s="754">
        <f>H22</f>
        <v>100</v>
      </c>
      <c r="V22" s="753" t="s">
        <v>25</v>
      </c>
      <c r="W22" s="754">
        <f>J22</f>
        <v>100</v>
      </c>
      <c r="X22" s="1900"/>
      <c r="Y22" s="3071"/>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71"/>
      <c r="Q23" s="1899">
        <f>B23</f>
        <v>111</v>
      </c>
      <c r="R23" s="753" t="s">
        <v>25</v>
      </c>
      <c r="S23" s="754">
        <f>F23</f>
        <v>100</v>
      </c>
      <c r="T23" s="753" t="s">
        <v>25</v>
      </c>
      <c r="U23" s="754">
        <f>H23</f>
        <v>100</v>
      </c>
      <c r="V23" s="753" t="s">
        <v>25</v>
      </c>
      <c r="W23" s="754">
        <f>J23</f>
        <v>100</v>
      </c>
      <c r="X23" s="1900"/>
      <c r="Y23" s="3071"/>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71"/>
      <c r="Q24" s="1899">
        <f t="shared" ref="Q24:Q34" si="8">B24</f>
        <v>111</v>
      </c>
      <c r="R24" s="753" t="s">
        <v>25</v>
      </c>
      <c r="S24" s="754">
        <f>F24</f>
        <v>100</v>
      </c>
      <c r="T24" s="753" t="s">
        <v>25</v>
      </c>
      <c r="U24" s="754">
        <f>H24</f>
        <v>100</v>
      </c>
      <c r="V24" s="753" t="s">
        <v>25</v>
      </c>
      <c r="W24" s="754">
        <f>J24</f>
        <v>100</v>
      </c>
      <c r="X24" s="1900"/>
      <c r="Y24" s="3071"/>
      <c r="Z24" s="1902">
        <f>Q24</f>
        <v>111</v>
      </c>
      <c r="AA24" s="1903">
        <f t="shared" si="3"/>
        <v>1</v>
      </c>
      <c r="AB24" s="1903">
        <f t="shared" si="4"/>
        <v>1</v>
      </c>
      <c r="AC24" s="1903">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71"/>
      <c r="Q25" s="1887">
        <f t="shared" si="8"/>
        <v>111</v>
      </c>
      <c r="R25" s="749" t="s">
        <v>25</v>
      </c>
      <c r="S25" s="750">
        <f>F25</f>
        <v>100</v>
      </c>
      <c r="T25" s="749" t="s">
        <v>25</v>
      </c>
      <c r="U25" s="750">
        <f>H25</f>
        <v>100</v>
      </c>
      <c r="V25" s="749" t="s">
        <v>25</v>
      </c>
      <c r="W25" s="750">
        <f>J25</f>
        <v>100</v>
      </c>
      <c r="X25" s="751"/>
      <c r="Y25" s="3071"/>
      <c r="Z25" s="23">
        <f>Q25</f>
        <v>111</v>
      </c>
      <c r="AA25" s="1903">
        <f>D25/F25</f>
        <v>1</v>
      </c>
      <c r="AB25" s="1903">
        <f>D25/H25</f>
        <v>1</v>
      </c>
      <c r="AC25" s="1903">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99" t="s">
        <v>2372</v>
      </c>
      <c r="Q26" s="1899" t="str">
        <f t="shared" si="8"/>
        <v>公共部分装修</v>
      </c>
      <c r="R26" s="753" t="s">
        <v>25</v>
      </c>
      <c r="S26" s="754">
        <f t="shared" ref="S26:S34" si="9">F26</f>
        <v>100</v>
      </c>
      <c r="T26" s="753" t="s">
        <v>25</v>
      </c>
      <c r="U26" s="754">
        <f t="shared" ref="U26:U34" si="10">H26</f>
        <v>100</v>
      </c>
      <c r="V26" s="753" t="s">
        <v>25</v>
      </c>
      <c r="W26" s="754">
        <f t="shared" ref="W26:W34" si="11">J26</f>
        <v>100</v>
      </c>
      <c r="X26" s="1900"/>
      <c r="Y26" s="3075" t="s">
        <v>2372</v>
      </c>
      <c r="Z26" s="1902" t="str">
        <f t="shared" ref="Z26:Z34" si="12">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75"/>
      <c r="Q27" s="755" t="str">
        <f t="shared" si="8"/>
        <v>成新率</v>
      </c>
      <c r="R27" s="756" t="s">
        <v>25</v>
      </c>
      <c r="S27" s="757" t="e">
        <f t="shared" si="9"/>
        <v>#N/A</v>
      </c>
      <c r="T27" s="756" t="s">
        <v>25</v>
      </c>
      <c r="U27" s="757" t="e">
        <f t="shared" si="10"/>
        <v>#N/A</v>
      </c>
      <c r="V27" s="756" t="s">
        <v>25</v>
      </c>
      <c r="W27" s="757" t="e">
        <f t="shared" si="11"/>
        <v>#N/A</v>
      </c>
      <c r="X27" s="758"/>
      <c r="Y27" s="3075"/>
      <c r="Z27" s="759" t="str">
        <f t="shared" si="12"/>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75"/>
      <c r="Q28" s="1899" t="str">
        <f t="shared" si="8"/>
        <v>物业等级</v>
      </c>
      <c r="R28" s="753" t="s">
        <v>25</v>
      </c>
      <c r="S28" s="754">
        <f t="shared" si="9"/>
        <v>100</v>
      </c>
      <c r="T28" s="753" t="s">
        <v>25</v>
      </c>
      <c r="U28" s="754">
        <f t="shared" si="10"/>
        <v>100</v>
      </c>
      <c r="V28" s="753" t="s">
        <v>25</v>
      </c>
      <c r="W28" s="754">
        <f t="shared" si="11"/>
        <v>100</v>
      </c>
      <c r="X28" s="1900"/>
      <c r="Y28" s="3075"/>
      <c r="Z28" s="1902" t="str">
        <f t="shared" si="12"/>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75"/>
      <c r="Q29" s="1899" t="str">
        <f t="shared" si="8"/>
        <v>有无电梯</v>
      </c>
      <c r="R29" s="753" t="s">
        <v>25</v>
      </c>
      <c r="S29" s="754">
        <f t="shared" si="9"/>
        <v>100</v>
      </c>
      <c r="T29" s="753" t="s">
        <v>25</v>
      </c>
      <c r="U29" s="754">
        <f t="shared" si="10"/>
        <v>100</v>
      </c>
      <c r="V29" s="753" t="s">
        <v>25</v>
      </c>
      <c r="W29" s="754">
        <f t="shared" si="11"/>
        <v>100</v>
      </c>
      <c r="X29" s="1900"/>
      <c r="Y29" s="3075"/>
      <c r="Z29" s="1902" t="str">
        <f t="shared" si="12"/>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75"/>
      <c r="Q30" s="1899" t="str">
        <f t="shared" si="8"/>
        <v>建筑面积</v>
      </c>
      <c r="R30" s="753" t="s">
        <v>25</v>
      </c>
      <c r="S30" s="754" t="e">
        <f t="shared" si="9"/>
        <v>#N/A</v>
      </c>
      <c r="T30" s="753" t="s">
        <v>25</v>
      </c>
      <c r="U30" s="754" t="e">
        <f t="shared" si="10"/>
        <v>#N/A</v>
      </c>
      <c r="V30" s="753" t="s">
        <v>25</v>
      </c>
      <c r="W30" s="754" t="e">
        <f t="shared" si="11"/>
        <v>#N/A</v>
      </c>
      <c r="X30" s="1900"/>
      <c r="Y30" s="3075"/>
      <c r="Z30" s="1902" t="str">
        <f t="shared" si="12"/>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75"/>
      <c r="Q31" s="1887" t="str">
        <f t="shared" si="8"/>
        <v>是否封闭</v>
      </c>
      <c r="R31" s="749" t="s">
        <v>25</v>
      </c>
      <c r="S31" s="750">
        <f t="shared" si="9"/>
        <v>100</v>
      </c>
      <c r="T31" s="749" t="s">
        <v>25</v>
      </c>
      <c r="U31" s="750">
        <f t="shared" si="10"/>
        <v>100</v>
      </c>
      <c r="V31" s="749" t="s">
        <v>25</v>
      </c>
      <c r="W31" s="750">
        <f t="shared" si="11"/>
        <v>100</v>
      </c>
      <c r="X31" s="751"/>
      <c r="Y31" s="3075"/>
      <c r="Z31" s="23" t="str">
        <f t="shared" si="12"/>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75" t="s">
        <v>2372</v>
      </c>
      <c r="Q32" s="1899">
        <f t="shared" si="8"/>
        <v>111</v>
      </c>
      <c r="R32" s="753" t="s">
        <v>25</v>
      </c>
      <c r="S32" s="754">
        <f t="shared" si="9"/>
        <v>100</v>
      </c>
      <c r="T32" s="753" t="s">
        <v>25</v>
      </c>
      <c r="U32" s="754">
        <f t="shared" si="10"/>
        <v>100</v>
      </c>
      <c r="V32" s="753" t="s">
        <v>25</v>
      </c>
      <c r="W32" s="754">
        <f t="shared" si="11"/>
        <v>100</v>
      </c>
      <c r="X32" s="1900"/>
      <c r="Y32" s="3075" t="s">
        <v>2372</v>
      </c>
      <c r="Z32" s="1902">
        <f t="shared" si="12"/>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75"/>
      <c r="Q33" s="1899">
        <f t="shared" si="8"/>
        <v>111</v>
      </c>
      <c r="R33" s="753" t="s">
        <v>25</v>
      </c>
      <c r="S33" s="754">
        <f t="shared" si="9"/>
        <v>100</v>
      </c>
      <c r="T33" s="753" t="s">
        <v>25</v>
      </c>
      <c r="U33" s="754">
        <f t="shared" si="10"/>
        <v>100</v>
      </c>
      <c r="V33" s="753" t="s">
        <v>25</v>
      </c>
      <c r="W33" s="754">
        <f t="shared" si="11"/>
        <v>100</v>
      </c>
      <c r="X33" s="1900"/>
      <c r="Y33" s="3075"/>
      <c r="Z33" s="1902">
        <f t="shared" si="12"/>
        <v>111</v>
      </c>
      <c r="AA33" s="1903">
        <f t="shared" si="3"/>
        <v>1</v>
      </c>
      <c r="AB33" s="1903">
        <f t="shared" si="4"/>
        <v>1</v>
      </c>
      <c r="AC33" s="1903">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75"/>
      <c r="Q34" s="1899">
        <f t="shared" si="8"/>
        <v>111</v>
      </c>
      <c r="R34" s="753" t="s">
        <v>25</v>
      </c>
      <c r="S34" s="754">
        <f t="shared" si="9"/>
        <v>100</v>
      </c>
      <c r="T34" s="753" t="s">
        <v>25</v>
      </c>
      <c r="U34" s="754">
        <f t="shared" si="10"/>
        <v>100</v>
      </c>
      <c r="V34" s="753" t="s">
        <v>25</v>
      </c>
      <c r="W34" s="754">
        <f t="shared" si="11"/>
        <v>100</v>
      </c>
      <c r="X34" s="1900"/>
      <c r="Y34" s="3075"/>
      <c r="Z34" s="1902">
        <f t="shared" si="12"/>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81" t="str">
        <f>A35</f>
        <v>成交单价（元/平方米）</v>
      </c>
      <c r="Q35" s="3081"/>
      <c r="R35" s="3082">
        <f>E35</f>
        <v>0</v>
      </c>
      <c r="S35" s="3082"/>
      <c r="T35" s="3082">
        <f>G35</f>
        <v>0</v>
      </c>
      <c r="U35" s="3082"/>
      <c r="V35" s="3082">
        <f>I35</f>
        <v>0</v>
      </c>
      <c r="W35" s="308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81" t="str">
        <f>A36</f>
        <v>比较价值（元/平方米）</v>
      </c>
      <c r="Q36" s="3081"/>
      <c r="R36" s="3082" t="e">
        <f>IF(E1="售价",ROUND(PRODUCT(R35,AA7:AA34),0),ROUND(PRODUCT(R35,AA7:AA34),1))</f>
        <v>#DIV/0!</v>
      </c>
      <c r="S36" s="3082"/>
      <c r="T36" s="3082" t="e">
        <f>IF(E1="售价",ROUND(PRODUCT(T35,AB7:AB34),0),ROUND(PRODUCT(T35,AB7:AB34),1))</f>
        <v>#DIV/0!</v>
      </c>
      <c r="U36" s="3082"/>
      <c r="V36" s="3082" t="e">
        <f>IF(E1="售价",ROUND(PRODUCT(V35,AC7:AC34),0),ROUND(PRODUCT(V35,AC7:AC34),1))</f>
        <v>#DIV/0!</v>
      </c>
      <c r="W36" s="308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87" t="str">
        <f>A37</f>
        <v>估价对象XX用房的比较价值（楼面单价，元/平方米）</v>
      </c>
      <c r="Q37" s="3088"/>
      <c r="R37" s="3089" t="e">
        <f>IF(E1="售价",ROUND(AVERAGE(R36:V36),0),ROUND(AVERAGE(R36:V36),1))</f>
        <v>#DIV/0!</v>
      </c>
      <c r="S37" s="3089"/>
      <c r="T37" s="3089"/>
      <c r="U37" s="3089"/>
      <c r="V37" s="3089"/>
      <c r="W37" s="308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2018-8</v>
      </c>
      <c r="D46" s="1679">
        <f>EDATE(C46,-1)</f>
        <v>43282</v>
      </c>
      <c r="E46" s="1679">
        <f t="shared" ref="E46:O46" si="13">EDATE(D46,-1)</f>
        <v>43252</v>
      </c>
      <c r="F46" s="1679">
        <f t="shared" si="13"/>
        <v>43221</v>
      </c>
      <c r="G46" s="1679">
        <f t="shared" si="13"/>
        <v>43191</v>
      </c>
      <c r="H46" s="1679">
        <f t="shared" si="13"/>
        <v>43160</v>
      </c>
      <c r="I46" s="1679">
        <f t="shared" si="13"/>
        <v>43132</v>
      </c>
      <c r="J46" s="1679">
        <f t="shared" si="13"/>
        <v>43101</v>
      </c>
      <c r="K46" s="1679">
        <f t="shared" si="13"/>
        <v>43070</v>
      </c>
      <c r="L46" s="1679">
        <f t="shared" si="13"/>
        <v>43040</v>
      </c>
      <c r="M46" s="1679">
        <f t="shared" si="13"/>
        <v>43009</v>
      </c>
      <c r="N46" s="1679">
        <f t="shared" si="13"/>
        <v>42979</v>
      </c>
      <c r="O46" s="1679">
        <f t="shared" si="13"/>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8"/>
      <c r="O85" s="1268"/>
      <c r="P85" s="22"/>
      <c r="Q85" s="485"/>
    </row>
    <row r="86" spans="1:17" ht="15" thickTop="1">
      <c r="A86" s="583"/>
      <c r="B86" s="529" t="s">
        <v>2541</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55" t="s">
        <v>2343</v>
      </c>
      <c r="S4" s="3056"/>
      <c r="T4" s="3055" t="s">
        <v>2344</v>
      </c>
      <c r="U4" s="3056"/>
      <c r="V4" s="3061" t="s">
        <v>2345</v>
      </c>
      <c r="W4" s="3061"/>
      <c r="X4" s="1900"/>
      <c r="Y4" s="3055" t="s">
        <v>2347</v>
      </c>
      <c r="Z4" s="3056"/>
      <c r="AA4" s="3042" t="s">
        <v>2343</v>
      </c>
      <c r="AB4" s="3043" t="s">
        <v>2344</v>
      </c>
      <c r="AC4" s="3042" t="s">
        <v>2345</v>
      </c>
    </row>
    <row r="5" spans="1:30" ht="15">
      <c r="A5" s="383"/>
      <c r="B5" s="384"/>
      <c r="C5" s="3090" t="s">
        <v>2348</v>
      </c>
      <c r="D5" s="3065"/>
      <c r="E5" s="3091" t="s">
        <v>2349</v>
      </c>
      <c r="F5" s="3063"/>
      <c r="G5" s="3090" t="s">
        <v>2350</v>
      </c>
      <c r="H5" s="3065"/>
      <c r="I5" s="3090" t="s">
        <v>2351</v>
      </c>
      <c r="J5" s="3065"/>
      <c r="K5" s="594"/>
      <c r="L5" s="1243"/>
      <c r="M5" s="1244"/>
      <c r="N5" s="1244"/>
      <c r="O5" s="1244"/>
      <c r="P5" s="3051"/>
      <c r="Q5" s="3052"/>
      <c r="R5" s="3057"/>
      <c r="S5" s="3058"/>
      <c r="T5" s="3057"/>
      <c r="U5" s="3058"/>
      <c r="V5" s="3061"/>
      <c r="W5" s="3061"/>
      <c r="X5" s="1900"/>
      <c r="Y5" s="3057"/>
      <c r="Z5" s="3058"/>
      <c r="AA5" s="3043"/>
      <c r="AB5" s="3043"/>
      <c r="AC5" s="3043"/>
    </row>
    <row r="6" spans="1:30" ht="15.75" thickBot="1">
      <c r="A6" s="385"/>
      <c r="B6" s="386"/>
      <c r="C6" s="3066" t="s">
        <v>2352</v>
      </c>
      <c r="D6" s="3067"/>
      <c r="E6" s="3068" t="s">
        <v>2352</v>
      </c>
      <c r="F6" s="3069"/>
      <c r="G6" s="3066" t="s">
        <v>2352</v>
      </c>
      <c r="H6" s="3067"/>
      <c r="I6" s="3066" t="s">
        <v>2352</v>
      </c>
      <c r="J6" s="3067"/>
      <c r="K6" s="594" t="s">
        <v>2353</v>
      </c>
      <c r="L6" s="1243"/>
      <c r="M6" s="1244"/>
      <c r="N6" s="1244"/>
      <c r="O6" s="1244"/>
      <c r="P6" s="3053"/>
      <c r="Q6" s="3054"/>
      <c r="R6" s="3057"/>
      <c r="S6" s="3058"/>
      <c r="T6" s="3059"/>
      <c r="U6" s="3060"/>
      <c r="V6" s="3061"/>
      <c r="W6" s="3061"/>
      <c r="X6" s="1900"/>
      <c r="Y6" s="3059"/>
      <c r="Z6" s="3060"/>
      <c r="AA6" s="3044"/>
      <c r="AB6" s="3044"/>
      <c r="AC6" s="3044"/>
    </row>
    <row r="7" spans="1:30" s="35" customFormat="1" ht="15.75" thickBot="1">
      <c r="A7" s="387" t="s">
        <v>2354</v>
      </c>
      <c r="B7" s="388"/>
      <c r="C7" s="389">
        <f>'数据-取费表'!B2</f>
        <v>43339</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77" t="s">
        <v>2355</v>
      </c>
      <c r="Q7" s="3079"/>
      <c r="R7" s="749" t="s">
        <v>25</v>
      </c>
      <c r="S7" s="750">
        <f t="shared" ref="S7:S15" si="0">F7</f>
        <v>0</v>
      </c>
      <c r="T7" s="749" t="s">
        <v>25</v>
      </c>
      <c r="U7" s="750">
        <f t="shared" ref="U7:U15" si="1">H7</f>
        <v>0</v>
      </c>
      <c r="V7" s="749" t="s">
        <v>25</v>
      </c>
      <c r="W7" s="750">
        <f t="shared" ref="W7:W15" si="2">J7</f>
        <v>0</v>
      </c>
      <c r="X7" s="751"/>
      <c r="Y7" s="3077" t="s">
        <v>2355</v>
      </c>
      <c r="Z7" s="307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7" t="s">
        <v>2358</v>
      </c>
      <c r="Q8" s="3078"/>
      <c r="R8" s="749" t="s">
        <v>25</v>
      </c>
      <c r="S8" s="750">
        <f t="shared" si="0"/>
        <v>0</v>
      </c>
      <c r="T8" s="749" t="s">
        <v>25</v>
      </c>
      <c r="U8" s="750">
        <f t="shared" si="1"/>
        <v>0</v>
      </c>
      <c r="V8" s="749" t="s">
        <v>25</v>
      </c>
      <c r="W8" s="750">
        <f t="shared" si="2"/>
        <v>0</v>
      </c>
      <c r="X8" s="751"/>
      <c r="Y8" s="3077" t="s">
        <v>2358</v>
      </c>
      <c r="Z8" s="3078"/>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81" t="s">
        <v>2361</v>
      </c>
      <c r="Q9" s="1887" t="str">
        <f t="shared" ref="Q9:Q15" si="6">B9</f>
        <v>用途</v>
      </c>
      <c r="R9" s="749" t="s">
        <v>25</v>
      </c>
      <c r="S9" s="750">
        <f t="shared" si="0"/>
        <v>100</v>
      </c>
      <c r="T9" s="749" t="s">
        <v>25</v>
      </c>
      <c r="U9" s="750">
        <f t="shared" si="1"/>
        <v>100</v>
      </c>
      <c r="V9" s="749" t="s">
        <v>25</v>
      </c>
      <c r="W9" s="750">
        <f t="shared" si="2"/>
        <v>100</v>
      </c>
      <c r="X9" s="751"/>
      <c r="Y9" s="2893"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81"/>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81"/>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81"/>
      <c r="Q12" s="1887" t="str">
        <f t="shared" si="6"/>
        <v>配建</v>
      </c>
      <c r="R12" s="749" t="s">
        <v>25</v>
      </c>
      <c r="S12" s="750">
        <f t="shared" si="0"/>
        <v>100</v>
      </c>
      <c r="T12" s="749" t="s">
        <v>25</v>
      </c>
      <c r="U12" s="750">
        <f t="shared" si="1"/>
        <v>100</v>
      </c>
      <c r="V12" s="749" t="s">
        <v>25</v>
      </c>
      <c r="W12" s="750">
        <f t="shared" si="2"/>
        <v>100</v>
      </c>
      <c r="X12" s="751"/>
      <c r="Y12" s="2893"/>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81"/>
      <c r="Q13" s="1887">
        <f t="shared" si="6"/>
        <v>111</v>
      </c>
      <c r="R13" s="749" t="s">
        <v>25</v>
      </c>
      <c r="S13" s="750">
        <f t="shared" si="0"/>
        <v>100</v>
      </c>
      <c r="T13" s="749" t="s">
        <v>25</v>
      </c>
      <c r="U13" s="750">
        <f t="shared" si="1"/>
        <v>100</v>
      </c>
      <c r="V13" s="749" t="s">
        <v>25</v>
      </c>
      <c r="W13" s="750">
        <f t="shared" si="2"/>
        <v>100</v>
      </c>
      <c r="X13" s="751"/>
      <c r="Y13" s="2893"/>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81"/>
      <c r="Q14" s="1887">
        <f t="shared" si="6"/>
        <v>111</v>
      </c>
      <c r="R14" s="749" t="s">
        <v>25</v>
      </c>
      <c r="S14" s="750">
        <f t="shared" si="0"/>
        <v>100</v>
      </c>
      <c r="T14" s="749" t="s">
        <v>25</v>
      </c>
      <c r="U14" s="750">
        <f t="shared" si="1"/>
        <v>100</v>
      </c>
      <c r="V14" s="749" t="s">
        <v>25</v>
      </c>
      <c r="W14" s="750">
        <f t="shared" si="2"/>
        <v>100</v>
      </c>
      <c r="X14" s="751"/>
      <c r="Y14" s="2893"/>
      <c r="Z14" s="23">
        <f t="shared" si="7"/>
        <v>111</v>
      </c>
      <c r="AA14" s="752">
        <f>D14/F14</f>
        <v>1</v>
      </c>
      <c r="AB14" s="752">
        <f>D14/H14</f>
        <v>1</v>
      </c>
      <c r="AC14" s="752">
        <f>D14/J14</f>
        <v>1</v>
      </c>
    </row>
    <row r="15" spans="1:30" ht="128.25">
      <c r="A15" s="380" t="s">
        <v>2365</v>
      </c>
      <c r="B15" s="1487" t="s">
        <v>1740</v>
      </c>
      <c r="C15" s="2466" t="str">
        <f>估价对象房地状况!C15</f>
        <v>周边有绿城百合、府西园小区、紫欣苑小区、燕化星城健德一里、燕化星城健德二里等居住社区，综合评价居住社区成熟度较好。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70" t="s">
        <v>2366</v>
      </c>
      <c r="Q15" s="1899" t="str">
        <f t="shared" si="6"/>
        <v>居住社区成熟度</v>
      </c>
      <c r="R15" s="753" t="s">
        <v>25</v>
      </c>
      <c r="S15" s="754">
        <f t="shared" si="0"/>
        <v>100</v>
      </c>
      <c r="T15" s="753" t="s">
        <v>25</v>
      </c>
      <c r="U15" s="754">
        <f t="shared" si="1"/>
        <v>100</v>
      </c>
      <c r="V15" s="753" t="s">
        <v>25</v>
      </c>
      <c r="W15" s="754">
        <f t="shared" si="2"/>
        <v>100</v>
      </c>
      <c r="X15" s="1900"/>
      <c r="Y15" s="3070"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71"/>
      <c r="Q16" s="1899"/>
      <c r="R16" s="753"/>
      <c r="S16" s="754"/>
      <c r="T16" s="753"/>
      <c r="U16" s="754"/>
      <c r="V16" s="753"/>
      <c r="W16" s="754"/>
      <c r="X16" s="1900"/>
      <c r="Y16" s="3071"/>
      <c r="Z16" s="1902"/>
      <c r="AA16" s="1903">
        <v>1</v>
      </c>
      <c r="AB16" s="1903">
        <v>1</v>
      </c>
      <c r="AC16" s="1903">
        <v>1</v>
      </c>
    </row>
    <row r="17" spans="1:29" ht="71.25">
      <c r="A17" s="383"/>
      <c r="B17" s="1489"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71"/>
      <c r="Q17" s="1899" t="str">
        <f>B17</f>
        <v>商业繁华度</v>
      </c>
      <c r="R17" s="753" t="s">
        <v>25</v>
      </c>
      <c r="S17" s="754">
        <f>F17</f>
        <v>100</v>
      </c>
      <c r="T17" s="753" t="s">
        <v>25</v>
      </c>
      <c r="U17" s="754">
        <f>H17</f>
        <v>100</v>
      </c>
      <c r="V17" s="753" t="s">
        <v>25</v>
      </c>
      <c r="W17" s="754">
        <f>J17</f>
        <v>100</v>
      </c>
      <c r="X17" s="1900"/>
      <c r="Y17" s="3071"/>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7"/>
      <c r="J18" s="427"/>
      <c r="K18" s="655"/>
      <c r="L18" s="1253"/>
      <c r="M18" s="1244"/>
      <c r="N18" s="1244"/>
      <c r="O18" s="1252"/>
      <c r="P18" s="3071"/>
      <c r="Q18" s="1899"/>
      <c r="R18" s="753"/>
      <c r="S18" s="754"/>
      <c r="T18" s="753"/>
      <c r="U18" s="754"/>
      <c r="V18" s="753"/>
      <c r="W18" s="754"/>
      <c r="X18" s="1900"/>
      <c r="Y18" s="3071"/>
      <c r="Z18" s="1902"/>
      <c r="AA18" s="1903">
        <v>1</v>
      </c>
      <c r="AB18" s="1903">
        <v>1</v>
      </c>
      <c r="AC18" s="1903">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71"/>
      <c r="Q19" s="1899" t="str">
        <f>B19</f>
        <v>办公集聚程度</v>
      </c>
      <c r="R19" s="753" t="s">
        <v>25</v>
      </c>
      <c r="S19" s="754">
        <f>F19</f>
        <v>100</v>
      </c>
      <c r="T19" s="753" t="s">
        <v>25</v>
      </c>
      <c r="U19" s="754">
        <f>H19</f>
        <v>100</v>
      </c>
      <c r="V19" s="753" t="s">
        <v>25</v>
      </c>
      <c r="W19" s="754">
        <f>J19</f>
        <v>100</v>
      </c>
      <c r="X19" s="1900"/>
      <c r="Y19" s="307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71"/>
      <c r="Q20" s="1899"/>
      <c r="R20" s="753"/>
      <c r="S20" s="754"/>
      <c r="T20" s="753"/>
      <c r="U20" s="754"/>
      <c r="V20" s="753"/>
      <c r="W20" s="754"/>
      <c r="X20" s="1900"/>
      <c r="Y20" s="3071"/>
      <c r="Z20" s="1902"/>
      <c r="AA20" s="1903">
        <v>1</v>
      </c>
      <c r="AB20" s="1903">
        <v>1</v>
      </c>
      <c r="AC20" s="1903">
        <v>1</v>
      </c>
    </row>
    <row r="21" spans="1:29" ht="128.25">
      <c r="A21" s="383"/>
      <c r="B21" s="1489" t="s">
        <v>2509</v>
      </c>
      <c r="C21" s="2467" t="str">
        <f>估价对象房地状况!C18</f>
        <v>估价对象紧邻城市次干道—太平街，有14路、40路、66路、70路等多条公交线路及地铁4号线（陶然亭站）通过，交通便捷度较好。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71"/>
      <c r="Q21" s="1899" t="str">
        <f>B21</f>
        <v>交通便捷度</v>
      </c>
      <c r="R21" s="753" t="s">
        <v>25</v>
      </c>
      <c r="S21" s="754">
        <f>F21</f>
        <v>100</v>
      </c>
      <c r="T21" s="753" t="s">
        <v>25</v>
      </c>
      <c r="U21" s="754">
        <f>H21</f>
        <v>100</v>
      </c>
      <c r="V21" s="753" t="s">
        <v>25</v>
      </c>
      <c r="W21" s="754">
        <f>J21</f>
        <v>100</v>
      </c>
      <c r="X21" s="1900"/>
      <c r="Y21" s="307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71"/>
      <c r="Q22" s="1899"/>
      <c r="R22" s="753"/>
      <c r="S22" s="754"/>
      <c r="T22" s="753"/>
      <c r="U22" s="754"/>
      <c r="V22" s="753"/>
      <c r="W22" s="754"/>
      <c r="X22" s="1900"/>
      <c r="Y22" s="3071"/>
      <c r="Z22" s="1902"/>
      <c r="AA22" s="1903">
        <v>1</v>
      </c>
      <c r="AB22" s="1903">
        <v>1</v>
      </c>
      <c r="AC22" s="1903">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71"/>
      <c r="Q23" s="1899" t="str">
        <f t="shared" ref="Q23:Q37" si="8">B23</f>
        <v>区域土地利用方向</v>
      </c>
      <c r="R23" s="753" t="s">
        <v>25</v>
      </c>
      <c r="S23" s="754">
        <f>F23</f>
        <v>100</v>
      </c>
      <c r="T23" s="753" t="s">
        <v>25</v>
      </c>
      <c r="U23" s="754">
        <f>H23</f>
        <v>100</v>
      </c>
      <c r="V23" s="753" t="s">
        <v>25</v>
      </c>
      <c r="W23" s="754">
        <f>J23</f>
        <v>100</v>
      </c>
      <c r="X23" s="1900"/>
      <c r="Y23" s="3071"/>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71"/>
      <c r="Q24" s="1899"/>
      <c r="R24" s="753"/>
      <c r="S24" s="754"/>
      <c r="T24" s="753"/>
      <c r="U24" s="754"/>
      <c r="V24" s="753"/>
      <c r="W24" s="754"/>
      <c r="X24" s="1900"/>
      <c r="Y24" s="3071"/>
      <c r="Z24" s="1902"/>
      <c r="AA24" s="1903"/>
      <c r="AB24" s="1903"/>
      <c r="AC24" s="1903"/>
    </row>
    <row r="25" spans="1:29" ht="156.75">
      <c r="A25" s="383"/>
      <c r="B25" s="1491" t="s">
        <v>2550</v>
      </c>
      <c r="C25" s="2484" t="str">
        <f>估价对象房地状况!C20</f>
        <v>区域自然环境：陶然亭公园、天坛公园、永定门公园、护城河；人文环境：自然博物馆、北京古代建筑博物馆、中国盲文博物馆、北京先农坛体育场；综合评价环境状况好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71"/>
      <c r="Q25" s="1899" t="str">
        <f t="shared" si="8"/>
        <v>自然及人文环境状况</v>
      </c>
      <c r="R25" s="753" t="s">
        <v>25</v>
      </c>
      <c r="S25" s="754">
        <f>F25</f>
        <v>100</v>
      </c>
      <c r="T25" s="753" t="s">
        <v>25</v>
      </c>
      <c r="U25" s="754">
        <f>H25</f>
        <v>100</v>
      </c>
      <c r="V25" s="753" t="s">
        <v>25</v>
      </c>
      <c r="W25" s="754">
        <f>J25</f>
        <v>100</v>
      </c>
      <c r="X25" s="1900"/>
      <c r="Y25" s="307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71"/>
      <c r="Q26" s="1899"/>
      <c r="R26" s="753"/>
      <c r="S26" s="754"/>
      <c r="T26" s="753"/>
      <c r="U26" s="754"/>
      <c r="V26" s="753"/>
      <c r="W26" s="754"/>
      <c r="X26" s="1900"/>
      <c r="Y26" s="3071"/>
      <c r="Z26" s="1902"/>
      <c r="AA26" s="1903">
        <v>1</v>
      </c>
      <c r="AB26" s="1903">
        <v>1</v>
      </c>
      <c r="AC26" s="1903">
        <v>1</v>
      </c>
    </row>
    <row r="27" spans="1:29" ht="42.75">
      <c r="A27" s="383"/>
      <c r="B27" s="1491" t="s">
        <v>2452</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71"/>
      <c r="Q27" s="1887" t="str">
        <f>B27</f>
        <v>公共配套设施</v>
      </c>
      <c r="R27" s="749" t="s">
        <v>25</v>
      </c>
      <c r="S27" s="750">
        <f>F27</f>
        <v>100</v>
      </c>
      <c r="T27" s="749" t="s">
        <v>25</v>
      </c>
      <c r="U27" s="750">
        <f>H27</f>
        <v>100</v>
      </c>
      <c r="V27" s="749" t="s">
        <v>25</v>
      </c>
      <c r="W27" s="750">
        <f>J27</f>
        <v>100</v>
      </c>
      <c r="X27" s="1900"/>
      <c r="Y27" s="3071"/>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71"/>
      <c r="Q28" s="1899"/>
      <c r="R28" s="753"/>
      <c r="S28" s="754"/>
      <c r="T28" s="753"/>
      <c r="U28" s="754"/>
      <c r="V28" s="753"/>
      <c r="W28" s="754"/>
      <c r="X28" s="1900"/>
      <c r="Y28" s="3071"/>
      <c r="Z28" s="23"/>
      <c r="AA28" s="1903">
        <v>1</v>
      </c>
      <c r="AB28" s="1903">
        <v>1</v>
      </c>
      <c r="AC28" s="1903">
        <v>1</v>
      </c>
    </row>
    <row r="29" spans="1:29" s="35" customFormat="1" ht="15">
      <c r="A29" s="633"/>
      <c r="B29" s="1491" t="s">
        <v>2453</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71"/>
      <c r="Q29" s="1887" t="str">
        <f t="shared" si="8"/>
        <v>基础设施水平</v>
      </c>
      <c r="R29" s="749" t="s">
        <v>25</v>
      </c>
      <c r="S29" s="750">
        <f>F29</f>
        <v>100</v>
      </c>
      <c r="T29" s="749" t="s">
        <v>25</v>
      </c>
      <c r="U29" s="750">
        <f>H29</f>
        <v>100</v>
      </c>
      <c r="V29" s="749" t="s">
        <v>25</v>
      </c>
      <c r="W29" s="750">
        <f>J29</f>
        <v>100</v>
      </c>
      <c r="X29" s="751"/>
      <c r="Y29" s="3071"/>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71"/>
      <c r="Q30" s="1887"/>
      <c r="R30" s="749"/>
      <c r="S30" s="750"/>
      <c r="T30" s="749"/>
      <c r="U30" s="750"/>
      <c r="V30" s="749"/>
      <c r="W30" s="750"/>
      <c r="X30" s="751"/>
      <c r="Y30" s="3071"/>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71"/>
      <c r="Q31" s="1899" t="str">
        <f t="shared" si="8"/>
        <v>临街状况</v>
      </c>
      <c r="R31" s="753" t="s">
        <v>25</v>
      </c>
      <c r="S31" s="754">
        <f t="shared" ref="S31:S45" si="9">F31</f>
        <v>100</v>
      </c>
      <c r="T31" s="753" t="s">
        <v>25</v>
      </c>
      <c r="U31" s="754">
        <f t="shared" ref="U31:U45" si="10">H31</f>
        <v>100</v>
      </c>
      <c r="V31" s="753" t="s">
        <v>25</v>
      </c>
      <c r="W31" s="754">
        <f t="shared" ref="W31:W45" si="11">J31</f>
        <v>100</v>
      </c>
      <c r="X31" s="1900"/>
      <c r="Y31" s="3071"/>
      <c r="Z31" s="1902" t="str">
        <f t="shared" ref="Z31:Z45" si="12">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71"/>
      <c r="Q32" s="1899" t="str">
        <f t="shared" si="8"/>
        <v>毗邻道路的类型与等级</v>
      </c>
      <c r="R32" s="753" t="s">
        <v>25</v>
      </c>
      <c r="S32" s="754">
        <f t="shared" si="9"/>
        <v>100</v>
      </c>
      <c r="T32" s="753" t="s">
        <v>25</v>
      </c>
      <c r="U32" s="754">
        <f t="shared" si="10"/>
        <v>100</v>
      </c>
      <c r="V32" s="753" t="s">
        <v>25</v>
      </c>
      <c r="W32" s="754">
        <f t="shared" si="11"/>
        <v>100</v>
      </c>
      <c r="X32" s="1900"/>
      <c r="Y32" s="3071"/>
      <c r="Z32" s="1902" t="str">
        <f t="shared" si="12"/>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71"/>
      <c r="Q33" s="1899"/>
      <c r="R33" s="753"/>
      <c r="S33" s="754"/>
      <c r="T33" s="753"/>
      <c r="U33" s="754"/>
      <c r="V33" s="753"/>
      <c r="W33" s="754"/>
      <c r="X33" s="1900"/>
      <c r="Y33" s="3071"/>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71"/>
      <c r="Q34" s="1899" t="str">
        <f t="shared" si="8"/>
        <v>土地级别</v>
      </c>
      <c r="R34" s="753" t="s">
        <v>25</v>
      </c>
      <c r="S34" s="754">
        <f t="shared" si="9"/>
        <v>100</v>
      </c>
      <c r="T34" s="753" t="s">
        <v>25</v>
      </c>
      <c r="U34" s="754">
        <f t="shared" si="10"/>
        <v>100</v>
      </c>
      <c r="V34" s="753" t="s">
        <v>25</v>
      </c>
      <c r="W34" s="754">
        <f t="shared" si="11"/>
        <v>100</v>
      </c>
      <c r="X34" s="1900"/>
      <c r="Y34" s="3071"/>
      <c r="Z34" s="1902" t="str">
        <f t="shared" si="12"/>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71"/>
      <c r="Q35" s="1899">
        <f t="shared" si="8"/>
        <v>111</v>
      </c>
      <c r="R35" s="753" t="s">
        <v>25</v>
      </c>
      <c r="S35" s="754">
        <f t="shared" si="9"/>
        <v>100</v>
      </c>
      <c r="T35" s="753" t="s">
        <v>25</v>
      </c>
      <c r="U35" s="754">
        <f t="shared" si="10"/>
        <v>100</v>
      </c>
      <c r="V35" s="753" t="s">
        <v>25</v>
      </c>
      <c r="W35" s="754">
        <f t="shared" si="11"/>
        <v>100</v>
      </c>
      <c r="X35" s="1900"/>
      <c r="Y35" s="3071"/>
      <c r="Z35" s="1902">
        <f t="shared" si="12"/>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9" t="s">
        <v>2372</v>
      </c>
      <c r="Q36" s="1899">
        <f t="shared" si="8"/>
        <v>111</v>
      </c>
      <c r="R36" s="753" t="s">
        <v>25</v>
      </c>
      <c r="S36" s="754">
        <f t="shared" si="9"/>
        <v>100</v>
      </c>
      <c r="T36" s="753" t="s">
        <v>25</v>
      </c>
      <c r="U36" s="754">
        <f t="shared" si="10"/>
        <v>100</v>
      </c>
      <c r="V36" s="753" t="s">
        <v>25</v>
      </c>
      <c r="W36" s="754">
        <f t="shared" si="11"/>
        <v>100</v>
      </c>
      <c r="X36" s="1900"/>
      <c r="Y36" s="3075" t="s">
        <v>2372</v>
      </c>
      <c r="Z36" s="1902">
        <f t="shared" si="12"/>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75"/>
      <c r="Q37" s="1899">
        <f t="shared" si="8"/>
        <v>111</v>
      </c>
      <c r="R37" s="756" t="s">
        <v>25</v>
      </c>
      <c r="S37" s="757">
        <f t="shared" si="9"/>
        <v>100</v>
      </c>
      <c r="T37" s="756" t="s">
        <v>25</v>
      </c>
      <c r="U37" s="757">
        <f t="shared" si="10"/>
        <v>100</v>
      </c>
      <c r="V37" s="756" t="s">
        <v>25</v>
      </c>
      <c r="W37" s="757">
        <f t="shared" si="11"/>
        <v>100</v>
      </c>
      <c r="X37" s="758"/>
      <c r="Y37" s="3075"/>
      <c r="Z37" s="759">
        <f t="shared" si="12"/>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75"/>
      <c r="Q38" s="1899" t="str">
        <f>B38</f>
        <v>宗地面积</v>
      </c>
      <c r="R38" s="753" t="s">
        <v>25</v>
      </c>
      <c r="S38" s="754" t="e">
        <f t="shared" si="9"/>
        <v>#N/A</v>
      </c>
      <c r="T38" s="753" t="s">
        <v>25</v>
      </c>
      <c r="U38" s="754" t="e">
        <f t="shared" si="10"/>
        <v>#N/A</v>
      </c>
      <c r="V38" s="753" t="s">
        <v>25</v>
      </c>
      <c r="W38" s="754" t="e">
        <f t="shared" si="11"/>
        <v>#N/A</v>
      </c>
      <c r="X38" s="1900"/>
      <c r="Y38" s="3075"/>
      <c r="Z38" s="1902" t="str">
        <f t="shared" si="12"/>
        <v>宗地面积</v>
      </c>
      <c r="AA38" s="1903" t="e">
        <f t="shared" si="3"/>
        <v>#N/A</v>
      </c>
      <c r="AB38" s="1903" t="e">
        <f t="shared" si="4"/>
        <v>#N/A</v>
      </c>
      <c r="AC38" s="1903"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75"/>
      <c r="Q39" s="1899" t="str">
        <f t="shared" ref="Q39:Q45" si="13">B39</f>
        <v>宗地形状</v>
      </c>
      <c r="R39" s="753" t="s">
        <v>25</v>
      </c>
      <c r="S39" s="754">
        <f t="shared" si="9"/>
        <v>100</v>
      </c>
      <c r="T39" s="753" t="s">
        <v>25</v>
      </c>
      <c r="U39" s="754">
        <f t="shared" si="10"/>
        <v>100</v>
      </c>
      <c r="V39" s="753" t="s">
        <v>25</v>
      </c>
      <c r="W39" s="754">
        <f t="shared" si="11"/>
        <v>100</v>
      </c>
      <c r="X39" s="1900"/>
      <c r="Y39" s="3075"/>
      <c r="Z39" s="1902" t="str">
        <f t="shared" si="12"/>
        <v>宗地形状</v>
      </c>
      <c r="AA39" s="1903">
        <f t="shared" si="3"/>
        <v>1</v>
      </c>
      <c r="AB39" s="1903">
        <f t="shared" si="4"/>
        <v>1</v>
      </c>
      <c r="AC39" s="1903">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75"/>
      <c r="Q40" s="1899" t="str">
        <f t="shared" si="13"/>
        <v>临街宽度及深度</v>
      </c>
      <c r="R40" s="753" t="s">
        <v>25</v>
      </c>
      <c r="S40" s="754">
        <f t="shared" si="9"/>
        <v>100</v>
      </c>
      <c r="T40" s="753" t="s">
        <v>25</v>
      </c>
      <c r="U40" s="754">
        <f t="shared" si="10"/>
        <v>100</v>
      </c>
      <c r="V40" s="753" t="s">
        <v>25</v>
      </c>
      <c r="W40" s="754">
        <f t="shared" si="11"/>
        <v>100</v>
      </c>
      <c r="X40" s="1900"/>
      <c r="Y40" s="3075"/>
      <c r="Z40" s="1902" t="str">
        <f t="shared" si="12"/>
        <v>临街宽度及深度</v>
      </c>
      <c r="AA40" s="1903">
        <f t="shared" si="3"/>
        <v>1</v>
      </c>
      <c r="AB40" s="1903">
        <f t="shared" si="4"/>
        <v>1</v>
      </c>
      <c r="AC40" s="1903">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75"/>
      <c r="Q41" s="1899" t="str">
        <f t="shared" si="13"/>
        <v>宗地开发程度</v>
      </c>
      <c r="R41" s="749" t="s">
        <v>25</v>
      </c>
      <c r="S41" s="750">
        <f t="shared" si="9"/>
        <v>100</v>
      </c>
      <c r="T41" s="749" t="s">
        <v>25</v>
      </c>
      <c r="U41" s="750">
        <f t="shared" si="10"/>
        <v>100</v>
      </c>
      <c r="V41" s="749" t="s">
        <v>25</v>
      </c>
      <c r="W41" s="750">
        <f t="shared" si="11"/>
        <v>100</v>
      </c>
      <c r="X41" s="751"/>
      <c r="Y41" s="3075"/>
      <c r="Z41" s="23" t="str">
        <f t="shared" si="12"/>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75" t="s">
        <v>2372</v>
      </c>
      <c r="Q42" s="1899" t="str">
        <f t="shared" si="13"/>
        <v>工程地质条件</v>
      </c>
      <c r="R42" s="753" t="s">
        <v>25</v>
      </c>
      <c r="S42" s="754">
        <f t="shared" si="9"/>
        <v>100</v>
      </c>
      <c r="T42" s="753" t="s">
        <v>25</v>
      </c>
      <c r="U42" s="754">
        <f t="shared" si="10"/>
        <v>100</v>
      </c>
      <c r="V42" s="753" t="s">
        <v>25</v>
      </c>
      <c r="W42" s="754">
        <f t="shared" si="11"/>
        <v>100</v>
      </c>
      <c r="X42" s="1900"/>
      <c r="Y42" s="3075" t="s">
        <v>2372</v>
      </c>
      <c r="Z42" s="1902" t="str">
        <f t="shared" si="12"/>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75"/>
      <c r="Q43" s="1899">
        <f t="shared" si="13"/>
        <v>111</v>
      </c>
      <c r="R43" s="753" t="s">
        <v>25</v>
      </c>
      <c r="S43" s="754">
        <f t="shared" si="9"/>
        <v>100</v>
      </c>
      <c r="T43" s="753" t="s">
        <v>25</v>
      </c>
      <c r="U43" s="754">
        <f t="shared" si="10"/>
        <v>100</v>
      </c>
      <c r="V43" s="753" t="s">
        <v>25</v>
      </c>
      <c r="W43" s="754">
        <f t="shared" si="11"/>
        <v>100</v>
      </c>
      <c r="X43" s="1900"/>
      <c r="Y43" s="3075"/>
      <c r="Z43" s="1902">
        <f t="shared" si="12"/>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75"/>
      <c r="Q44" s="1899">
        <f t="shared" si="13"/>
        <v>111</v>
      </c>
      <c r="R44" s="753" t="s">
        <v>25</v>
      </c>
      <c r="S44" s="754">
        <f t="shared" si="9"/>
        <v>100</v>
      </c>
      <c r="T44" s="753" t="s">
        <v>25</v>
      </c>
      <c r="U44" s="754">
        <f t="shared" si="10"/>
        <v>100</v>
      </c>
      <c r="V44" s="753" t="s">
        <v>25</v>
      </c>
      <c r="W44" s="754">
        <f t="shared" si="11"/>
        <v>100</v>
      </c>
      <c r="X44" s="1900"/>
      <c r="Y44" s="3075"/>
      <c r="Z44" s="1902">
        <f t="shared" si="12"/>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75"/>
      <c r="Q45" s="1899">
        <f t="shared" si="13"/>
        <v>111</v>
      </c>
      <c r="R45" s="756" t="s">
        <v>25</v>
      </c>
      <c r="S45" s="757">
        <f t="shared" si="9"/>
        <v>100</v>
      </c>
      <c r="T45" s="756" t="s">
        <v>25</v>
      </c>
      <c r="U45" s="757">
        <f t="shared" si="10"/>
        <v>100</v>
      </c>
      <c r="V45" s="756" t="s">
        <v>25</v>
      </c>
      <c r="W45" s="757">
        <f t="shared" si="11"/>
        <v>100</v>
      </c>
      <c r="X45" s="758"/>
      <c r="Y45" s="3075"/>
      <c r="Z45" s="759">
        <f t="shared" si="12"/>
        <v>111</v>
      </c>
      <c r="AA45" s="1903">
        <f t="shared" si="3"/>
        <v>1</v>
      </c>
      <c r="AB45" s="1903">
        <f t="shared" si="4"/>
        <v>1</v>
      </c>
      <c r="AC45" s="1903">
        <f t="shared" si="5"/>
        <v>1</v>
      </c>
    </row>
    <row r="46" spans="1:29" ht="15">
      <c r="A46" s="460" t="s">
        <v>2520</v>
      </c>
      <c r="B46" s="2491" t="s">
        <v>2557</v>
      </c>
      <c r="C46" s="665" t="s">
        <v>1</v>
      </c>
      <c r="D46" s="462"/>
      <c r="E46" s="463"/>
      <c r="F46" s="464"/>
      <c r="G46" s="465"/>
      <c r="H46" s="466"/>
      <c r="I46" s="463"/>
      <c r="J46" s="466"/>
      <c r="K46" s="762"/>
      <c r="L46" s="1256"/>
      <c r="M46" s="1257"/>
      <c r="N46" s="1244"/>
      <c r="O46" s="1257"/>
      <c r="P46" s="3081" t="str">
        <f>A46</f>
        <v>成交单价</v>
      </c>
      <c r="Q46" s="3081"/>
      <c r="R46" s="3061">
        <f>E46</f>
        <v>0</v>
      </c>
      <c r="S46" s="3061"/>
      <c r="T46" s="3061">
        <f>G46</f>
        <v>0</v>
      </c>
      <c r="U46" s="3061"/>
      <c r="V46" s="3061">
        <f>I46</f>
        <v>0</v>
      </c>
      <c r="W46" s="306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81" t="str">
        <f>A47</f>
        <v>比较价值（元/平方米）</v>
      </c>
      <c r="Q47" s="3081"/>
      <c r="R47" s="3100" t="e">
        <f>ROUND(PRODUCT(R46,AA7:AA45),0)</f>
        <v>#DIV/0!</v>
      </c>
      <c r="S47" s="3100"/>
      <c r="T47" s="3100" t="e">
        <f>ROUND(PRODUCT(T46,AB7:AB45),0)</f>
        <v>#DIV/0!</v>
      </c>
      <c r="U47" s="3100"/>
      <c r="V47" s="3100" t="e">
        <f>ROUND(PRODUCT(V46,AC7:AC45),0)</f>
        <v>#DIV/0!</v>
      </c>
      <c r="W47" s="310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87" t="str">
        <f>A48</f>
        <v>估价对象XX用房的比较价值（楼面单价，元/平方米）</v>
      </c>
      <c r="Q48" s="3088"/>
      <c r="R48" s="3101" t="e">
        <f>ROUND(AVERAGE(R47:V47),0)</f>
        <v>#DIV/0!</v>
      </c>
      <c r="S48" s="3101"/>
      <c r="T48" s="3101"/>
      <c r="U48" s="3101"/>
      <c r="V48" s="3101"/>
      <c r="W48" s="310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4">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4"/>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5">ROUND($C$48*C58*D58,0)</f>
        <v>#DIV/0!</v>
      </c>
      <c r="C58" s="117">
        <f t="shared" ref="C58:C65" si="16">IF($C$55="北京市系数",G58,H58)</f>
        <v>0</v>
      </c>
      <c r="D58" s="1292">
        <v>0.25</v>
      </c>
      <c r="E58" s="677">
        <v>0</v>
      </c>
      <c r="F58" s="674" t="e">
        <f t="shared" si="14"/>
        <v>#DIV/0!</v>
      </c>
      <c r="G58" s="972">
        <f>SUMIF(修正!$A$45:$A$56,项目基本情况!$F$9,修正!C45:C56)</f>
        <v>0</v>
      </c>
      <c r="H58" s="973"/>
      <c r="I58" s="1259"/>
      <c r="J58" s="1259"/>
      <c r="K58" s="1263"/>
      <c r="L58" s="1264"/>
      <c r="M58" s="1259"/>
      <c r="N58" s="1259"/>
      <c r="O58" s="971"/>
    </row>
    <row r="59" spans="1:15" s="675" customFormat="1">
      <c r="A59" s="676" t="s">
        <v>2569</v>
      </c>
      <c r="B59" s="178" t="e">
        <f t="shared" si="15"/>
        <v>#DIV/0!</v>
      </c>
      <c r="C59" s="117">
        <f t="shared" si="16"/>
        <v>0</v>
      </c>
      <c r="D59" s="1292">
        <v>0.25</v>
      </c>
      <c r="E59" s="677">
        <v>0</v>
      </c>
      <c r="F59" s="674" t="e">
        <f t="shared" si="14"/>
        <v>#DIV/0!</v>
      </c>
      <c r="G59" s="972">
        <f>SUMIF(修正!$A$45:$A$56,项目基本情况!$F$9,修正!D45:D56)</f>
        <v>0</v>
      </c>
      <c r="H59" s="973"/>
      <c r="I59" s="1257"/>
      <c r="J59" s="1262"/>
      <c r="K59" s="1258"/>
      <c r="L59" s="1258"/>
      <c r="M59" s="1257"/>
      <c r="N59" s="1257"/>
      <c r="O59" s="971"/>
    </row>
    <row r="60" spans="1:15" s="675" customFormat="1">
      <c r="A60" s="676" t="s">
        <v>2570</v>
      </c>
      <c r="B60" s="178" t="e">
        <f t="shared" si="15"/>
        <v>#DIV/0!</v>
      </c>
      <c r="C60" s="117">
        <f t="shared" si="16"/>
        <v>0</v>
      </c>
      <c r="D60" s="1292">
        <v>0.25</v>
      </c>
      <c r="E60" s="677">
        <v>0</v>
      </c>
      <c r="F60" s="674" t="e">
        <f t="shared" si="14"/>
        <v>#DIV/0!</v>
      </c>
      <c r="G60" s="972">
        <f>SUMIF(修正!$A$45:$A$56,项目基本情况!$F$9,修正!E45:E56)</f>
        <v>0</v>
      </c>
      <c r="H60" s="973"/>
      <c r="I60" s="1259"/>
      <c r="J60" s="1259"/>
      <c r="K60" s="1263"/>
      <c r="L60" s="1264"/>
      <c r="M60" s="1259"/>
      <c r="N60" s="1259"/>
      <c r="O60" s="971"/>
    </row>
    <row r="61" spans="1:15" s="675" customFormat="1">
      <c r="A61" s="676" t="s">
        <v>2571</v>
      </c>
      <c r="B61" s="178" t="e">
        <f t="shared" si="15"/>
        <v>#DIV/0!</v>
      </c>
      <c r="C61" s="117">
        <f t="shared" si="16"/>
        <v>0</v>
      </c>
      <c r="D61" s="1292">
        <v>0.25</v>
      </c>
      <c r="E61" s="677">
        <v>0</v>
      </c>
      <c r="F61" s="674" t="e">
        <f t="shared" si="14"/>
        <v>#DIV/0!</v>
      </c>
      <c r="G61" s="972">
        <f>SUMIF(修正!A45:A56,项目基本情况!F9,修正!F45:F56)</f>
        <v>0</v>
      </c>
      <c r="H61" s="973"/>
      <c r="I61" s="1257"/>
      <c r="J61" s="1262"/>
      <c r="K61" s="1258"/>
      <c r="L61" s="1258"/>
      <c r="M61" s="1257"/>
      <c r="N61" s="1257"/>
      <c r="O61" s="971"/>
    </row>
    <row r="62" spans="1:15" s="675" customFormat="1">
      <c r="A62" s="676" t="s">
        <v>2572</v>
      </c>
      <c r="B62" s="178" t="e">
        <f t="shared" si="15"/>
        <v>#DIV/0!</v>
      </c>
      <c r="C62" s="117">
        <f t="shared" si="16"/>
        <v>0</v>
      </c>
      <c r="D62" s="1292">
        <v>0.25</v>
      </c>
      <c r="E62" s="677">
        <v>0</v>
      </c>
      <c r="F62" s="674" t="e">
        <f t="shared" si="14"/>
        <v>#DIV/0!</v>
      </c>
      <c r="G62" s="972">
        <f>SUMIF(修正!A45:A56,项目基本情况!F9,修正!G45:G56)</f>
        <v>0</v>
      </c>
      <c r="H62" s="973"/>
      <c r="I62" s="1259"/>
      <c r="J62" s="1259"/>
      <c r="K62" s="1263"/>
      <c r="L62" s="1264"/>
      <c r="M62" s="1259"/>
      <c r="N62" s="1259"/>
      <c r="O62" s="971"/>
    </row>
    <row r="63" spans="1:15" s="675" customFormat="1">
      <c r="A63" s="676" t="s">
        <v>2573</v>
      </c>
      <c r="B63" s="178" t="e">
        <f t="shared" si="15"/>
        <v>#DIV/0!</v>
      </c>
      <c r="C63" s="117">
        <f>IF($C$55="北京市系数",G63,H63)</f>
        <v>0</v>
      </c>
      <c r="D63" s="1292">
        <v>0.25</v>
      </c>
      <c r="E63" s="677">
        <v>0</v>
      </c>
      <c r="F63" s="674" t="e">
        <f t="shared" si="14"/>
        <v>#DIV/0!</v>
      </c>
      <c r="G63" s="972">
        <f>SUMIF(修正!A45:A56,项目基本情况!F9,修正!H45:H56)</f>
        <v>0</v>
      </c>
      <c r="H63" s="973"/>
      <c r="I63" s="1257"/>
      <c r="J63" s="1262"/>
      <c r="K63" s="1258"/>
      <c r="L63" s="1258"/>
      <c r="M63" s="1257"/>
      <c r="N63" s="1257"/>
      <c r="O63" s="971"/>
    </row>
    <row r="64" spans="1:15" s="675" customFormat="1">
      <c r="A64" s="676" t="s">
        <v>2574</v>
      </c>
      <c r="B64" s="178" t="e">
        <f t="shared" si="15"/>
        <v>#DIV/0!</v>
      </c>
      <c r="C64" s="117">
        <f t="shared" si="16"/>
        <v>0</v>
      </c>
      <c r="D64" s="1292">
        <v>0.25</v>
      </c>
      <c r="E64" s="677">
        <v>0</v>
      </c>
      <c r="F64" s="674" t="e">
        <f t="shared" si="14"/>
        <v>#DIV/0!</v>
      </c>
      <c r="G64" s="972">
        <f>G63</f>
        <v>0</v>
      </c>
      <c r="H64" s="973"/>
      <c r="I64" s="1259"/>
      <c r="J64" s="1259"/>
      <c r="K64" s="1263"/>
      <c r="L64" s="1264"/>
      <c r="M64" s="1259"/>
      <c r="N64" s="1259"/>
      <c r="O64" s="971"/>
    </row>
    <row r="65" spans="1:17" s="675" customFormat="1">
      <c r="A65" s="676" t="s">
        <v>2575</v>
      </c>
      <c r="B65" s="178" t="e">
        <f t="shared" si="15"/>
        <v>#DIV/0!</v>
      </c>
      <c r="C65" s="117">
        <f t="shared" si="16"/>
        <v>0</v>
      </c>
      <c r="D65" s="1292">
        <v>0.25</v>
      </c>
      <c r="E65" s="677">
        <v>0</v>
      </c>
      <c r="F65" s="674" t="e">
        <f t="shared" si="14"/>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7">EDATE(D68,-3)</f>
        <v>43132</v>
      </c>
      <c r="F68" s="1670">
        <f t="shared" si="17"/>
        <v>43040</v>
      </c>
      <c r="G68" s="1670">
        <f t="shared" si="17"/>
        <v>42948</v>
      </c>
      <c r="H68" s="1670">
        <f t="shared" si="17"/>
        <v>42856</v>
      </c>
      <c r="I68" s="1670">
        <f t="shared" si="17"/>
        <v>42767</v>
      </c>
      <c r="J68" s="1670">
        <f t="shared" si="17"/>
        <v>42675</v>
      </c>
      <c r="K68" s="1670">
        <f t="shared" si="17"/>
        <v>42583</v>
      </c>
      <c r="L68" s="1670">
        <f t="shared" si="17"/>
        <v>42491</v>
      </c>
      <c r="M68" s="1670">
        <f t="shared" si="17"/>
        <v>42401</v>
      </c>
      <c r="N68" s="1670">
        <f t="shared" si="17"/>
        <v>42309</v>
      </c>
      <c r="O68" s="1670">
        <f t="shared" si="17"/>
        <v>42217</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5" t="s">
        <v>2577</v>
      </c>
      <c r="B70" s="1456"/>
      <c r="C70" s="1671" t="str">
        <f>YEAR(C68)&amp;"-"&amp;ROUNDUP(MONTH(C68)/3,0)</f>
        <v>2018-3</v>
      </c>
      <c r="D70" s="1671" t="str">
        <f>YEAR(D68)&amp;"-"&amp;ROUNDUP(MONTH(D68)/3,0)</f>
        <v>2018-2</v>
      </c>
      <c r="E70" s="1671" t="str">
        <f t="shared" ref="E70:O70" si="18">YEAR(E68)&amp;"-"&amp;ROUNDUP(MONTH(E68)/3,0)</f>
        <v>2018-1</v>
      </c>
      <c r="F70" s="1671" t="str">
        <f t="shared" si="18"/>
        <v>2017-4</v>
      </c>
      <c r="G70" s="1671" t="str">
        <f t="shared" si="18"/>
        <v>2017-3</v>
      </c>
      <c r="H70" s="1671" t="str">
        <f t="shared" si="18"/>
        <v>2017-2</v>
      </c>
      <c r="I70" s="1671" t="str">
        <f t="shared" si="18"/>
        <v>2017-1</v>
      </c>
      <c r="J70" s="1671" t="str">
        <f t="shared" si="18"/>
        <v>2016-4</v>
      </c>
      <c r="K70" s="1671" t="str">
        <f t="shared" si="18"/>
        <v>2016-3</v>
      </c>
      <c r="L70" s="1671" t="str">
        <f t="shared" si="18"/>
        <v>2016-2</v>
      </c>
      <c r="M70" s="1671" t="str">
        <f t="shared" si="18"/>
        <v>2016-1</v>
      </c>
      <c r="N70" s="1671" t="str">
        <f t="shared" si="18"/>
        <v>2015-4</v>
      </c>
      <c r="O70" s="1671" t="str">
        <f t="shared" si="18"/>
        <v>2015-3</v>
      </c>
      <c r="P70" s="1673"/>
    </row>
    <row r="71" spans="1:17" s="35" customFormat="1" ht="29.25" customHeight="1">
      <c r="A71" s="2496" t="s">
        <v>2578</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4">C117&amp;"(含)"&amp;"-"&amp;D117</f>
        <v>(含)-</v>
      </c>
      <c r="D116" s="1857" t="str">
        <f t="shared" si="24"/>
        <v>(含)-</v>
      </c>
      <c r="E116" s="1857" t="str">
        <f t="shared" si="24"/>
        <v>(含)-</v>
      </c>
      <c r="F116" s="1857" t="str">
        <f t="shared" si="24"/>
        <v>(含)-</v>
      </c>
      <c r="G116" s="1857" t="str">
        <f t="shared" si="24"/>
        <v>(含)-</v>
      </c>
      <c r="H116" s="1857" t="str">
        <f t="shared" si="24"/>
        <v>(含)-</v>
      </c>
      <c r="I116" s="1857" t="str">
        <f t="shared" si="24"/>
        <v>(含)-</v>
      </c>
      <c r="J116" s="1857" t="str">
        <f t="shared" si="24"/>
        <v>(含)-</v>
      </c>
      <c r="K116" s="1857" t="str">
        <f t="shared" si="24"/>
        <v>(含)-</v>
      </c>
      <c r="L116" s="1858" t="str">
        <f t="shared" si="24"/>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55" t="s">
        <v>2343</v>
      </c>
      <c r="S4" s="3056"/>
      <c r="T4" s="3055" t="s">
        <v>2344</v>
      </c>
      <c r="U4" s="3056"/>
      <c r="V4" s="3061" t="s">
        <v>2345</v>
      </c>
      <c r="W4" s="3061"/>
      <c r="X4" s="1900"/>
      <c r="Y4" s="3055" t="s">
        <v>2347</v>
      </c>
      <c r="Z4" s="3056"/>
      <c r="AA4" s="3042" t="s">
        <v>2343</v>
      </c>
      <c r="AB4" s="3043" t="s">
        <v>2344</v>
      </c>
      <c r="AC4" s="3042" t="s">
        <v>2345</v>
      </c>
    </row>
    <row r="5" spans="1:29" ht="15">
      <c r="A5" s="383"/>
      <c r="B5" s="384"/>
      <c r="C5" s="3090" t="s">
        <v>2348</v>
      </c>
      <c r="D5" s="3065"/>
      <c r="E5" s="3091" t="s">
        <v>2349</v>
      </c>
      <c r="F5" s="3063"/>
      <c r="G5" s="3090" t="s">
        <v>2350</v>
      </c>
      <c r="H5" s="3065"/>
      <c r="I5" s="3090" t="s">
        <v>2351</v>
      </c>
      <c r="J5" s="3065"/>
      <c r="K5" s="594"/>
      <c r="L5" s="1243"/>
      <c r="M5" s="1244"/>
      <c r="N5" s="1244"/>
      <c r="O5" s="1244"/>
      <c r="P5" s="3051"/>
      <c r="Q5" s="3052"/>
      <c r="R5" s="3057"/>
      <c r="S5" s="3058"/>
      <c r="T5" s="3057"/>
      <c r="U5" s="3058"/>
      <c r="V5" s="3061"/>
      <c r="W5" s="3061"/>
      <c r="X5" s="1900"/>
      <c r="Y5" s="3057"/>
      <c r="Z5" s="3058"/>
      <c r="AA5" s="3043"/>
      <c r="AB5" s="3043"/>
      <c r="AC5" s="3043"/>
    </row>
    <row r="6" spans="1:29" ht="15.75" thickBot="1">
      <c r="A6" s="385"/>
      <c r="B6" s="386"/>
      <c r="C6" s="3066" t="s">
        <v>2352</v>
      </c>
      <c r="D6" s="3067"/>
      <c r="E6" s="3068" t="s">
        <v>2352</v>
      </c>
      <c r="F6" s="3069"/>
      <c r="G6" s="3066" t="s">
        <v>2352</v>
      </c>
      <c r="H6" s="3067"/>
      <c r="I6" s="3066" t="s">
        <v>2352</v>
      </c>
      <c r="J6" s="3067"/>
      <c r="K6" s="594" t="s">
        <v>2353</v>
      </c>
      <c r="L6" s="1243"/>
      <c r="M6" s="1244"/>
      <c r="N6" s="1244"/>
      <c r="O6" s="1244"/>
      <c r="P6" s="3053"/>
      <c r="Q6" s="3054"/>
      <c r="R6" s="3057"/>
      <c r="S6" s="3058"/>
      <c r="T6" s="3059"/>
      <c r="U6" s="3060"/>
      <c r="V6" s="3061"/>
      <c r="W6" s="3061"/>
      <c r="X6" s="1900"/>
      <c r="Y6" s="3059"/>
      <c r="Z6" s="3060"/>
      <c r="AA6" s="3044"/>
      <c r="AB6" s="3044"/>
      <c r="AC6" s="3044"/>
    </row>
    <row r="7" spans="1:29" s="35" customFormat="1" ht="15.75" thickBot="1">
      <c r="A7" s="387" t="s">
        <v>2354</v>
      </c>
      <c r="B7" s="388"/>
      <c r="C7" s="389">
        <f>'数据-取费表'!B2</f>
        <v>43339</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77" t="s">
        <v>2355</v>
      </c>
      <c r="Q7" s="3079"/>
      <c r="R7" s="749" t="s">
        <v>25</v>
      </c>
      <c r="S7" s="750">
        <f t="shared" ref="S7:S15" si="0">F7</f>
        <v>0</v>
      </c>
      <c r="T7" s="749" t="s">
        <v>25</v>
      </c>
      <c r="U7" s="750">
        <f t="shared" ref="U7:U15" si="1">H7</f>
        <v>0</v>
      </c>
      <c r="V7" s="749" t="s">
        <v>25</v>
      </c>
      <c r="W7" s="750">
        <f t="shared" ref="W7:W15" si="2">J7</f>
        <v>0</v>
      </c>
      <c r="X7" s="751"/>
      <c r="Y7" s="3077" t="s">
        <v>2355</v>
      </c>
      <c r="Z7" s="307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7" t="s">
        <v>2358</v>
      </c>
      <c r="Q8" s="3078"/>
      <c r="R8" s="749" t="s">
        <v>25</v>
      </c>
      <c r="S8" s="750">
        <f t="shared" si="0"/>
        <v>0</v>
      </c>
      <c r="T8" s="749" t="s">
        <v>25</v>
      </c>
      <c r="U8" s="750">
        <f t="shared" si="1"/>
        <v>0</v>
      </c>
      <c r="V8" s="749" t="s">
        <v>25</v>
      </c>
      <c r="W8" s="750">
        <f t="shared" si="2"/>
        <v>0</v>
      </c>
      <c r="X8" s="751"/>
      <c r="Y8" s="3077" t="s">
        <v>2358</v>
      </c>
      <c r="Z8" s="3078"/>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81" t="s">
        <v>2361</v>
      </c>
      <c r="Q9" s="1887" t="str">
        <f t="shared" ref="Q9:Q15" si="6">B9</f>
        <v>用途</v>
      </c>
      <c r="R9" s="749" t="s">
        <v>25</v>
      </c>
      <c r="S9" s="750">
        <f t="shared" si="0"/>
        <v>100</v>
      </c>
      <c r="T9" s="749" t="s">
        <v>25</v>
      </c>
      <c r="U9" s="750">
        <f t="shared" si="1"/>
        <v>100</v>
      </c>
      <c r="V9" s="749" t="s">
        <v>25</v>
      </c>
      <c r="W9" s="750">
        <f t="shared" si="2"/>
        <v>100</v>
      </c>
      <c r="X9" s="751"/>
      <c r="Y9" s="2893"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81"/>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81"/>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81"/>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81"/>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81"/>
      <c r="Q14" s="188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70" t="s">
        <v>2366</v>
      </c>
      <c r="Q15" s="1899" t="str">
        <f t="shared" si="6"/>
        <v>产业集聚程度</v>
      </c>
      <c r="R15" s="753" t="s">
        <v>25</v>
      </c>
      <c r="S15" s="754">
        <f t="shared" si="0"/>
        <v>100</v>
      </c>
      <c r="T15" s="753" t="s">
        <v>25</v>
      </c>
      <c r="U15" s="754">
        <f t="shared" si="1"/>
        <v>100</v>
      </c>
      <c r="V15" s="753" t="s">
        <v>25</v>
      </c>
      <c r="W15" s="754">
        <f t="shared" si="2"/>
        <v>100</v>
      </c>
      <c r="X15" s="1900"/>
      <c r="Y15" s="3070"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71"/>
      <c r="Q16" s="1899"/>
      <c r="R16" s="753"/>
      <c r="S16" s="754"/>
      <c r="T16" s="753"/>
      <c r="U16" s="754"/>
      <c r="V16" s="753"/>
      <c r="W16" s="754"/>
      <c r="X16" s="1900"/>
      <c r="Y16" s="3071"/>
      <c r="Z16" s="1902"/>
      <c r="AA16" s="1903">
        <v>1</v>
      </c>
      <c r="AB16" s="1903">
        <v>1</v>
      </c>
      <c r="AC16" s="1903">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71"/>
      <c r="Q17" s="1899" t="str">
        <f>B17</f>
        <v>交通便捷度</v>
      </c>
      <c r="R17" s="753" t="s">
        <v>25</v>
      </c>
      <c r="S17" s="754">
        <f>F17</f>
        <v>100</v>
      </c>
      <c r="T17" s="753" t="s">
        <v>25</v>
      </c>
      <c r="U17" s="754">
        <f>H17</f>
        <v>100</v>
      </c>
      <c r="V17" s="753" t="s">
        <v>25</v>
      </c>
      <c r="W17" s="754">
        <f>J17</f>
        <v>100</v>
      </c>
      <c r="X17" s="1900"/>
      <c r="Y17" s="307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71"/>
      <c r="Q18" s="1899"/>
      <c r="R18" s="753"/>
      <c r="S18" s="754"/>
      <c r="T18" s="753"/>
      <c r="U18" s="754"/>
      <c r="V18" s="753"/>
      <c r="W18" s="754"/>
      <c r="X18" s="1900"/>
      <c r="Y18" s="3071"/>
      <c r="Z18" s="1902"/>
      <c r="AA18" s="1903">
        <v>1</v>
      </c>
      <c r="AB18" s="1903">
        <v>1</v>
      </c>
      <c r="AC18" s="1903">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71"/>
      <c r="Q19" s="1899" t="str">
        <f t="shared" ref="Q19:Q33" si="8">B19</f>
        <v>区域土地利用方向</v>
      </c>
      <c r="R19" s="753" t="s">
        <v>25</v>
      </c>
      <c r="S19" s="754">
        <f>F19</f>
        <v>100</v>
      </c>
      <c r="T19" s="753" t="s">
        <v>25</v>
      </c>
      <c r="U19" s="754">
        <f>H19</f>
        <v>100</v>
      </c>
      <c r="V19" s="753" t="s">
        <v>25</v>
      </c>
      <c r="W19" s="754">
        <f>J19</f>
        <v>100</v>
      </c>
      <c r="X19" s="1900"/>
      <c r="Y19" s="307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71"/>
      <c r="Q20" s="1899"/>
      <c r="R20" s="753"/>
      <c r="S20" s="754"/>
      <c r="T20" s="753"/>
      <c r="U20" s="754"/>
      <c r="V20" s="753"/>
      <c r="W20" s="754"/>
      <c r="X20" s="1900"/>
      <c r="Y20" s="3071"/>
      <c r="Z20" s="1902"/>
      <c r="AA20" s="1903"/>
      <c r="AB20" s="1903"/>
      <c r="AC20" s="1903"/>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71"/>
      <c r="Q21" s="1899" t="str">
        <f t="shared" si="8"/>
        <v>环境状况</v>
      </c>
      <c r="R21" s="753" t="s">
        <v>25</v>
      </c>
      <c r="S21" s="754">
        <f>F21</f>
        <v>100</v>
      </c>
      <c r="T21" s="753" t="s">
        <v>25</v>
      </c>
      <c r="U21" s="754">
        <f>H21</f>
        <v>100</v>
      </c>
      <c r="V21" s="753" t="s">
        <v>25</v>
      </c>
      <c r="W21" s="754">
        <f>J21</f>
        <v>100</v>
      </c>
      <c r="X21" s="1900"/>
      <c r="Y21" s="307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71"/>
      <c r="Q22" s="1899"/>
      <c r="R22" s="753"/>
      <c r="S22" s="754"/>
      <c r="T22" s="753"/>
      <c r="U22" s="754"/>
      <c r="V22" s="753"/>
      <c r="W22" s="754"/>
      <c r="X22" s="1900"/>
      <c r="Y22" s="3071"/>
      <c r="Z22" s="1902"/>
      <c r="AA22" s="1903">
        <v>1</v>
      </c>
      <c r="AB22" s="1903">
        <v>1</v>
      </c>
      <c r="AC22" s="1903">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71"/>
      <c r="Q23" s="1887" t="str">
        <f t="shared" si="8"/>
        <v>公共配套设施</v>
      </c>
      <c r="R23" s="749" t="s">
        <v>25</v>
      </c>
      <c r="S23" s="750">
        <f>F23</f>
        <v>100</v>
      </c>
      <c r="T23" s="749" t="s">
        <v>25</v>
      </c>
      <c r="U23" s="750">
        <f>H23</f>
        <v>100</v>
      </c>
      <c r="V23" s="749" t="s">
        <v>25</v>
      </c>
      <c r="W23" s="750">
        <f>J23</f>
        <v>100</v>
      </c>
      <c r="X23" s="751"/>
      <c r="Y23" s="3071"/>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71"/>
      <c r="Q24" s="1887"/>
      <c r="R24" s="749"/>
      <c r="S24" s="750"/>
      <c r="T24" s="749"/>
      <c r="U24" s="750"/>
      <c r="V24" s="749"/>
      <c r="W24" s="750"/>
      <c r="X24" s="751"/>
      <c r="Y24" s="3071"/>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71"/>
      <c r="Q25" s="1887" t="str">
        <f>B25</f>
        <v>基础设施水平</v>
      </c>
      <c r="R25" s="749" t="s">
        <v>25</v>
      </c>
      <c r="S25" s="750">
        <f>F25</f>
        <v>100</v>
      </c>
      <c r="T25" s="749" t="s">
        <v>25</v>
      </c>
      <c r="U25" s="750">
        <f>H25</f>
        <v>100</v>
      </c>
      <c r="V25" s="749" t="s">
        <v>25</v>
      </c>
      <c r="W25" s="750">
        <f>J25</f>
        <v>100</v>
      </c>
      <c r="X25" s="751"/>
      <c r="Y25" s="3071"/>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71"/>
      <c r="Q26" s="1887"/>
      <c r="R26" s="749"/>
      <c r="S26" s="750"/>
      <c r="T26" s="749"/>
      <c r="U26" s="750"/>
      <c r="V26" s="749"/>
      <c r="W26" s="750"/>
      <c r="X26" s="751"/>
      <c r="Y26" s="307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71"/>
      <c r="Q27" s="1899" t="str">
        <f t="shared" si="8"/>
        <v>临街状况</v>
      </c>
      <c r="R27" s="753" t="s">
        <v>25</v>
      </c>
      <c r="S27" s="754">
        <f t="shared" ref="S27:S40" si="9">F27</f>
        <v>100</v>
      </c>
      <c r="T27" s="753" t="s">
        <v>25</v>
      </c>
      <c r="U27" s="754">
        <f t="shared" ref="U27:U40" si="10">H27</f>
        <v>100</v>
      </c>
      <c r="V27" s="753" t="s">
        <v>25</v>
      </c>
      <c r="W27" s="754">
        <f t="shared" ref="W27:W40" si="11">J27</f>
        <v>100</v>
      </c>
      <c r="X27" s="1900"/>
      <c r="Y27" s="3071"/>
      <c r="Z27" s="1902" t="str">
        <f t="shared" ref="Z27:Z40" si="12">Q27</f>
        <v>临街状况</v>
      </c>
      <c r="AA27" s="1903">
        <f t="shared" si="3"/>
        <v>1</v>
      </c>
      <c r="AB27" s="1903">
        <f t="shared" si="4"/>
        <v>1</v>
      </c>
      <c r="AC27" s="1903">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71"/>
      <c r="Q28" s="1899" t="str">
        <f t="shared" si="8"/>
        <v>毗邻道路的类型与等级</v>
      </c>
      <c r="R28" s="753" t="s">
        <v>25</v>
      </c>
      <c r="S28" s="754">
        <f t="shared" si="9"/>
        <v>100</v>
      </c>
      <c r="T28" s="753" t="s">
        <v>25</v>
      </c>
      <c r="U28" s="754">
        <f t="shared" si="10"/>
        <v>100</v>
      </c>
      <c r="V28" s="753" t="s">
        <v>25</v>
      </c>
      <c r="W28" s="754">
        <f t="shared" si="11"/>
        <v>100</v>
      </c>
      <c r="X28" s="1900"/>
      <c r="Y28" s="3071"/>
      <c r="Z28" s="1902" t="str">
        <f t="shared" si="12"/>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71"/>
      <c r="Q29" s="1899"/>
      <c r="R29" s="753"/>
      <c r="S29" s="754"/>
      <c r="T29" s="753"/>
      <c r="U29" s="754"/>
      <c r="V29" s="753"/>
      <c r="W29" s="754"/>
      <c r="X29" s="1900"/>
      <c r="Y29" s="3071"/>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71"/>
      <c r="Q30" s="1899" t="str">
        <f t="shared" si="8"/>
        <v>土地级别</v>
      </c>
      <c r="R30" s="753" t="s">
        <v>25</v>
      </c>
      <c r="S30" s="754">
        <f t="shared" si="9"/>
        <v>100</v>
      </c>
      <c r="T30" s="753" t="s">
        <v>25</v>
      </c>
      <c r="U30" s="754">
        <f t="shared" si="10"/>
        <v>100</v>
      </c>
      <c r="V30" s="753" t="s">
        <v>25</v>
      </c>
      <c r="W30" s="754">
        <f t="shared" si="11"/>
        <v>100</v>
      </c>
      <c r="X30" s="1900"/>
      <c r="Y30" s="3071"/>
      <c r="Z30" s="1902" t="str">
        <f t="shared" si="12"/>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71"/>
      <c r="Q31" s="1899">
        <f t="shared" si="8"/>
        <v>111</v>
      </c>
      <c r="R31" s="753" t="s">
        <v>25</v>
      </c>
      <c r="S31" s="754">
        <f t="shared" si="9"/>
        <v>100</v>
      </c>
      <c r="T31" s="753" t="s">
        <v>25</v>
      </c>
      <c r="U31" s="754">
        <f t="shared" si="10"/>
        <v>100</v>
      </c>
      <c r="V31" s="753" t="s">
        <v>25</v>
      </c>
      <c r="W31" s="754">
        <f t="shared" si="11"/>
        <v>100</v>
      </c>
      <c r="X31" s="1900"/>
      <c r="Y31" s="3071"/>
      <c r="Z31" s="1902">
        <f t="shared" si="12"/>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9" t="s">
        <v>2372</v>
      </c>
      <c r="Q32" s="1899">
        <f t="shared" si="8"/>
        <v>111</v>
      </c>
      <c r="R32" s="753" t="s">
        <v>25</v>
      </c>
      <c r="S32" s="754">
        <f t="shared" si="9"/>
        <v>100</v>
      </c>
      <c r="T32" s="753" t="s">
        <v>25</v>
      </c>
      <c r="U32" s="754">
        <f t="shared" si="10"/>
        <v>100</v>
      </c>
      <c r="V32" s="753" t="s">
        <v>25</v>
      </c>
      <c r="W32" s="754">
        <f t="shared" si="11"/>
        <v>100</v>
      </c>
      <c r="X32" s="1900"/>
      <c r="Y32" s="3075" t="s">
        <v>2372</v>
      </c>
      <c r="Z32" s="1902">
        <f t="shared" si="12"/>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75"/>
      <c r="Q33" s="1899">
        <f t="shared" si="8"/>
        <v>111</v>
      </c>
      <c r="R33" s="756" t="s">
        <v>25</v>
      </c>
      <c r="S33" s="757">
        <f t="shared" si="9"/>
        <v>100</v>
      </c>
      <c r="T33" s="756" t="s">
        <v>25</v>
      </c>
      <c r="U33" s="757">
        <f t="shared" si="10"/>
        <v>100</v>
      </c>
      <c r="V33" s="756" t="s">
        <v>25</v>
      </c>
      <c r="W33" s="757">
        <f t="shared" si="11"/>
        <v>100</v>
      </c>
      <c r="X33" s="758"/>
      <c r="Y33" s="3075"/>
      <c r="Z33" s="759">
        <f t="shared" si="12"/>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75"/>
      <c r="Q34" s="1899" t="str">
        <f>B34</f>
        <v>宗地面积</v>
      </c>
      <c r="R34" s="753" t="s">
        <v>25</v>
      </c>
      <c r="S34" s="754" t="e">
        <f t="shared" si="9"/>
        <v>#N/A</v>
      </c>
      <c r="T34" s="753" t="s">
        <v>25</v>
      </c>
      <c r="U34" s="754" t="e">
        <f t="shared" si="10"/>
        <v>#N/A</v>
      </c>
      <c r="V34" s="753" t="s">
        <v>25</v>
      </c>
      <c r="W34" s="754" t="e">
        <f t="shared" si="11"/>
        <v>#N/A</v>
      </c>
      <c r="X34" s="1900"/>
      <c r="Y34" s="3075"/>
      <c r="Z34" s="1902" t="str">
        <f t="shared" si="12"/>
        <v>宗地面积</v>
      </c>
      <c r="AA34" s="1903" t="e">
        <f t="shared" si="3"/>
        <v>#N/A</v>
      </c>
      <c r="AB34" s="1903" t="e">
        <f t="shared" si="4"/>
        <v>#N/A</v>
      </c>
      <c r="AC34" s="1903"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75"/>
      <c r="Q35" s="1899" t="str">
        <f t="shared" ref="Q35:Q40" si="13">B35</f>
        <v>宗地形状</v>
      </c>
      <c r="R35" s="753" t="s">
        <v>25</v>
      </c>
      <c r="S35" s="754">
        <f t="shared" si="9"/>
        <v>100</v>
      </c>
      <c r="T35" s="753" t="s">
        <v>25</v>
      </c>
      <c r="U35" s="754">
        <f t="shared" si="10"/>
        <v>100</v>
      </c>
      <c r="V35" s="753" t="s">
        <v>25</v>
      </c>
      <c r="W35" s="754">
        <f t="shared" si="11"/>
        <v>100</v>
      </c>
      <c r="X35" s="1900"/>
      <c r="Y35" s="3075"/>
      <c r="Z35" s="1902" t="str">
        <f t="shared" si="12"/>
        <v>宗地形状</v>
      </c>
      <c r="AA35" s="1903">
        <f t="shared" si="3"/>
        <v>1</v>
      </c>
      <c r="AB35" s="1903">
        <f t="shared" si="4"/>
        <v>1</v>
      </c>
      <c r="AC35" s="1903">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75"/>
      <c r="Q36" s="1899" t="str">
        <f t="shared" si="13"/>
        <v>宗地开发程度</v>
      </c>
      <c r="R36" s="749" t="s">
        <v>25</v>
      </c>
      <c r="S36" s="750">
        <f t="shared" si="9"/>
        <v>100</v>
      </c>
      <c r="T36" s="749" t="s">
        <v>25</v>
      </c>
      <c r="U36" s="750">
        <f t="shared" si="10"/>
        <v>100</v>
      </c>
      <c r="V36" s="749" t="s">
        <v>25</v>
      </c>
      <c r="W36" s="750">
        <f t="shared" si="11"/>
        <v>100</v>
      </c>
      <c r="X36" s="751"/>
      <c r="Y36" s="3075"/>
      <c r="Z36" s="23" t="str">
        <f t="shared" si="12"/>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75" t="s">
        <v>2372</v>
      </c>
      <c r="Q37" s="1899" t="str">
        <f t="shared" si="13"/>
        <v>工程地质条件</v>
      </c>
      <c r="R37" s="753" t="s">
        <v>25</v>
      </c>
      <c r="S37" s="754">
        <f t="shared" si="9"/>
        <v>100</v>
      </c>
      <c r="T37" s="753" t="s">
        <v>25</v>
      </c>
      <c r="U37" s="754">
        <f t="shared" si="10"/>
        <v>100</v>
      </c>
      <c r="V37" s="753" t="s">
        <v>25</v>
      </c>
      <c r="W37" s="754">
        <f t="shared" si="11"/>
        <v>100</v>
      </c>
      <c r="X37" s="1900"/>
      <c r="Y37" s="3075" t="s">
        <v>2372</v>
      </c>
      <c r="Z37" s="1902" t="str">
        <f t="shared" si="12"/>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75"/>
      <c r="Q38" s="1899">
        <f t="shared" si="13"/>
        <v>111</v>
      </c>
      <c r="R38" s="753" t="s">
        <v>25</v>
      </c>
      <c r="S38" s="754">
        <f t="shared" si="9"/>
        <v>100</v>
      </c>
      <c r="T38" s="753" t="s">
        <v>25</v>
      </c>
      <c r="U38" s="754">
        <f t="shared" si="10"/>
        <v>100</v>
      </c>
      <c r="V38" s="753" t="s">
        <v>25</v>
      </c>
      <c r="W38" s="754">
        <f t="shared" si="11"/>
        <v>100</v>
      </c>
      <c r="X38" s="1900"/>
      <c r="Y38" s="3075"/>
      <c r="Z38" s="1902">
        <f t="shared" si="12"/>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75"/>
      <c r="Q39" s="1899">
        <f t="shared" si="13"/>
        <v>111</v>
      </c>
      <c r="R39" s="753" t="s">
        <v>25</v>
      </c>
      <c r="S39" s="754">
        <f t="shared" si="9"/>
        <v>100</v>
      </c>
      <c r="T39" s="753" t="s">
        <v>25</v>
      </c>
      <c r="U39" s="754">
        <f t="shared" si="10"/>
        <v>100</v>
      </c>
      <c r="V39" s="753" t="s">
        <v>25</v>
      </c>
      <c r="W39" s="754">
        <f t="shared" si="11"/>
        <v>100</v>
      </c>
      <c r="X39" s="1900"/>
      <c r="Y39" s="3075"/>
      <c r="Z39" s="1902">
        <f t="shared" si="12"/>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75"/>
      <c r="Q40" s="1899">
        <f t="shared" si="13"/>
        <v>111</v>
      </c>
      <c r="R40" s="756" t="s">
        <v>25</v>
      </c>
      <c r="S40" s="757">
        <f t="shared" si="9"/>
        <v>100</v>
      </c>
      <c r="T40" s="756" t="s">
        <v>25</v>
      </c>
      <c r="U40" s="757">
        <f t="shared" si="10"/>
        <v>100</v>
      </c>
      <c r="V40" s="756" t="s">
        <v>25</v>
      </c>
      <c r="W40" s="757">
        <f t="shared" si="11"/>
        <v>100</v>
      </c>
      <c r="X40" s="758"/>
      <c r="Y40" s="3075"/>
      <c r="Z40" s="759">
        <f t="shared" si="12"/>
        <v>111</v>
      </c>
      <c r="AA40" s="1903">
        <f t="shared" si="3"/>
        <v>1</v>
      </c>
      <c r="AB40" s="1903">
        <f t="shared" si="4"/>
        <v>1</v>
      </c>
      <c r="AC40" s="1903">
        <f t="shared" si="5"/>
        <v>1</v>
      </c>
    </row>
    <row r="41" spans="1:29" ht="15">
      <c r="A41" s="460" t="s">
        <v>2520</v>
      </c>
      <c r="B41" s="2491" t="s">
        <v>2595</v>
      </c>
      <c r="C41" s="665" t="s">
        <v>1</v>
      </c>
      <c r="D41" s="462"/>
      <c r="E41" s="463"/>
      <c r="F41" s="464"/>
      <c r="G41" s="465"/>
      <c r="H41" s="466"/>
      <c r="I41" s="463"/>
      <c r="J41" s="466"/>
      <c r="K41" s="762"/>
      <c r="L41" s="1256"/>
      <c r="M41" s="1244"/>
      <c r="N41" s="1244"/>
      <c r="O41" s="1257"/>
      <c r="P41" s="3081" t="str">
        <f>A41</f>
        <v>成交单价</v>
      </c>
      <c r="Q41" s="3081"/>
      <c r="R41" s="3061">
        <f>E41</f>
        <v>0</v>
      </c>
      <c r="S41" s="3061"/>
      <c r="T41" s="3061">
        <f>G41</f>
        <v>0</v>
      </c>
      <c r="U41" s="3061"/>
      <c r="V41" s="3061">
        <f>I41</f>
        <v>0</v>
      </c>
      <c r="W41" s="306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81" t="str">
        <f>A42</f>
        <v>比较价值（元/平方米）</v>
      </c>
      <c r="Q42" s="3081"/>
      <c r="R42" s="3100" t="e">
        <f>ROUND(PRODUCT(R41,AA7:AA40),0)</f>
        <v>#DIV/0!</v>
      </c>
      <c r="S42" s="3100"/>
      <c r="T42" s="3100" t="e">
        <f>ROUND(PRODUCT(T41,AB7:AB40),0)</f>
        <v>#DIV/0!</v>
      </c>
      <c r="U42" s="3100"/>
      <c r="V42" s="3100" t="e">
        <f>ROUND(PRODUCT(V41,AC7:AC40),0)</f>
        <v>#DIV/0!</v>
      </c>
      <c r="W42" s="310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87" t="str">
        <f>A43</f>
        <v>估价对象XX用房的比较价值（楼面单价，元/平方米）</v>
      </c>
      <c r="Q43" s="3088"/>
      <c r="R43" s="3101" t="e">
        <f>ROUND(AVERAGE(R42:V42),0)</f>
        <v>#DIV/0!</v>
      </c>
      <c r="S43" s="3101"/>
      <c r="T43" s="3101"/>
      <c r="U43" s="3101"/>
      <c r="V43" s="3101"/>
      <c r="W43" s="310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4">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4"/>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5">ROUND($C$43*C53*D53,0)</f>
        <v>#DIV/0!</v>
      </c>
      <c r="C53" s="117">
        <f t="shared" ref="C53:C60" si="16">IF($C$50="北京市系数",G53,H53)</f>
        <v>0</v>
      </c>
      <c r="D53" s="1292">
        <v>0.25</v>
      </c>
      <c r="E53" s="677">
        <v>0</v>
      </c>
      <c r="F53" s="674" t="e">
        <f t="shared" si="14"/>
        <v>#DIV/0!</v>
      </c>
      <c r="G53" s="972">
        <f>SUMIF(修正!$A$45:$A$56,项目基本情况!$F$9,修正!C45:C56)</f>
        <v>0</v>
      </c>
      <c r="H53" s="973"/>
      <c r="I53" s="1259"/>
      <c r="J53" s="1262"/>
      <c r="K53" s="1258"/>
      <c r="L53" s="1258"/>
      <c r="M53" s="1257"/>
      <c r="N53" s="1257"/>
      <c r="O53" s="1257"/>
    </row>
    <row r="54" spans="1:17" s="675" customFormat="1">
      <c r="A54" s="676" t="s">
        <v>2569</v>
      </c>
      <c r="B54" s="178" t="e">
        <f t="shared" si="15"/>
        <v>#DIV/0!</v>
      </c>
      <c r="C54" s="117">
        <f t="shared" si="16"/>
        <v>0</v>
      </c>
      <c r="D54" s="1292">
        <v>0.25</v>
      </c>
      <c r="E54" s="677">
        <v>0</v>
      </c>
      <c r="F54" s="674" t="e">
        <f t="shared" si="14"/>
        <v>#DIV/0!</v>
      </c>
      <c r="G54" s="972">
        <f>SUMIF(修正!$A$45:$A$56,项目基本情况!$F$9,修正!D45:D56)</f>
        <v>0</v>
      </c>
      <c r="H54" s="973"/>
      <c r="I54" s="1257"/>
      <c r="J54" s="1262"/>
      <c r="K54" s="1258"/>
      <c r="L54" s="1258"/>
      <c r="M54" s="1257"/>
      <c r="N54" s="1257"/>
      <c r="O54" s="1257"/>
    </row>
    <row r="55" spans="1:17" s="675" customFormat="1">
      <c r="A55" s="676" t="s">
        <v>2570</v>
      </c>
      <c r="B55" s="178" t="e">
        <f t="shared" si="15"/>
        <v>#DIV/0!</v>
      </c>
      <c r="C55" s="117">
        <f t="shared" si="16"/>
        <v>0</v>
      </c>
      <c r="D55" s="1292">
        <v>0.25</v>
      </c>
      <c r="E55" s="677">
        <v>0</v>
      </c>
      <c r="F55" s="674" t="e">
        <f t="shared" si="14"/>
        <v>#DIV/0!</v>
      </c>
      <c r="G55" s="972">
        <f>SUMIF(修正!$A$45:$A$56,项目基本情况!$F$9,修正!E45:E56)</f>
        <v>0</v>
      </c>
      <c r="H55" s="973"/>
      <c r="I55" s="1259"/>
      <c r="J55" s="1262"/>
      <c r="K55" s="1258"/>
      <c r="L55" s="1258"/>
      <c r="M55" s="1257"/>
      <c r="N55" s="1257"/>
      <c r="O55" s="1257"/>
    </row>
    <row r="56" spans="1:17" s="675" customFormat="1">
      <c r="A56" s="676" t="s">
        <v>2571</v>
      </c>
      <c r="B56" s="178" t="e">
        <f t="shared" si="15"/>
        <v>#DIV/0!</v>
      </c>
      <c r="C56" s="117">
        <f t="shared" si="16"/>
        <v>0</v>
      </c>
      <c r="D56" s="1292">
        <v>0.25</v>
      </c>
      <c r="E56" s="677">
        <v>0</v>
      </c>
      <c r="F56" s="674" t="e">
        <f t="shared" si="14"/>
        <v>#DIV/0!</v>
      </c>
      <c r="G56" s="972">
        <f>SUMIF(修正!A40:A51,项目基本情况!F9,修正!F45:F56)</f>
        <v>0</v>
      </c>
      <c r="H56" s="973"/>
      <c r="I56" s="1257"/>
      <c r="J56" s="1262"/>
      <c r="K56" s="1258"/>
      <c r="L56" s="1258"/>
      <c r="M56" s="1257"/>
      <c r="N56" s="1257"/>
      <c r="O56" s="1257"/>
    </row>
    <row r="57" spans="1:17" s="675" customFormat="1">
      <c r="A57" s="676" t="s">
        <v>2572</v>
      </c>
      <c r="B57" s="178" t="e">
        <f t="shared" si="15"/>
        <v>#DIV/0!</v>
      </c>
      <c r="C57" s="117">
        <f t="shared" si="16"/>
        <v>0</v>
      </c>
      <c r="D57" s="1292">
        <v>0.25</v>
      </c>
      <c r="E57" s="677">
        <v>0</v>
      </c>
      <c r="F57" s="674" t="e">
        <f t="shared" si="14"/>
        <v>#DIV/0!</v>
      </c>
      <c r="G57" s="972">
        <f>SUMIF(修正!A40:A51,项目基本情况!F9,修正!G45:G56)</f>
        <v>0</v>
      </c>
      <c r="H57" s="973"/>
      <c r="I57" s="1259"/>
      <c r="J57" s="1262"/>
      <c r="K57" s="1258"/>
      <c r="L57" s="1258"/>
      <c r="M57" s="1257"/>
      <c r="N57" s="1257"/>
      <c r="O57" s="1257"/>
    </row>
    <row r="58" spans="1:17" s="675" customFormat="1">
      <c r="A58" s="676" t="s">
        <v>2573</v>
      </c>
      <c r="B58" s="178" t="e">
        <f t="shared" si="15"/>
        <v>#DIV/0!</v>
      </c>
      <c r="C58" s="117">
        <f t="shared" si="16"/>
        <v>0</v>
      </c>
      <c r="D58" s="1292">
        <v>0.25</v>
      </c>
      <c r="E58" s="677">
        <v>0</v>
      </c>
      <c r="F58" s="674" t="e">
        <f t="shared" si="14"/>
        <v>#DIV/0!</v>
      </c>
      <c r="G58" s="972">
        <f>SUMIF(修正!A40:A51,项目基本情况!F9,修正!H45:H56)</f>
        <v>0</v>
      </c>
      <c r="H58" s="973"/>
      <c r="I58" s="1257"/>
      <c r="J58" s="1262"/>
      <c r="K58" s="1258"/>
      <c r="L58" s="1258"/>
      <c r="M58" s="1257"/>
      <c r="N58" s="1257"/>
      <c r="O58" s="1257"/>
    </row>
    <row r="59" spans="1:17" s="675" customFormat="1">
      <c r="A59" s="676" t="s">
        <v>2574</v>
      </c>
      <c r="B59" s="178" t="e">
        <f t="shared" si="15"/>
        <v>#DIV/0!</v>
      </c>
      <c r="C59" s="117">
        <f t="shared" si="16"/>
        <v>0</v>
      </c>
      <c r="D59" s="1292">
        <v>0.25</v>
      </c>
      <c r="E59" s="677">
        <v>0</v>
      </c>
      <c r="F59" s="674" t="e">
        <f t="shared" si="14"/>
        <v>#DIV/0!</v>
      </c>
      <c r="G59" s="972">
        <f>G58</f>
        <v>0</v>
      </c>
      <c r="H59" s="973"/>
      <c r="I59" s="1259"/>
      <c r="J59" s="1262"/>
      <c r="K59" s="1258"/>
      <c r="L59" s="1258"/>
      <c r="M59" s="1257"/>
      <c r="N59" s="1257"/>
      <c r="O59" s="1257"/>
    </row>
    <row r="60" spans="1:17" s="675" customFormat="1">
      <c r="A60" s="676" t="s">
        <v>2575</v>
      </c>
      <c r="B60" s="178" t="e">
        <f t="shared" si="15"/>
        <v>#DIV/0!</v>
      </c>
      <c r="C60" s="117">
        <f t="shared" si="16"/>
        <v>0</v>
      </c>
      <c r="D60" s="1292">
        <v>0.25</v>
      </c>
      <c r="E60" s="677">
        <v>0</v>
      </c>
      <c r="F60" s="674" t="e">
        <f t="shared" si="14"/>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7">EDATE(D63,-3)</f>
        <v>43132</v>
      </c>
      <c r="F63" s="1670">
        <f t="shared" si="17"/>
        <v>43040</v>
      </c>
      <c r="G63" s="1670">
        <f t="shared" si="17"/>
        <v>42948</v>
      </c>
      <c r="H63" s="1670">
        <f t="shared" si="17"/>
        <v>42856</v>
      </c>
      <c r="I63" s="1670">
        <f t="shared" si="17"/>
        <v>42767</v>
      </c>
      <c r="J63" s="1670">
        <f t="shared" si="17"/>
        <v>42675</v>
      </c>
      <c r="K63" s="1670">
        <f t="shared" si="17"/>
        <v>42583</v>
      </c>
      <c r="L63" s="1670">
        <f t="shared" si="17"/>
        <v>42491</v>
      </c>
      <c r="M63" s="1670">
        <f t="shared" si="17"/>
        <v>42401</v>
      </c>
      <c r="N63" s="1670">
        <f t="shared" si="17"/>
        <v>42309</v>
      </c>
      <c r="O63" s="1670">
        <f t="shared" si="17"/>
        <v>42217</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1" t="str">
        <f>YEAR(C63)&amp;"-"&amp;ROUNDUP(MONTH(C63)/3,0)</f>
        <v>2018-3</v>
      </c>
      <c r="D65" s="1671" t="str">
        <f t="shared" ref="D65:O65" si="18">YEAR(D63)&amp;"-"&amp;ROUNDUP(MONTH(D63)/3,0)</f>
        <v>2018-2</v>
      </c>
      <c r="E65" s="1671" t="str">
        <f t="shared" si="18"/>
        <v>2018-1</v>
      </c>
      <c r="F65" s="1671" t="str">
        <f t="shared" si="18"/>
        <v>2017-4</v>
      </c>
      <c r="G65" s="1671" t="str">
        <f t="shared" si="18"/>
        <v>2017-3</v>
      </c>
      <c r="H65" s="1671" t="str">
        <f t="shared" si="18"/>
        <v>2017-2</v>
      </c>
      <c r="I65" s="1671" t="str">
        <f t="shared" si="18"/>
        <v>2017-1</v>
      </c>
      <c r="J65" s="1671" t="str">
        <f t="shared" si="18"/>
        <v>2016-4</v>
      </c>
      <c r="K65" s="1671" t="str">
        <f t="shared" si="18"/>
        <v>2016-3</v>
      </c>
      <c r="L65" s="1671" t="str">
        <f t="shared" si="18"/>
        <v>2016-2</v>
      </c>
      <c r="M65" s="1671" t="str">
        <f t="shared" si="18"/>
        <v>2016-1</v>
      </c>
      <c r="N65" s="1671" t="str">
        <f t="shared" si="18"/>
        <v>2015-4</v>
      </c>
      <c r="O65" s="1671" t="str">
        <f t="shared" si="18"/>
        <v>2015-3</v>
      </c>
      <c r="P65" s="488"/>
    </row>
    <row r="66" spans="1:17" s="35" customFormat="1" ht="33.75" customHeight="1">
      <c r="A66" s="2501" t="s">
        <v>2597</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4">C108&amp;"(含)"&amp;"-"&amp;D108</f>
        <v>(含)-</v>
      </c>
      <c r="D107" s="1857" t="str">
        <f t="shared" si="24"/>
        <v>(含)-</v>
      </c>
      <c r="E107" s="1857" t="str">
        <f t="shared" si="24"/>
        <v>(含)-</v>
      </c>
      <c r="F107" s="1857" t="str">
        <f t="shared" si="24"/>
        <v>(含)-</v>
      </c>
      <c r="G107" s="1857" t="str">
        <f t="shared" si="24"/>
        <v>(含)-</v>
      </c>
      <c r="H107" s="1857" t="str">
        <f t="shared" si="24"/>
        <v>(含)-</v>
      </c>
      <c r="I107" s="1857" t="str">
        <f t="shared" si="24"/>
        <v>(含)-</v>
      </c>
      <c r="J107" s="1857" t="str">
        <f t="shared" si="24"/>
        <v>(含)-</v>
      </c>
      <c r="K107" s="1857" t="str">
        <f t="shared" si="24"/>
        <v>(含)-</v>
      </c>
      <c r="L107" s="1858" t="str">
        <f t="shared" si="24"/>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估价对象为北京市房地产，为所有。根据《不动产权证书》[]，估价对象建筑面积为66.21平方米，（分摊）出让国有建设用地使用权面积为平方米。估价对象用途为。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2018年8月27日（评估专业人员实地查勘之日）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本次估价的“房地产价值”是指在正常市场情况下，在价值时点2018年8月27日，估价对象规划用途为，假定未设立法定优先受偿款下的房地产市场价值。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7" t="s">
        <v>2607</v>
      </c>
      <c r="D2" s="2508" t="s">
        <v>2608</v>
      </c>
      <c r="E2" s="2509"/>
      <c r="F2" s="2508" t="s">
        <v>2609</v>
      </c>
      <c r="G2" s="2510">
        <f>项目基本情况!F9</f>
        <v>0</v>
      </c>
      <c r="H2" s="2511" t="s">
        <v>2610</v>
      </c>
      <c r="I2" s="2510">
        <f>项目基本情况!F10</f>
        <v>0</v>
      </c>
      <c r="J2" s="2512"/>
      <c r="L2" s="2513"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7" t="s">
        <v>2613</v>
      </c>
      <c r="D3" s="2508" t="s">
        <v>2614</v>
      </c>
      <c r="E3" s="2514"/>
      <c r="F3" s="2515" t="s">
        <v>2615</v>
      </c>
      <c r="G3" s="941">
        <f>项目基本情况!C15</f>
        <v>0</v>
      </c>
      <c r="H3" s="115" t="s">
        <v>2616</v>
      </c>
      <c r="I3" s="974">
        <v>7</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18"/>
      <c r="B4" s="3119"/>
      <c r="C4" s="3119"/>
      <c r="D4" s="3120"/>
      <c r="E4" s="3120"/>
      <c r="F4" s="3120"/>
      <c r="G4" s="3120"/>
      <c r="H4" s="3120"/>
      <c r="I4" s="3120"/>
      <c r="J4" s="3121"/>
      <c r="L4" s="2513"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2620</v>
      </c>
      <c r="B5" s="2517" t="s">
        <v>2621</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2623</v>
      </c>
      <c r="C6" s="943">
        <f>SUMIF(L1:L12,G2,M1:M12)</f>
        <v>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102"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103"/>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15" t="s">
        <v>2634</v>
      </c>
      <c r="X8" s="311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103"/>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1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3"/>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1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3"/>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1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2" t="str">
        <f>IF(E2="住宅",2,"")</f>
        <v/>
      </c>
      <c r="B12" s="2546" t="s">
        <v>2660</v>
      </c>
      <c r="C12" s="944">
        <f>ROUND(C15*D15*E15*F15*G15*H15*I15*J15,4)</f>
        <v>1.32</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1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22"/>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09">
        <v>12</v>
      </c>
      <c r="S13" s="1710"/>
      <c r="T13" s="1709" t="e">
        <f t="shared" si="0"/>
        <v>#DIV/0!</v>
      </c>
      <c r="U13" s="1710"/>
      <c r="V13" s="1709" t="e">
        <f t="shared" si="1"/>
        <v>#DIV/0!</v>
      </c>
      <c r="W13" s="311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22"/>
      <c r="B14" s="2557"/>
      <c r="C14" s="2558" t="s">
        <v>2670</v>
      </c>
      <c r="D14" s="2559" t="s">
        <v>2671</v>
      </c>
      <c r="E14" s="2559" t="s">
        <v>2671</v>
      </c>
      <c r="F14" s="2560" t="s">
        <v>2672</v>
      </c>
      <c r="G14" s="2561" t="s">
        <v>2673</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23"/>
      <c r="B15" s="2565" t="s">
        <v>2674</v>
      </c>
      <c r="C15" s="150">
        <f>IF(C14="有",1.1,1)</f>
        <v>1.1000000000000001</v>
      </c>
      <c r="D15" s="150">
        <f>IF(D14="有",1.1,1)</f>
        <v>1</v>
      </c>
      <c r="E15" s="150">
        <f>IF(E14="有",1.1,1)</f>
        <v>1</v>
      </c>
      <c r="F15" s="150">
        <f>IF(F14="500米范围内",1.2,IF(F14="500-1000米",1.1,1))</f>
        <v>1.2</v>
      </c>
      <c r="G15" s="976">
        <v>1</v>
      </c>
      <c r="H15" s="976">
        <v>1</v>
      </c>
      <c r="I15" s="976">
        <v>1</v>
      </c>
      <c r="J15" s="977">
        <v>1</v>
      </c>
      <c r="L15" s="2566" t="s">
        <v>2675</v>
      </c>
      <c r="M15" s="945" t="s">
        <v>2676</v>
      </c>
      <c r="N15" s="945" t="s">
        <v>2677</v>
      </c>
      <c r="O15" s="945" t="s">
        <v>2678</v>
      </c>
      <c r="P15" s="2567"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02" t="b">
        <f>IF(E2="办公",2,IF(E2="工业",2,IF(E2="住宅",3,IF(E2="商业",IF(C8="不临58条商业街",2,3)))))</f>
        <v>0</v>
      </c>
      <c r="B16" s="2533" t="s">
        <v>2680</v>
      </c>
      <c r="C16" s="1885" t="e">
        <f>ROUND(SUM(G17:J17)/C17,0)</f>
        <v>#DIV/0!</v>
      </c>
      <c r="D16" s="2568" t="s">
        <v>2681</v>
      </c>
      <c r="E16" s="2569"/>
      <c r="F16" s="2570"/>
      <c r="G16" s="2571"/>
      <c r="H16" s="2571"/>
      <c r="I16" s="2571"/>
      <c r="J16" s="2572"/>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3"/>
      <c r="B17" s="2573" t="s">
        <v>2683</v>
      </c>
      <c r="C17" s="949">
        <f>SUMPRODUCT((修正!A2:A5=E2)*(修正!B1:M1=G2)*(修正!B2:M5))</f>
        <v>0</v>
      </c>
      <c r="D17" s="2574"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2687</v>
      </c>
      <c r="B18" s="2576" t="s">
        <v>2688</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2689</v>
      </c>
      <c r="B19" s="2576" t="s">
        <v>2690</v>
      </c>
      <c r="C19" s="952" t="e">
        <f>ROUND(IF(H19="按公示增长率计算",SUMPRODUCT((地价!A3:A23=YEAR(G19)&amp;"-"&amp;ROUNDUP(MONTH(G19)/3,0))*(地价!X2:AB2=E2)*(地价!X3:AB23)),IF(H19="地价指数",M20/M19,(1+I19)^O19)),4)</f>
        <v>#DIV/0!</v>
      </c>
      <c r="D19" s="2584" t="s">
        <v>2691</v>
      </c>
      <c r="E19" s="953">
        <v>41640</v>
      </c>
      <c r="F19" s="2584" t="s">
        <v>2692</v>
      </c>
      <c r="G19" s="954">
        <f>'数据-取费表'!B2</f>
        <v>43339</v>
      </c>
      <c r="H19" s="2585" t="s">
        <v>2693</v>
      </c>
      <c r="I19" s="955" t="str">
        <f>IF(H19="季度增幅（自定义）",SUMIF(N21:N24,E2,O21:O24),"")</f>
        <v/>
      </c>
      <c r="J19" s="2581"/>
      <c r="K19" s="2582"/>
      <c r="L19" s="2586" t="s">
        <v>2694</v>
      </c>
      <c r="M19" s="1826">
        <f>ROUND(SUMIF(地价!B2:F2,E2,地价!B23:F23),0)</f>
        <v>0</v>
      </c>
      <c r="N19" s="1466" t="s">
        <v>2695</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2696</v>
      </c>
      <c r="B20" s="2591" t="s">
        <v>2697</v>
      </c>
      <c r="C20" s="957" t="e">
        <f>ROUND(POWER(1+G20,J20-I20)*(POWER(1+G20,I20)-1)/(POWER(1+G20,J20)-1),4)</f>
        <v>#DIV/0!</v>
      </c>
      <c r="D20" s="2592" t="s">
        <v>2698</v>
      </c>
      <c r="E20" s="1856">
        <f ca="1">存贷款利率!D4/100</f>
        <v>4.3499999999999997E-2</v>
      </c>
      <c r="F20" s="2592" t="s">
        <v>2686</v>
      </c>
      <c r="G20" s="963">
        <f>SUMIF(M15:P15,E2,M17:P17)</f>
        <v>0</v>
      </c>
      <c r="H20" s="2592" t="s">
        <v>2699</v>
      </c>
      <c r="I20" s="964">
        <f>'数据-取费表'!B13</f>
        <v>70</v>
      </c>
      <c r="J20" s="965">
        <f>IF(E2="住宅",70,IF(E2="商业",40,50))</f>
        <v>50</v>
      </c>
      <c r="K20" s="2582"/>
      <c r="L20" s="2593" t="s">
        <v>2700</v>
      </c>
      <c r="M20" s="1827">
        <f>ROUND(SUMPRODUCT((地价!A4:A23=YEAR(G19)&amp;"-"&amp;ROUNDUP(MONTH(G19)/3,0))*(地价!B2:F2=E2)*(地价!B4:F23)),0)</f>
        <v>0</v>
      </c>
      <c r="N20" s="2594" t="s">
        <v>2701</v>
      </c>
      <c r="O20" s="2595" t="s">
        <v>2702</v>
      </c>
      <c r="P20" s="2596" t="s">
        <v>2703</v>
      </c>
      <c r="R20" s="1462"/>
      <c r="S20" s="1462"/>
      <c r="T20" s="1462"/>
      <c r="U20" s="1462"/>
      <c r="V20" s="1462"/>
      <c r="W20" s="1462"/>
      <c r="X20" s="1462"/>
      <c r="Y20" s="1462"/>
      <c r="Z20" s="1462"/>
      <c r="AA20" s="1462"/>
      <c r="AB20" s="1462"/>
      <c r="AC20" s="1462"/>
      <c r="AD20" s="1462"/>
      <c r="AE20" s="2582"/>
      <c r="AF20" s="2582"/>
    </row>
    <row r="21" spans="1:37" s="2525" customFormat="1" ht="14.25">
      <c r="A21" s="2597" t="s">
        <v>2704</v>
      </c>
      <c r="B21" s="2598" t="s">
        <v>2705</v>
      </c>
      <c r="C21" s="966" t="b">
        <f>IF(B21="容积率修正",IF(G3&lt;=10,D22,J22),C23)</f>
        <v>0</v>
      </c>
      <c r="D21" s="2599"/>
      <c r="E21" s="2599"/>
      <c r="F21" s="2599"/>
      <c r="G21" s="2599"/>
      <c r="H21" s="2599"/>
      <c r="I21" s="2599"/>
      <c r="J21" s="2600"/>
      <c r="K21" s="2582"/>
      <c r="N21" s="2601" t="s">
        <v>2706</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2709</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2710</v>
      </c>
      <c r="C23" s="958">
        <f>ROUND(IF(G3&gt;1,IF(I3&lt;7,SUMPRODUCT((B93:B98=I3)*(C92:N92=G2)*(C93:N98)),SUMIF(C92:N92,G2,C100:N100)),IF(I3&lt;7,SUMPRODUCT((B102:B107=I3)*(C92:N92=G2)*(C102:N107)),SUMIF(C92:N92,G2,C109:N109))),4)</f>
        <v>0</v>
      </c>
      <c r="D23" s="2562"/>
      <c r="E23" s="2562"/>
      <c r="F23" s="2604"/>
      <c r="G23" s="2605"/>
      <c r="H23" s="2606"/>
      <c r="I23" s="2607"/>
      <c r="J23" s="2608"/>
      <c r="N23" s="2601" t="s">
        <v>2711</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2712</v>
      </c>
      <c r="B24" s="2610" t="s">
        <v>2713</v>
      </c>
      <c r="C24" s="968">
        <f>SUMIF(A46:A88,E2,B46:B88)</f>
        <v>0</v>
      </c>
      <c r="D24" s="2611"/>
      <c r="E24" s="2612"/>
      <c r="F24" s="2612"/>
      <c r="G24" s="2612"/>
      <c r="H24" s="2612"/>
      <c r="I24" s="2612"/>
      <c r="J24" s="2613"/>
      <c r="K24" s="2582"/>
      <c r="N24" s="2614" t="s">
        <v>2714</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2715</v>
      </c>
      <c r="B25" s="2615" t="s">
        <v>2716</v>
      </c>
      <c r="C25" s="959"/>
      <c r="D25" s="2536"/>
      <c r="E25" s="2536"/>
      <c r="F25" s="2616"/>
      <c r="G25" s="2536"/>
      <c r="H25" s="2536"/>
      <c r="I25" s="2536"/>
      <c r="J25" s="2537"/>
      <c r="L25" s="1462"/>
      <c r="M25" s="1462"/>
      <c r="N25" s="2617" t="s">
        <v>2717</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2718</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2719</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2720</v>
      </c>
      <c r="C28" s="2628" t="s">
        <v>2721</v>
      </c>
      <c r="D28" s="2628" t="s">
        <v>2722</v>
      </c>
      <c r="E28" s="2629" t="s">
        <v>2723</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2724</v>
      </c>
      <c r="C29" s="123" t="e">
        <f>ROUND(C5*C18*C19*C20*C21*C24,0)</f>
        <v>#DIV/0!</v>
      </c>
      <c r="D29" s="2633"/>
      <c r="E29" s="972" t="e">
        <f>ROUND(C29*D29,0)</f>
        <v>#DIV/0!</v>
      </c>
      <c r="F29" s="2634" t="s">
        <v>2725</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2726</v>
      </c>
      <c r="C30" s="150" t="e">
        <f>ROUND(IF(E2="工业",C29*M39,C29*M38),0)</f>
        <v>#DIV/0!</v>
      </c>
      <c r="D30" s="2639"/>
      <c r="E30" s="972" t="e">
        <f>ROUND(C30*D30,0)</f>
        <v>#DIV/0!</v>
      </c>
      <c r="F30" s="2640" t="s">
        <v>2727</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2728</v>
      </c>
      <c r="C31" s="2645" t="s">
        <v>2729</v>
      </c>
      <c r="D31" s="2549"/>
      <c r="E31" s="2645"/>
      <c r="F31" s="2645"/>
      <c r="G31" s="2547" t="s">
        <v>2730</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12" t="s">
        <v>2732</v>
      </c>
      <c r="B33" s="2648" t="s">
        <v>2733</v>
      </c>
      <c r="C33" s="123" t="e">
        <f>ROUND(D5*C19*C20*C24*F33,0)</f>
        <v>#DIV/0!</v>
      </c>
      <c r="D33" s="2633"/>
      <c r="E33" s="117" t="e">
        <f t="shared" ref="E33:E39" si="6">ROUND(C33*D33,0)</f>
        <v>#DIV/0!</v>
      </c>
      <c r="F33" s="117">
        <f>SUMIF(修正!A45:A56,G2,修正!B45:B56)</f>
        <v>0</v>
      </c>
      <c r="G33" s="117" t="e">
        <f>ROUND(IF(E2="工业",C33*$M$39,C33*$M$38),0)</f>
        <v>#DIV/0!</v>
      </c>
      <c r="H33" s="117">
        <f>D33</f>
        <v>0</v>
      </c>
      <c r="I33" s="117" t="e">
        <f t="shared" ref="I33:I39" si="7">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3"/>
      <c r="B34" s="2553" t="s">
        <v>2734</v>
      </c>
      <c r="C34" s="123" t="e">
        <f>ROUND(D5*C19*C20*C24*F34,0)</f>
        <v>#DIV/0!</v>
      </c>
      <c r="D34" s="2633"/>
      <c r="E34" s="117" t="e">
        <f t="shared" si="6"/>
        <v>#DIV/0!</v>
      </c>
      <c r="F34" s="117">
        <f>SUMIF(修正!A45:A56,G2,修正!C45:C56)</f>
        <v>0</v>
      </c>
      <c r="G34" s="117" t="e">
        <f>ROUND(IF(E2="工业",C34*$M$39,C34*$M$38),0)</f>
        <v>#DIV/0!</v>
      </c>
      <c r="H34" s="117">
        <f t="shared" ref="H34:H39" si="8">D34</f>
        <v>0</v>
      </c>
      <c r="I34" s="117" t="e">
        <f t="shared" si="7"/>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3"/>
      <c r="B35" s="2553" t="s">
        <v>2735</v>
      </c>
      <c r="C35" s="123" t="e">
        <f>ROUND(D5*C19*C20*C24*F35,0)</f>
        <v>#DIV/0!</v>
      </c>
      <c r="D35" s="2633"/>
      <c r="E35" s="117" t="e">
        <f t="shared" si="6"/>
        <v>#DIV/0!</v>
      </c>
      <c r="F35" s="117">
        <f>SUMIF(修正!A45:A56,G2,修正!D45:D56)</f>
        <v>0</v>
      </c>
      <c r="G35" s="117" t="e">
        <f>ROUND(IF(E2="工业",C35*$M$39,C35*$M$38),0)</f>
        <v>#DIV/0!</v>
      </c>
      <c r="H35" s="117">
        <f t="shared" si="8"/>
        <v>0</v>
      </c>
      <c r="I35" s="117" t="e">
        <f t="shared" si="7"/>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4"/>
      <c r="B36" s="2553" t="s">
        <v>2736</v>
      </c>
      <c r="C36" s="123" t="e">
        <f>ROUND(D5*C19*C20*C24*F36,0)</f>
        <v>#DIV/0!</v>
      </c>
      <c r="D36" s="2633"/>
      <c r="E36" s="117" t="e">
        <f t="shared" si="6"/>
        <v>#DIV/0!</v>
      </c>
      <c r="F36" s="117">
        <f>SUMIF(修正!A45:A56,G2,修正!E45:E56)</f>
        <v>0</v>
      </c>
      <c r="G36" s="117" t="e">
        <f>ROUND(IF(E2="工业",C36*$M$39,C36*$M$38),0)</f>
        <v>#DIV/0!</v>
      </c>
      <c r="H36" s="117">
        <f t="shared" si="8"/>
        <v>0</v>
      </c>
      <c r="I36" s="117" t="e">
        <f t="shared" si="7"/>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2737</v>
      </c>
      <c r="C37" s="117" t="e">
        <f>ROUND(C5*C19*C20*C24*F37,0)</f>
        <v>#DIV/0!</v>
      </c>
      <c r="D37" s="2633"/>
      <c r="E37" s="117" t="e">
        <f t="shared" si="6"/>
        <v>#DIV/0!</v>
      </c>
      <c r="F37" s="123">
        <f>SUMIF(修正!A45:A56,G2,修正!F45:F56)</f>
        <v>0</v>
      </c>
      <c r="G37" s="117" t="e">
        <f>ROUND(IF(E2="工业",C37*$M$39,C37*$M$38),0)</f>
        <v>#DIV/0!</v>
      </c>
      <c r="H37" s="117">
        <f t="shared" si="8"/>
        <v>0</v>
      </c>
      <c r="I37" s="117" t="e">
        <f t="shared" si="7"/>
        <v>#DIV/0!</v>
      </c>
      <c r="J37" s="2649"/>
      <c r="L37" s="2652" t="s">
        <v>2738</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2739</v>
      </c>
      <c r="C38" s="117" t="e">
        <f>ROUND(C5*C19*C20*C24*F38,0)</f>
        <v>#DIV/0!</v>
      </c>
      <c r="D38" s="2633"/>
      <c r="E38" s="117" t="e">
        <f t="shared" si="6"/>
        <v>#DIV/0!</v>
      </c>
      <c r="F38" s="123">
        <f>SUMIF(修正!A45:A56,G2,修正!G45:G56)</f>
        <v>0</v>
      </c>
      <c r="G38" s="117" t="e">
        <f>ROUND(IF(E2="工业",C38*$M$39,C38*$M$38),0)</f>
        <v>#DIV/0!</v>
      </c>
      <c r="H38" s="117">
        <f t="shared" si="8"/>
        <v>0</v>
      </c>
      <c r="I38" s="117" t="e">
        <f t="shared" si="7"/>
        <v>#DIV/0!</v>
      </c>
      <c r="J38" s="2649"/>
      <c r="L38" s="2653" t="s">
        <v>2740</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2741</v>
      </c>
      <c r="C39" s="150" t="e">
        <f>ROUND(C5*C19*C20*C24*F39,0)</f>
        <v>#DIV/0!</v>
      </c>
      <c r="D39" s="2639"/>
      <c r="E39" s="150" t="e">
        <f t="shared" si="6"/>
        <v>#DIV/0!</v>
      </c>
      <c r="F39" s="961">
        <f>SUMIF(修正!A45:A56,G2,修正!H45:H56)</f>
        <v>0</v>
      </c>
      <c r="G39" s="150" t="e">
        <f>ROUND(IF(E2="工业",C39*$M$39,C39*$M$38),0)</f>
        <v>#DIV/0!</v>
      </c>
      <c r="H39" s="150">
        <f t="shared" si="8"/>
        <v>0</v>
      </c>
      <c r="I39" s="150" t="e">
        <f t="shared" si="7"/>
        <v>#DIV/0!</v>
      </c>
      <c r="J39" s="2656"/>
      <c r="L39" s="2657" t="s">
        <v>2679</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2743</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2744</v>
      </c>
      <c r="B47" s="823" t="s">
        <v>2745</v>
      </c>
      <c r="C47" s="823" t="s">
        <v>2746</v>
      </c>
      <c r="D47" s="823" t="s">
        <v>2747</v>
      </c>
      <c r="E47" s="824" t="s">
        <v>2748</v>
      </c>
      <c r="F47" s="2670" t="s">
        <v>2749</v>
      </c>
      <c r="G47" s="823" t="s">
        <v>2750</v>
      </c>
      <c r="H47" s="2671"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6">
        <f t="shared" ref="D48:D56" si="9">SUMIF($J$47:$N$47,C48,J48:N48)</f>
        <v>0</v>
      </c>
      <c r="E48" s="829">
        <f>ROUND(SUM(D48:D56),4)</f>
        <v>0</v>
      </c>
      <c r="F48" s="2278" t="str">
        <f>IF(E2="商业",SUMIF(L1:L12,G2,N1:N12),"——")</f>
        <v>——</v>
      </c>
      <c r="G48" s="1377"/>
      <c r="H48" s="1381" t="str">
        <f t="shared" ref="H48:H56" si="10">IFERROR(ROUNDDOWN($F$48*I48/2,4),"——")</f>
        <v>——</v>
      </c>
      <c r="I48" s="828">
        <v>0.33</v>
      </c>
      <c r="J48" s="1378">
        <f t="shared" ref="J48:J56" si="11">K48+$G48</f>
        <v>0</v>
      </c>
      <c r="K48" s="1378">
        <f t="shared" ref="K48:K56" si="12">$L48+$G48</f>
        <v>0</v>
      </c>
      <c r="L48" s="1378">
        <v>0</v>
      </c>
      <c r="M48" s="1378">
        <f t="shared" ref="M48:N56" si="13">L48-$G48</f>
        <v>0</v>
      </c>
      <c r="N48" s="1378">
        <f t="shared" si="13"/>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2759</v>
      </c>
      <c r="B49" s="2673" t="str">
        <f>估价对象房地状况!C18</f>
        <v>估价对象紧邻城市次干道—太平街，有14路、40路、66路、70路等多条公交线路及地铁4号线（陶然亭站）通过，交通便捷度较好。</v>
      </c>
      <c r="C49" s="2559"/>
      <c r="D49" s="1376">
        <f t="shared" si="9"/>
        <v>0</v>
      </c>
      <c r="E49" s="832"/>
      <c r="F49" s="2278"/>
      <c r="G49" s="1377"/>
      <c r="H49" s="1381" t="str">
        <f t="shared" si="10"/>
        <v>——</v>
      </c>
      <c r="I49" s="828">
        <v>0.25</v>
      </c>
      <c r="J49" s="1378">
        <f t="shared" si="11"/>
        <v>0</v>
      </c>
      <c r="K49" s="1378">
        <f t="shared" si="12"/>
        <v>0</v>
      </c>
      <c r="L49" s="1378">
        <v>0</v>
      </c>
      <c r="M49" s="1378">
        <f t="shared" si="13"/>
        <v>0</v>
      </c>
      <c r="N49" s="1378">
        <f t="shared" si="13"/>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2760</v>
      </c>
      <c r="B50" s="2673">
        <f>估价对象房地状况!C19</f>
        <v>0</v>
      </c>
      <c r="C50" s="2559"/>
      <c r="D50" s="1376">
        <f t="shared" si="9"/>
        <v>0</v>
      </c>
      <c r="E50" s="832"/>
      <c r="F50" s="2278"/>
      <c r="G50" s="1377"/>
      <c r="H50" s="1381" t="str">
        <f t="shared" si="10"/>
        <v>——</v>
      </c>
      <c r="I50" s="828">
        <v>0.05</v>
      </c>
      <c r="J50" s="1378">
        <f t="shared" si="11"/>
        <v>0</v>
      </c>
      <c r="K50" s="1378">
        <f t="shared" si="12"/>
        <v>0</v>
      </c>
      <c r="L50" s="1378">
        <v>0</v>
      </c>
      <c r="M50" s="1378">
        <f t="shared" si="13"/>
        <v>0</v>
      </c>
      <c r="N50" s="1378">
        <f t="shared" si="13"/>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2761</v>
      </c>
      <c r="B51" s="2674" t="s">
        <v>2762</v>
      </c>
      <c r="C51" s="2559"/>
      <c r="D51" s="1376">
        <f t="shared" si="9"/>
        <v>0</v>
      </c>
      <c r="E51" s="832"/>
      <c r="F51" s="2278"/>
      <c r="G51" s="1377"/>
      <c r="H51" s="1381" t="str">
        <f t="shared" si="10"/>
        <v>——</v>
      </c>
      <c r="I51" s="828">
        <v>0.05</v>
      </c>
      <c r="J51" s="1378">
        <f t="shared" si="11"/>
        <v>0</v>
      </c>
      <c r="K51" s="1378">
        <f t="shared" si="12"/>
        <v>0</v>
      </c>
      <c r="L51" s="1378">
        <v>0</v>
      </c>
      <c r="M51" s="1378">
        <f t="shared" si="13"/>
        <v>0</v>
      </c>
      <c r="N51" s="1378">
        <f t="shared" si="13"/>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2763</v>
      </c>
      <c r="B52" s="2673">
        <f>估价对象房地状况!C24</f>
        <v>0</v>
      </c>
      <c r="C52" s="2559"/>
      <c r="D52" s="1376">
        <f t="shared" si="9"/>
        <v>0</v>
      </c>
      <c r="E52" s="832"/>
      <c r="F52" s="2278"/>
      <c r="G52" s="1377"/>
      <c r="H52" s="1381" t="str">
        <f t="shared" si="10"/>
        <v>——</v>
      </c>
      <c r="I52" s="828">
        <v>0.08</v>
      </c>
      <c r="J52" s="1378">
        <f t="shared" si="11"/>
        <v>0</v>
      </c>
      <c r="K52" s="1378">
        <f t="shared" si="12"/>
        <v>0</v>
      </c>
      <c r="L52" s="1378">
        <v>0</v>
      </c>
      <c r="M52" s="1378">
        <f t="shared" si="13"/>
        <v>0</v>
      </c>
      <c r="N52" s="1378">
        <f t="shared" si="13"/>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2764</v>
      </c>
      <c r="B53" s="2675" t="s">
        <v>2765</v>
      </c>
      <c r="C53" s="2559"/>
      <c r="D53" s="1376">
        <f t="shared" si="9"/>
        <v>0</v>
      </c>
      <c r="E53" s="832"/>
      <c r="F53" s="2278"/>
      <c r="G53" s="1377"/>
      <c r="H53" s="1381" t="str">
        <f t="shared" si="10"/>
        <v>——</v>
      </c>
      <c r="I53" s="828">
        <v>0.03</v>
      </c>
      <c r="J53" s="1378">
        <f t="shared" si="11"/>
        <v>0</v>
      </c>
      <c r="K53" s="1378">
        <f t="shared" si="12"/>
        <v>0</v>
      </c>
      <c r="L53" s="1378">
        <v>0</v>
      </c>
      <c r="M53" s="1378">
        <f t="shared" si="13"/>
        <v>0</v>
      </c>
      <c r="N53" s="1378">
        <f t="shared" si="13"/>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2766</v>
      </c>
      <c r="B54" s="2677" t="str">
        <f>估价对象房地状况!C21</f>
        <v>估价对象所在区域公共配套设施齐备情况好</v>
      </c>
      <c r="C54" s="2559"/>
      <c r="D54" s="1376">
        <f t="shared" si="9"/>
        <v>0</v>
      </c>
      <c r="E54" s="832"/>
      <c r="F54" s="2278"/>
      <c r="G54" s="1377"/>
      <c r="H54" s="1381" t="str">
        <f t="shared" si="10"/>
        <v>——</v>
      </c>
      <c r="I54" s="828">
        <v>0.05</v>
      </c>
      <c r="J54" s="1378">
        <f t="shared" si="11"/>
        <v>0</v>
      </c>
      <c r="K54" s="1378">
        <f t="shared" si="12"/>
        <v>0</v>
      </c>
      <c r="L54" s="1378">
        <v>0</v>
      </c>
      <c r="M54" s="1378">
        <f t="shared" si="13"/>
        <v>0</v>
      </c>
      <c r="N54" s="1378">
        <f t="shared" si="13"/>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2767</v>
      </c>
      <c r="B55" s="2673" t="str">
        <f>估价对象房地状况!C22</f>
        <v>七通一平</v>
      </c>
      <c r="C55" s="2559"/>
      <c r="D55" s="1376">
        <f t="shared" si="9"/>
        <v>0</v>
      </c>
      <c r="E55" s="832"/>
      <c r="F55" s="2278"/>
      <c r="G55" s="1377"/>
      <c r="H55" s="1381" t="str">
        <f t="shared" si="10"/>
        <v>——</v>
      </c>
      <c r="I55" s="828">
        <v>0.1</v>
      </c>
      <c r="J55" s="1378">
        <f t="shared" si="11"/>
        <v>0</v>
      </c>
      <c r="K55" s="1378">
        <f t="shared" si="12"/>
        <v>0</v>
      </c>
      <c r="L55" s="1378">
        <v>0</v>
      </c>
      <c r="M55" s="1378">
        <f t="shared" si="13"/>
        <v>0</v>
      </c>
      <c r="N55" s="1378">
        <f t="shared" si="13"/>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90" thickBot="1">
      <c r="A56" s="2678" t="s">
        <v>2768</v>
      </c>
      <c r="B56" s="2679" t="str">
        <f>估价对象房地状况!C20</f>
        <v>区域自然环境：陶然亭公园、天坛公园、永定门公园、护城河；人文环境：自然博物馆、北京古代建筑博物馆、中国盲文博物馆、北京先农坛体育场；综合评价环境状况好</v>
      </c>
      <c r="C56" s="2559"/>
      <c r="D56" s="1376">
        <f t="shared" si="9"/>
        <v>0</v>
      </c>
      <c r="E56" s="838"/>
      <c r="F56" s="2278"/>
      <c r="G56" s="1377"/>
      <c r="H56" s="1381" t="str">
        <f t="shared" si="10"/>
        <v>——</v>
      </c>
      <c r="I56" s="837">
        <v>0.06</v>
      </c>
      <c r="J56" s="1378">
        <f t="shared" si="11"/>
        <v>0</v>
      </c>
      <c r="K56" s="1378">
        <f t="shared" si="12"/>
        <v>0</v>
      </c>
      <c r="L56" s="1378">
        <v>0</v>
      </c>
      <c r="M56" s="1378">
        <f t="shared" si="13"/>
        <v>0</v>
      </c>
      <c r="N56" s="1378">
        <f t="shared" si="13"/>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2769</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2744</v>
      </c>
      <c r="B58" s="2673"/>
      <c r="C58" s="823" t="s">
        <v>2746</v>
      </c>
      <c r="D58" s="823" t="s">
        <v>2747</v>
      </c>
      <c r="E58" s="824" t="s">
        <v>2748</v>
      </c>
      <c r="F58" s="2670" t="s">
        <v>2749</v>
      </c>
      <c r="G58" s="823" t="s">
        <v>2770</v>
      </c>
      <c r="H58" s="2671"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2773</v>
      </c>
      <c r="B59" s="2672" t="str">
        <f>估价对象房地状况!C17</f>
        <v>估价对象位于XX商圈，周边办公楼项目较多，入驻率高，办公集聚程度较好</v>
      </c>
      <c r="C59" s="2559"/>
      <c r="D59" s="1376">
        <f t="shared" ref="D59:D67" si="14">SUMIF($J$58:$N$58,C59,J59:N59)</f>
        <v>0</v>
      </c>
      <c r="E59" s="829">
        <f>ROUND(SUM(D59:D67),4)</f>
        <v>0</v>
      </c>
      <c r="F59" s="2278" t="str">
        <f>IF(E2="办公",SUMIF(L1:L12,G2,N1:N12),"——")</f>
        <v>——</v>
      </c>
      <c r="G59" s="1377"/>
      <c r="H59" s="1381" t="str">
        <f t="shared" ref="H59:H67" si="15">IFERROR(ROUNDDOWN($F$59*I59/2,4),"——")</f>
        <v>——</v>
      </c>
      <c r="I59" s="828">
        <v>0.24</v>
      </c>
      <c r="J59" s="1378">
        <f t="shared" ref="J59:J67" si="16">K59+$G59</f>
        <v>0</v>
      </c>
      <c r="K59" s="1378">
        <f t="shared" ref="K59:K67" si="17">$L59+$G59</f>
        <v>0</v>
      </c>
      <c r="L59" s="1378">
        <v>0</v>
      </c>
      <c r="M59" s="1378">
        <f t="shared" ref="M59:N67" si="18">L59-$G59</f>
        <v>0</v>
      </c>
      <c r="N59" s="1378">
        <f t="shared" si="18"/>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2759</v>
      </c>
      <c r="B60" s="2673" t="str">
        <f>估价对象房地状况!C18</f>
        <v>估价对象紧邻城市次干道—太平街，有14路、40路、66路、70路等多条公交线路及地铁4号线（陶然亭站）通过，交通便捷度较好。</v>
      </c>
      <c r="C60" s="2559"/>
      <c r="D60" s="1376">
        <f t="shared" si="14"/>
        <v>0</v>
      </c>
      <c r="E60" s="832"/>
      <c r="F60" s="2278"/>
      <c r="G60" s="1377"/>
      <c r="H60" s="1381" t="str">
        <f t="shared" si="15"/>
        <v>——</v>
      </c>
      <c r="I60" s="828">
        <v>0.3</v>
      </c>
      <c r="J60" s="1378">
        <f t="shared" si="16"/>
        <v>0</v>
      </c>
      <c r="K60" s="1378">
        <f t="shared" si="17"/>
        <v>0</v>
      </c>
      <c r="L60" s="1378">
        <v>0</v>
      </c>
      <c r="M60" s="1378">
        <f t="shared" si="18"/>
        <v>0</v>
      </c>
      <c r="N60" s="1378">
        <f t="shared" si="18"/>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2760</v>
      </c>
      <c r="B61" s="2673">
        <f>估价对象房地状况!C19</f>
        <v>0</v>
      </c>
      <c r="C61" s="2559"/>
      <c r="D61" s="1376">
        <f t="shared" si="14"/>
        <v>0</v>
      </c>
      <c r="E61" s="832"/>
      <c r="F61" s="2278"/>
      <c r="G61" s="1377"/>
      <c r="H61" s="1381" t="str">
        <f t="shared" si="15"/>
        <v>——</v>
      </c>
      <c r="I61" s="828">
        <v>0.08</v>
      </c>
      <c r="J61" s="1378">
        <f t="shared" si="16"/>
        <v>0</v>
      </c>
      <c r="K61" s="1378">
        <f t="shared" si="17"/>
        <v>0</v>
      </c>
      <c r="L61" s="1378">
        <v>0</v>
      </c>
      <c r="M61" s="1378">
        <f t="shared" si="18"/>
        <v>0</v>
      </c>
      <c r="N61" s="1378">
        <f t="shared" si="18"/>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2761</v>
      </c>
      <c r="B62" s="2674" t="s">
        <v>2762</v>
      </c>
      <c r="C62" s="2559"/>
      <c r="D62" s="1376">
        <f t="shared" si="14"/>
        <v>0</v>
      </c>
      <c r="E62" s="832"/>
      <c r="F62" s="2278"/>
      <c r="G62" s="1377"/>
      <c r="H62" s="1381" t="str">
        <f t="shared" si="15"/>
        <v>——</v>
      </c>
      <c r="I62" s="828">
        <v>0.04</v>
      </c>
      <c r="J62" s="1378">
        <f t="shared" si="16"/>
        <v>0</v>
      </c>
      <c r="K62" s="1378">
        <f t="shared" si="17"/>
        <v>0</v>
      </c>
      <c r="L62" s="1378">
        <v>0</v>
      </c>
      <c r="M62" s="1378">
        <f t="shared" si="18"/>
        <v>0</v>
      </c>
      <c r="N62" s="1378">
        <f t="shared" si="18"/>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2763</v>
      </c>
      <c r="B63" s="2673">
        <f>估价对象房地状况!C24</f>
        <v>0</v>
      </c>
      <c r="C63" s="2559"/>
      <c r="D63" s="1376">
        <f t="shared" si="14"/>
        <v>0</v>
      </c>
      <c r="E63" s="832"/>
      <c r="F63" s="2278"/>
      <c r="G63" s="1377"/>
      <c r="H63" s="1381" t="str">
        <f t="shared" si="15"/>
        <v>——</v>
      </c>
      <c r="I63" s="828">
        <v>0.05</v>
      </c>
      <c r="J63" s="1378">
        <f t="shared" si="16"/>
        <v>0</v>
      </c>
      <c r="K63" s="1378">
        <f t="shared" si="17"/>
        <v>0</v>
      </c>
      <c r="L63" s="1378">
        <v>0</v>
      </c>
      <c r="M63" s="1378">
        <f t="shared" si="18"/>
        <v>0</v>
      </c>
      <c r="N63" s="1378">
        <f t="shared" si="18"/>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2764</v>
      </c>
      <c r="B64" s="2675" t="s">
        <v>2765</v>
      </c>
      <c r="C64" s="2559"/>
      <c r="D64" s="1376">
        <f t="shared" si="14"/>
        <v>0</v>
      </c>
      <c r="E64" s="832"/>
      <c r="F64" s="2278"/>
      <c r="G64" s="1377"/>
      <c r="H64" s="1381" t="str">
        <f t="shared" si="15"/>
        <v>——</v>
      </c>
      <c r="I64" s="828">
        <v>0.05</v>
      </c>
      <c r="J64" s="1378">
        <f t="shared" si="16"/>
        <v>0</v>
      </c>
      <c r="K64" s="1378">
        <f t="shared" si="17"/>
        <v>0</v>
      </c>
      <c r="L64" s="1378">
        <v>0</v>
      </c>
      <c r="M64" s="1378">
        <f t="shared" si="18"/>
        <v>0</v>
      </c>
      <c r="N64" s="1378">
        <f t="shared" si="18"/>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2766</v>
      </c>
      <c r="B65" s="2677" t="str">
        <f>估价对象房地状况!C21</f>
        <v>估价对象所在区域公共配套设施齐备情况好</v>
      </c>
      <c r="C65" s="2559"/>
      <c r="D65" s="1376">
        <f t="shared" si="14"/>
        <v>0</v>
      </c>
      <c r="E65" s="832"/>
      <c r="F65" s="2278"/>
      <c r="G65" s="1377"/>
      <c r="H65" s="1381" t="str">
        <f t="shared" si="15"/>
        <v>——</v>
      </c>
      <c r="I65" s="828">
        <v>0.06</v>
      </c>
      <c r="J65" s="1378">
        <f t="shared" si="16"/>
        <v>0</v>
      </c>
      <c r="K65" s="1378">
        <f t="shared" si="17"/>
        <v>0</v>
      </c>
      <c r="L65" s="1378">
        <v>0</v>
      </c>
      <c r="M65" s="1378">
        <f t="shared" si="18"/>
        <v>0</v>
      </c>
      <c r="N65" s="1378">
        <f t="shared" si="18"/>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2767</v>
      </c>
      <c r="B66" s="2677" t="str">
        <f>估价对象房地状况!C22</f>
        <v>七通一平</v>
      </c>
      <c r="C66" s="2559"/>
      <c r="D66" s="1376">
        <f t="shared" si="14"/>
        <v>0</v>
      </c>
      <c r="E66" s="832"/>
      <c r="F66" s="2278"/>
      <c r="G66" s="1377"/>
      <c r="H66" s="1381" t="str">
        <f t="shared" si="15"/>
        <v>——</v>
      </c>
      <c r="I66" s="828">
        <v>0.12</v>
      </c>
      <c r="J66" s="1378">
        <f t="shared" si="16"/>
        <v>0</v>
      </c>
      <c r="K66" s="1378">
        <f t="shared" si="17"/>
        <v>0</v>
      </c>
      <c r="L66" s="1378">
        <v>0</v>
      </c>
      <c r="M66" s="1378">
        <f t="shared" si="18"/>
        <v>0</v>
      </c>
      <c r="N66" s="1378">
        <f t="shared" si="18"/>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90" thickBot="1">
      <c r="A67" s="2678" t="s">
        <v>2768</v>
      </c>
      <c r="B67" s="2681" t="str">
        <f>估价对象房地状况!C20</f>
        <v>区域自然环境：陶然亭公园、天坛公园、永定门公园、护城河；人文环境：自然博物馆、北京古代建筑博物馆、中国盲文博物馆、北京先农坛体育场；综合评价环境状况好</v>
      </c>
      <c r="C67" s="2559"/>
      <c r="D67" s="1376">
        <f t="shared" si="14"/>
        <v>0</v>
      </c>
      <c r="E67" s="838"/>
      <c r="F67" s="2278"/>
      <c r="G67" s="1377"/>
      <c r="H67" s="1381" t="str">
        <f t="shared" si="15"/>
        <v>——</v>
      </c>
      <c r="I67" s="837">
        <v>0.06</v>
      </c>
      <c r="J67" s="1378">
        <f t="shared" si="16"/>
        <v>0</v>
      </c>
      <c r="K67" s="1378">
        <f t="shared" si="17"/>
        <v>0</v>
      </c>
      <c r="L67" s="1378">
        <v>0</v>
      </c>
      <c r="M67" s="1378">
        <f t="shared" si="18"/>
        <v>0</v>
      </c>
      <c r="N67" s="1378">
        <f t="shared" si="18"/>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2774</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2744</v>
      </c>
      <c r="B69" s="2673"/>
      <c r="C69" s="823" t="s">
        <v>2746</v>
      </c>
      <c r="D69" s="823" t="s">
        <v>2747</v>
      </c>
      <c r="E69" s="824" t="s">
        <v>2748</v>
      </c>
      <c r="F69" s="2670" t="s">
        <v>2749</v>
      </c>
      <c r="G69" s="823" t="s">
        <v>2770</v>
      </c>
      <c r="H69" s="2671"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76.5">
      <c r="A70" s="2669" t="s">
        <v>2775</v>
      </c>
      <c r="B70" s="2672" t="str">
        <f>估价对象房地状况!C15</f>
        <v>周边有绿城百合、府西园小区、紫欣苑小区、燕化星城健德一里、燕化星城健德二里等居住社区，综合评价居住社区成熟度较好。</v>
      </c>
      <c r="C70" s="2559"/>
      <c r="D70" s="1376">
        <f t="shared" ref="D70:D78" si="19">SUMIF($J$69:$N$69,C70,J70:N70)</f>
        <v>0</v>
      </c>
      <c r="E70" s="829">
        <f>ROUND(SUM(D70:D78),4)</f>
        <v>0</v>
      </c>
      <c r="F70" s="2278" t="str">
        <f>IF(E2="住宅",SUMIF(L1:L12,G2,N1:N12),"——")</f>
        <v>——</v>
      </c>
      <c r="G70" s="1377"/>
      <c r="H70" s="1381" t="str">
        <f t="shared" ref="H70:H78" si="20">IFERROR(ROUNDDOWN($F$70*I70/2,4),"——")</f>
        <v>——</v>
      </c>
      <c r="I70" s="828">
        <v>0.14000000000000001</v>
      </c>
      <c r="J70" s="1378">
        <f t="shared" ref="J70:J78" si="21">K70+$G70</f>
        <v>0</v>
      </c>
      <c r="K70" s="1378">
        <f t="shared" ref="K70:K78" si="22">$L70+$G70</f>
        <v>0</v>
      </c>
      <c r="L70" s="1378">
        <v>0</v>
      </c>
      <c r="M70" s="1378">
        <f t="shared" ref="M70:N78" si="23">L70-$G70</f>
        <v>0</v>
      </c>
      <c r="N70" s="1378">
        <f t="shared" si="23"/>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2759</v>
      </c>
      <c r="B71" s="2673" t="str">
        <f>估价对象房地状况!C18</f>
        <v>估价对象紧邻城市次干道—太平街，有14路、40路、66路、70路等多条公交线路及地铁4号线（陶然亭站）通过，交通便捷度较好。</v>
      </c>
      <c r="C71" s="2559"/>
      <c r="D71" s="1376">
        <f t="shared" si="19"/>
        <v>0</v>
      </c>
      <c r="E71" s="840"/>
      <c r="F71" s="2682"/>
      <c r="G71" s="1377"/>
      <c r="H71" s="1381" t="str">
        <f t="shared" si="20"/>
        <v>——</v>
      </c>
      <c r="I71" s="828">
        <v>0.3</v>
      </c>
      <c r="J71" s="1378">
        <f t="shared" si="21"/>
        <v>0</v>
      </c>
      <c r="K71" s="1378">
        <f t="shared" si="22"/>
        <v>0</v>
      </c>
      <c r="L71" s="1378">
        <v>0</v>
      </c>
      <c r="M71" s="1378">
        <f t="shared" si="23"/>
        <v>0</v>
      </c>
      <c r="N71" s="1378">
        <f t="shared" si="23"/>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2760</v>
      </c>
      <c r="B72" s="2673">
        <f>估价对象房地状况!C19</f>
        <v>0</v>
      </c>
      <c r="C72" s="2559"/>
      <c r="D72" s="1376">
        <f t="shared" si="19"/>
        <v>0</v>
      </c>
      <c r="E72" s="840"/>
      <c r="F72" s="2682"/>
      <c r="G72" s="1377"/>
      <c r="H72" s="1381" t="str">
        <f t="shared" si="20"/>
        <v>——</v>
      </c>
      <c r="I72" s="828">
        <v>0.08</v>
      </c>
      <c r="J72" s="1378">
        <f t="shared" si="21"/>
        <v>0</v>
      </c>
      <c r="K72" s="1378">
        <f t="shared" si="22"/>
        <v>0</v>
      </c>
      <c r="L72" s="1378">
        <v>0</v>
      </c>
      <c r="M72" s="1378">
        <f t="shared" si="23"/>
        <v>0</v>
      </c>
      <c r="N72" s="1378">
        <f t="shared" si="23"/>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2776</v>
      </c>
      <c r="B73" s="2673">
        <f>估价对象房地状况!C24</f>
        <v>0</v>
      </c>
      <c r="C73" s="2559"/>
      <c r="D73" s="1376">
        <f t="shared" si="19"/>
        <v>0</v>
      </c>
      <c r="E73" s="840"/>
      <c r="F73" s="2682"/>
      <c r="G73" s="1377"/>
      <c r="H73" s="1381" t="str">
        <f t="shared" si="20"/>
        <v>——</v>
      </c>
      <c r="I73" s="828">
        <v>0.04</v>
      </c>
      <c r="J73" s="1378">
        <f t="shared" si="21"/>
        <v>0</v>
      </c>
      <c r="K73" s="1378">
        <f t="shared" si="22"/>
        <v>0</v>
      </c>
      <c r="L73" s="1378">
        <v>0</v>
      </c>
      <c r="M73" s="1378">
        <f t="shared" si="23"/>
        <v>0</v>
      </c>
      <c r="N73" s="1378">
        <f t="shared" si="23"/>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2766</v>
      </c>
      <c r="B74" s="2677" t="str">
        <f>估价对象房地状况!C21</f>
        <v>估价对象所在区域公共配套设施齐备情况好</v>
      </c>
      <c r="C74" s="2559"/>
      <c r="D74" s="1376">
        <f t="shared" si="19"/>
        <v>0</v>
      </c>
      <c r="E74" s="840"/>
      <c r="F74" s="2682"/>
      <c r="G74" s="1377"/>
      <c r="H74" s="1381" t="str">
        <f t="shared" si="20"/>
        <v>——</v>
      </c>
      <c r="I74" s="828">
        <v>0.08</v>
      </c>
      <c r="J74" s="1378">
        <f t="shared" si="21"/>
        <v>0</v>
      </c>
      <c r="K74" s="1378">
        <f t="shared" si="22"/>
        <v>0</v>
      </c>
      <c r="L74" s="1378">
        <v>0</v>
      </c>
      <c r="M74" s="1378">
        <f t="shared" si="23"/>
        <v>0</v>
      </c>
      <c r="N74" s="1378">
        <f t="shared" si="23"/>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2767</v>
      </c>
      <c r="B75" s="2677" t="str">
        <f>估价对象房地状况!C22</f>
        <v>七通一平</v>
      </c>
      <c r="C75" s="2559"/>
      <c r="D75" s="1376">
        <f t="shared" si="19"/>
        <v>0</v>
      </c>
      <c r="E75" s="840"/>
      <c r="F75" s="2682"/>
      <c r="G75" s="1377"/>
      <c r="H75" s="1381" t="str">
        <f t="shared" si="20"/>
        <v>——</v>
      </c>
      <c r="I75" s="828">
        <v>0.12</v>
      </c>
      <c r="J75" s="1378">
        <f t="shared" si="21"/>
        <v>0</v>
      </c>
      <c r="K75" s="1378">
        <f t="shared" si="22"/>
        <v>0</v>
      </c>
      <c r="L75" s="1378">
        <v>0</v>
      </c>
      <c r="M75" s="1378">
        <f t="shared" si="23"/>
        <v>0</v>
      </c>
      <c r="N75" s="1378">
        <f t="shared" si="23"/>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2764</v>
      </c>
      <c r="B76" s="2675" t="s">
        <v>2765</v>
      </c>
      <c r="C76" s="2559"/>
      <c r="D76" s="1376">
        <f t="shared" si="19"/>
        <v>0</v>
      </c>
      <c r="E76" s="840"/>
      <c r="F76" s="2682"/>
      <c r="G76" s="1377"/>
      <c r="H76" s="1381" t="str">
        <f t="shared" si="20"/>
        <v>——</v>
      </c>
      <c r="I76" s="828">
        <v>0.05</v>
      </c>
      <c r="J76" s="1378">
        <f t="shared" si="21"/>
        <v>0</v>
      </c>
      <c r="K76" s="1378">
        <f t="shared" si="22"/>
        <v>0</v>
      </c>
      <c r="L76" s="1378">
        <v>0</v>
      </c>
      <c r="M76" s="1378">
        <f t="shared" si="23"/>
        <v>0</v>
      </c>
      <c r="N76" s="1378">
        <f t="shared" si="23"/>
        <v>0</v>
      </c>
      <c r="Z76" s="2506"/>
      <c r="AA76" s="2583"/>
      <c r="AG76" s="2659"/>
      <c r="AK76" s="2583"/>
    </row>
    <row r="77" spans="1:37" ht="89.25">
      <c r="A77" s="2669" t="s">
        <v>2768</v>
      </c>
      <c r="B77" s="2672" t="str">
        <f>估价对象房地状况!C20</f>
        <v>区域自然环境：陶然亭公园、天坛公园、永定门公园、护城河；人文环境：自然博物馆、北京古代建筑博物馆、中国盲文博物馆、北京先农坛体育场；综合评价环境状况好</v>
      </c>
      <c r="C77" s="2559"/>
      <c r="D77" s="1376">
        <f t="shared" si="19"/>
        <v>0</v>
      </c>
      <c r="E77" s="840"/>
      <c r="F77" s="2682"/>
      <c r="G77" s="1377"/>
      <c r="H77" s="1381" t="str">
        <f t="shared" si="20"/>
        <v>——</v>
      </c>
      <c r="I77" s="828">
        <v>0.15</v>
      </c>
      <c r="J77" s="1378">
        <f t="shared" si="21"/>
        <v>0</v>
      </c>
      <c r="K77" s="1378">
        <f t="shared" si="22"/>
        <v>0</v>
      </c>
      <c r="L77" s="1378">
        <v>0</v>
      </c>
      <c r="M77" s="1378">
        <f t="shared" si="23"/>
        <v>0</v>
      </c>
      <c r="N77" s="1378">
        <f t="shared" si="23"/>
        <v>0</v>
      </c>
      <c r="Z77" s="2506"/>
      <c r="AA77" s="2583"/>
      <c r="AG77" s="2659"/>
      <c r="AK77" s="2583"/>
    </row>
    <row r="78" spans="1:37" ht="24.75" thickBot="1">
      <c r="A78" s="2678" t="s">
        <v>2777</v>
      </c>
      <c r="B78" s="2683"/>
      <c r="C78" s="2559"/>
      <c r="D78" s="1376">
        <f t="shared" si="19"/>
        <v>0</v>
      </c>
      <c r="E78" s="841"/>
      <c r="F78" s="2682"/>
      <c r="G78" s="1377"/>
      <c r="H78" s="1381" t="str">
        <f t="shared" si="20"/>
        <v>——</v>
      </c>
      <c r="I78" s="837">
        <v>0.04</v>
      </c>
      <c r="J78" s="1378">
        <f t="shared" si="21"/>
        <v>0</v>
      </c>
      <c r="K78" s="1378">
        <f t="shared" si="22"/>
        <v>0</v>
      </c>
      <c r="L78" s="1378">
        <v>0</v>
      </c>
      <c r="M78" s="1378">
        <f t="shared" si="23"/>
        <v>0</v>
      </c>
      <c r="N78" s="1378">
        <f t="shared" si="23"/>
        <v>0</v>
      </c>
      <c r="Z78" s="2506"/>
      <c r="AA78" s="2583"/>
      <c r="AG78" s="2659"/>
      <c r="AK78" s="2583"/>
    </row>
    <row r="79" spans="1:37" ht="15">
      <c r="A79" s="2664" t="s">
        <v>2778</v>
      </c>
      <c r="B79" s="2680">
        <f>1+E81</f>
        <v>1</v>
      </c>
      <c r="C79" s="817"/>
      <c r="D79" s="817"/>
      <c r="E79" s="818"/>
      <c r="F79" s="2667"/>
      <c r="G79" s="7"/>
      <c r="H79" s="7"/>
      <c r="I79" s="7"/>
      <c r="J79" s="9"/>
      <c r="K79" s="9"/>
      <c r="L79" s="9"/>
      <c r="M79" s="9"/>
      <c r="N79" s="9"/>
      <c r="Z79" s="2506"/>
      <c r="AA79" s="2583"/>
      <c r="AG79" s="2659"/>
      <c r="AK79" s="2583"/>
    </row>
    <row r="80" spans="1:37" ht="24.75">
      <c r="A80" s="2669" t="s">
        <v>2744</v>
      </c>
      <c r="B80" s="2673"/>
      <c r="C80" s="823" t="s">
        <v>2746</v>
      </c>
      <c r="D80" s="823" t="s">
        <v>2747</v>
      </c>
      <c r="E80" s="824" t="s">
        <v>2748</v>
      </c>
      <c r="F80" s="2670" t="s">
        <v>2749</v>
      </c>
      <c r="G80" s="823" t="s">
        <v>2770</v>
      </c>
      <c r="H80" s="2671" t="s">
        <v>2771</v>
      </c>
      <c r="I80" s="823"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6">
        <f t="shared" ref="D81:D88" si="24">SUMIF($J$80:$N$80,C81,J81:N81)</f>
        <v>0</v>
      </c>
      <c r="E81" s="829">
        <f>ROUND(SUM(D81:D88),4)</f>
        <v>0</v>
      </c>
      <c r="F81" s="2278" t="str">
        <f>IF(E2="工业",SUMIF(L1:L12,G2,N1:N12),"——")</f>
        <v>——</v>
      </c>
      <c r="G81" s="1377"/>
      <c r="H81" s="1381" t="str">
        <f t="shared" ref="H81:H88" si="25">IFERROR(ROUNDDOWN($F$81*I81/2,4),"——")</f>
        <v>——</v>
      </c>
      <c r="I81" s="828">
        <v>0.26</v>
      </c>
      <c r="J81" s="1378">
        <f t="shared" ref="J81:J88" si="26">K81+$G81</f>
        <v>0</v>
      </c>
      <c r="K81" s="1378">
        <f t="shared" ref="K81:K88" si="27">$L81+$G81</f>
        <v>0</v>
      </c>
      <c r="L81" s="1378">
        <v>0</v>
      </c>
      <c r="M81" s="1378">
        <f t="shared" ref="M81:N88" si="28">L81-$G81</f>
        <v>0</v>
      </c>
      <c r="N81" s="1378">
        <f t="shared" si="28"/>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6">
        <f t="shared" si="24"/>
        <v>0</v>
      </c>
      <c r="E82" s="840"/>
      <c r="F82" s="2682"/>
      <c r="G82" s="1377"/>
      <c r="H82" s="1381" t="str">
        <f t="shared" si="25"/>
        <v>——</v>
      </c>
      <c r="I82" s="828">
        <v>0.33</v>
      </c>
      <c r="J82" s="1378">
        <f t="shared" si="26"/>
        <v>0</v>
      </c>
      <c r="K82" s="1378">
        <f t="shared" si="27"/>
        <v>0</v>
      </c>
      <c r="L82" s="1378">
        <v>0</v>
      </c>
      <c r="M82" s="1378">
        <f t="shared" si="28"/>
        <v>0</v>
      </c>
      <c r="N82" s="1378">
        <f t="shared" si="28"/>
        <v>0</v>
      </c>
      <c r="Z82" s="2506"/>
      <c r="AA82" s="2583"/>
      <c r="AG82" s="2659"/>
      <c r="AK82" s="2583"/>
    </row>
    <row r="83" spans="1:37" ht="24">
      <c r="A83" s="2669" t="s">
        <v>2760</v>
      </c>
      <c r="B83" s="2673">
        <f>估价对象房地状况!G17</f>
        <v>0</v>
      </c>
      <c r="C83" s="2559"/>
      <c r="D83" s="1376">
        <f t="shared" si="24"/>
        <v>0</v>
      </c>
      <c r="E83" s="840"/>
      <c r="F83" s="2682"/>
      <c r="G83" s="1377"/>
      <c r="H83" s="1381" t="str">
        <f t="shared" si="25"/>
        <v>——</v>
      </c>
      <c r="I83" s="828">
        <v>0.05</v>
      </c>
      <c r="J83" s="1378">
        <f t="shared" si="26"/>
        <v>0</v>
      </c>
      <c r="K83" s="1378">
        <f t="shared" si="27"/>
        <v>0</v>
      </c>
      <c r="L83" s="1378">
        <v>0</v>
      </c>
      <c r="M83" s="1378">
        <f t="shared" si="28"/>
        <v>0</v>
      </c>
      <c r="N83" s="1378">
        <f t="shared" si="28"/>
        <v>0</v>
      </c>
      <c r="Z83" s="2506"/>
      <c r="AA83" s="2583"/>
      <c r="AG83" s="2659"/>
      <c r="AK83" s="2583"/>
    </row>
    <row r="84" spans="1:37" ht="14.25">
      <c r="A84" s="2669" t="s">
        <v>2776</v>
      </c>
      <c r="B84" s="2673">
        <f>估价对象房地状况!G22</f>
        <v>0</v>
      </c>
      <c r="C84" s="2559"/>
      <c r="D84" s="1376">
        <f t="shared" si="24"/>
        <v>0</v>
      </c>
      <c r="E84" s="840"/>
      <c r="F84" s="2682"/>
      <c r="G84" s="1377"/>
      <c r="H84" s="1381" t="str">
        <f t="shared" si="25"/>
        <v>——</v>
      </c>
      <c r="I84" s="828">
        <v>0.04</v>
      </c>
      <c r="J84" s="1378">
        <f t="shared" si="26"/>
        <v>0</v>
      </c>
      <c r="K84" s="1378">
        <f t="shared" si="27"/>
        <v>0</v>
      </c>
      <c r="L84" s="1378">
        <v>0</v>
      </c>
      <c r="M84" s="1378">
        <f t="shared" si="28"/>
        <v>0</v>
      </c>
      <c r="N84" s="1378">
        <f t="shared" si="28"/>
        <v>0</v>
      </c>
      <c r="Z84" s="2506"/>
      <c r="AA84" s="2583"/>
      <c r="AG84" s="2659"/>
      <c r="AK84" s="2583"/>
    </row>
    <row r="85" spans="1:37" ht="25.5">
      <c r="A85" s="2669" t="s">
        <v>2766</v>
      </c>
      <c r="B85" s="2677" t="str">
        <f>估价对象房地状况!G19</f>
        <v>估价对象所在区域公共配套设施齐备情况</v>
      </c>
      <c r="C85" s="2559"/>
      <c r="D85" s="1376">
        <f t="shared" si="24"/>
        <v>0</v>
      </c>
      <c r="E85" s="840"/>
      <c r="F85" s="2682"/>
      <c r="G85" s="1377"/>
      <c r="H85" s="1381" t="str">
        <f t="shared" si="25"/>
        <v>——</v>
      </c>
      <c r="I85" s="828">
        <v>0.06</v>
      </c>
      <c r="J85" s="1378">
        <f t="shared" si="26"/>
        <v>0</v>
      </c>
      <c r="K85" s="1378">
        <f t="shared" si="27"/>
        <v>0</v>
      </c>
      <c r="L85" s="1378">
        <v>0</v>
      </c>
      <c r="M85" s="1378">
        <f t="shared" si="28"/>
        <v>0</v>
      </c>
      <c r="N85" s="1378">
        <f t="shared" si="28"/>
        <v>0</v>
      </c>
      <c r="Z85" s="2506"/>
      <c r="AA85" s="2583"/>
      <c r="AG85" s="2659"/>
      <c r="AK85" s="2583"/>
    </row>
    <row r="86" spans="1:37" ht="25.5">
      <c r="A86" s="2669" t="s">
        <v>2767</v>
      </c>
      <c r="B86" s="2677" t="str">
        <f>估价对象房地状况!G20</f>
        <v>估价对象所在区域基础设施水平</v>
      </c>
      <c r="C86" s="2559"/>
      <c r="D86" s="1376">
        <f t="shared" si="24"/>
        <v>0</v>
      </c>
      <c r="E86" s="840"/>
      <c r="F86" s="2682"/>
      <c r="G86" s="1377"/>
      <c r="H86" s="1381" t="str">
        <f t="shared" si="25"/>
        <v>——</v>
      </c>
      <c r="I86" s="828">
        <v>0.15</v>
      </c>
      <c r="J86" s="1378">
        <f t="shared" si="26"/>
        <v>0</v>
      </c>
      <c r="K86" s="1378">
        <f t="shared" si="27"/>
        <v>0</v>
      </c>
      <c r="L86" s="1378">
        <v>0</v>
      </c>
      <c r="M86" s="1378">
        <f t="shared" si="28"/>
        <v>0</v>
      </c>
      <c r="N86" s="1378">
        <f t="shared" si="28"/>
        <v>0</v>
      </c>
      <c r="Z86" s="2506"/>
      <c r="AA86" s="2583"/>
      <c r="AG86" s="2659"/>
      <c r="AK86" s="2583"/>
    </row>
    <row r="87" spans="1:37" ht="24">
      <c r="A87" s="2669" t="s">
        <v>2764</v>
      </c>
      <c r="B87" s="2675" t="s">
        <v>2765</v>
      </c>
      <c r="C87" s="2559"/>
      <c r="D87" s="1376">
        <f t="shared" si="24"/>
        <v>0</v>
      </c>
      <c r="E87" s="840"/>
      <c r="F87" s="2682"/>
      <c r="G87" s="1377"/>
      <c r="H87" s="1381" t="str">
        <f t="shared" si="25"/>
        <v>——</v>
      </c>
      <c r="I87" s="828">
        <v>0.05</v>
      </c>
      <c r="J87" s="1378">
        <f t="shared" si="26"/>
        <v>0</v>
      </c>
      <c r="K87" s="1378">
        <f t="shared" si="27"/>
        <v>0</v>
      </c>
      <c r="L87" s="1378">
        <v>0</v>
      </c>
      <c r="M87" s="1378">
        <f t="shared" si="28"/>
        <v>0</v>
      </c>
      <c r="N87" s="1378">
        <f t="shared" si="28"/>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2">
        <f t="shared" si="24"/>
        <v>0</v>
      </c>
      <c r="E88" s="841"/>
      <c r="F88" s="2682"/>
      <c r="G88" s="1377"/>
      <c r="H88" s="1381" t="str">
        <f t="shared" si="25"/>
        <v>——</v>
      </c>
      <c r="I88" s="837">
        <v>0.06</v>
      </c>
      <c r="J88" s="1378">
        <f t="shared" si="26"/>
        <v>0</v>
      </c>
      <c r="K88" s="1378">
        <f t="shared" si="27"/>
        <v>0</v>
      </c>
      <c r="L88" s="1378">
        <v>0</v>
      </c>
      <c r="M88" s="1378">
        <f t="shared" si="28"/>
        <v>0</v>
      </c>
      <c r="N88" s="1378">
        <f t="shared" si="28"/>
        <v>0</v>
      </c>
      <c r="Z88" s="2506"/>
      <c r="AA88" s="2583"/>
      <c r="AG88" s="2659"/>
      <c r="AK88" s="2583"/>
    </row>
    <row r="90" spans="1:37">
      <c r="A90" s="3104" t="s">
        <v>2781</v>
      </c>
      <c r="B90" s="3104"/>
      <c r="C90" s="3104"/>
      <c r="D90" s="3104"/>
      <c r="E90" s="3104"/>
      <c r="F90" s="3104"/>
      <c r="G90" s="3104"/>
      <c r="H90" s="3104"/>
      <c r="I90" s="3104"/>
      <c r="J90" s="3104"/>
      <c r="K90" s="2686"/>
      <c r="L90" s="2686"/>
      <c r="M90" s="2686"/>
      <c r="N90" s="2686"/>
    </row>
    <row r="91" spans="1:37">
      <c r="A91" s="3106" t="s">
        <v>2782</v>
      </c>
      <c r="B91" s="3106" t="s">
        <v>2783</v>
      </c>
      <c r="C91" s="2634" t="s">
        <v>2784</v>
      </c>
      <c r="D91" s="2635"/>
      <c r="E91" s="2635"/>
      <c r="F91" s="2635"/>
      <c r="G91" s="2635"/>
      <c r="H91" s="2635"/>
      <c r="I91" s="2635"/>
      <c r="J91" s="2687"/>
      <c r="K91" s="2688"/>
      <c r="L91" s="2688"/>
      <c r="M91" s="2688"/>
      <c r="N91" s="2688"/>
    </row>
    <row r="92" spans="1:37">
      <c r="A92" s="3106"/>
      <c r="B92" s="310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107"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08"/>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08"/>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08"/>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08"/>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08"/>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08"/>
      <c r="B99" s="2689" t="s">
        <v>2651</v>
      </c>
      <c r="C99" s="2691">
        <f>$I$3</f>
        <v>7</v>
      </c>
      <c r="D99" s="2691">
        <f t="shared" ref="D99:M99" si="29">$I$3</f>
        <v>7</v>
      </c>
      <c r="E99" s="2691">
        <f t="shared" si="29"/>
        <v>7</v>
      </c>
      <c r="F99" s="2691">
        <f t="shared" si="29"/>
        <v>7</v>
      </c>
      <c r="G99" s="2691">
        <f t="shared" si="29"/>
        <v>7</v>
      </c>
      <c r="H99" s="2691">
        <f t="shared" si="29"/>
        <v>7</v>
      </c>
      <c r="I99" s="2691">
        <f t="shared" si="29"/>
        <v>7</v>
      </c>
      <c r="J99" s="2691">
        <f t="shared" si="29"/>
        <v>7</v>
      </c>
      <c r="K99" s="2691">
        <f t="shared" si="29"/>
        <v>7</v>
      </c>
      <c r="L99" s="2691">
        <f t="shared" si="29"/>
        <v>7</v>
      </c>
      <c r="M99" s="2691">
        <f t="shared" si="29"/>
        <v>7</v>
      </c>
      <c r="N99" s="2691">
        <f>$I$3</f>
        <v>7</v>
      </c>
    </row>
    <row r="100" spans="1:14">
      <c r="A100" s="3109"/>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07" t="s">
        <v>2786</v>
      </c>
      <c r="B101" s="2693" t="s">
        <v>2787</v>
      </c>
      <c r="C101" s="2694">
        <f>$G$3</f>
        <v>0</v>
      </c>
      <c r="D101" s="2694">
        <f t="shared" ref="D101:N101" si="30">$G$3</f>
        <v>0</v>
      </c>
      <c r="E101" s="2694">
        <f t="shared" si="30"/>
        <v>0</v>
      </c>
      <c r="F101" s="2694">
        <f t="shared" si="30"/>
        <v>0</v>
      </c>
      <c r="G101" s="2694">
        <f t="shared" si="30"/>
        <v>0</v>
      </c>
      <c r="H101" s="2694">
        <f t="shared" si="30"/>
        <v>0</v>
      </c>
      <c r="I101" s="2694">
        <f t="shared" si="30"/>
        <v>0</v>
      </c>
      <c r="J101" s="2694">
        <f t="shared" si="30"/>
        <v>0</v>
      </c>
      <c r="K101" s="2694">
        <f t="shared" si="30"/>
        <v>0</v>
      </c>
      <c r="L101" s="2694">
        <f t="shared" si="30"/>
        <v>0</v>
      </c>
      <c r="M101" s="2694">
        <f t="shared" si="30"/>
        <v>0</v>
      </c>
      <c r="N101" s="2694">
        <f t="shared" si="30"/>
        <v>0</v>
      </c>
    </row>
    <row r="102" spans="1:14">
      <c r="A102" s="3108"/>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108"/>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108"/>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108"/>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108"/>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108"/>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108"/>
      <c r="B108" s="3110" t="s">
        <v>2788</v>
      </c>
      <c r="C108" s="2691">
        <f>C99</f>
        <v>7</v>
      </c>
      <c r="D108" s="2691">
        <f t="shared" ref="D108:N108" si="31">D99</f>
        <v>7</v>
      </c>
      <c r="E108" s="2691">
        <f t="shared" si="31"/>
        <v>7</v>
      </c>
      <c r="F108" s="2691">
        <f t="shared" si="31"/>
        <v>7</v>
      </c>
      <c r="G108" s="2691">
        <f t="shared" si="31"/>
        <v>7</v>
      </c>
      <c r="H108" s="2691">
        <f t="shared" si="31"/>
        <v>7</v>
      </c>
      <c r="I108" s="2691">
        <f t="shared" si="31"/>
        <v>7</v>
      </c>
      <c r="J108" s="2691">
        <f t="shared" si="31"/>
        <v>7</v>
      </c>
      <c r="K108" s="2691">
        <f t="shared" si="31"/>
        <v>7</v>
      </c>
      <c r="L108" s="2691">
        <f t="shared" si="31"/>
        <v>7</v>
      </c>
      <c r="M108" s="2691">
        <f t="shared" si="31"/>
        <v>7</v>
      </c>
      <c r="N108" s="2691">
        <f t="shared" si="31"/>
        <v>7</v>
      </c>
    </row>
    <row r="109" spans="1:14">
      <c r="A109" s="3109"/>
      <c r="B109" s="3111"/>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105" t="s">
        <v>2789</v>
      </c>
      <c r="B110" s="3105"/>
      <c r="C110" s="3105"/>
      <c r="D110" s="3105"/>
      <c r="E110" s="3105"/>
      <c r="F110" s="3105"/>
      <c r="G110" s="3105"/>
      <c r="H110" s="3105"/>
      <c r="I110" s="3105"/>
      <c r="J110" s="3105"/>
      <c r="K110" s="2695"/>
      <c r="L110" s="2695"/>
      <c r="M110" s="2695"/>
      <c r="N110" s="2695"/>
    </row>
    <row r="112" spans="1:14" ht="13.5" thickBot="1"/>
    <row r="113" spans="1:13" ht="25.5" thickBot="1">
      <c r="A113" s="928" t="s">
        <v>2790</v>
      </c>
      <c r="B113" s="1379">
        <f>G3</f>
        <v>0</v>
      </c>
      <c r="C113" s="929" t="s">
        <v>2791</v>
      </c>
      <c r="D113" s="930">
        <f>SUMPRODUCT((A115:A118=F113)*(B114:M114=H113)*B115:M118)</f>
        <v>0</v>
      </c>
      <c r="E113" s="2697" t="s">
        <v>2675</v>
      </c>
      <c r="F113" s="2698">
        <f>E2</f>
        <v>0</v>
      </c>
      <c r="G113" s="2697" t="s">
        <v>2609</v>
      </c>
      <c r="H113" s="2698">
        <f>G2</f>
        <v>0</v>
      </c>
      <c r="I113" s="2697"/>
      <c r="J113" s="2699"/>
      <c r="K113" s="2699"/>
      <c r="L113" s="2699"/>
      <c r="M113" s="2699"/>
    </row>
    <row r="114" spans="1:13">
      <c r="A114" s="933"/>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2">I115</f>
        <v>0.68899999999999995</v>
      </c>
      <c r="K115" s="935">
        <f t="shared" si="32"/>
        <v>0.68899999999999995</v>
      </c>
      <c r="L115" s="935">
        <f t="shared" si="32"/>
        <v>0.68899999999999995</v>
      </c>
      <c r="M115" s="936">
        <f t="shared" si="32"/>
        <v>0.68899999999999995</v>
      </c>
    </row>
    <row r="116" spans="1:13">
      <c r="A116" s="934" t="s">
        <v>2677</v>
      </c>
      <c r="B116" s="935">
        <f>ROUND(0.949-0.012*B113,4)</f>
        <v>0.94899999999999995</v>
      </c>
      <c r="C116" s="935">
        <f>B116</f>
        <v>0.94899999999999995</v>
      </c>
      <c r="D116" s="935">
        <f>ROUND(0.8567-0.013*B113,4)</f>
        <v>0.85670000000000002</v>
      </c>
      <c r="E116" s="935">
        <f t="shared" ref="E116:H117" si="33">D116</f>
        <v>0.85670000000000002</v>
      </c>
      <c r="F116" s="935">
        <f t="shared" si="33"/>
        <v>0.85670000000000002</v>
      </c>
      <c r="G116" s="935">
        <f t="shared" si="33"/>
        <v>0.85670000000000002</v>
      </c>
      <c r="H116" s="935">
        <f t="shared" si="33"/>
        <v>0.85670000000000002</v>
      </c>
      <c r="I116" s="935">
        <f>ROUND(0.7694-0.014*B113,4)</f>
        <v>0.76939999999999997</v>
      </c>
      <c r="J116" s="935">
        <f t="shared" si="32"/>
        <v>0.76939999999999997</v>
      </c>
      <c r="K116" s="935">
        <f t="shared" si="32"/>
        <v>0.76939999999999997</v>
      </c>
      <c r="L116" s="935">
        <f t="shared" si="32"/>
        <v>0.76939999999999997</v>
      </c>
      <c r="M116" s="936">
        <f t="shared" si="32"/>
        <v>0.76939999999999997</v>
      </c>
    </row>
    <row r="117" spans="1:13">
      <c r="A117" s="934" t="s">
        <v>2678</v>
      </c>
      <c r="B117" s="935">
        <f>ROUND(0.8808-0.006*B113,4)</f>
        <v>0.88080000000000003</v>
      </c>
      <c r="C117" s="935">
        <f>B117</f>
        <v>0.88080000000000003</v>
      </c>
      <c r="D117" s="935">
        <f>ROUND(0.8748-0.008*B113,4)</f>
        <v>0.87480000000000002</v>
      </c>
      <c r="E117" s="935">
        <f t="shared" si="33"/>
        <v>0.87480000000000002</v>
      </c>
      <c r="F117" s="935">
        <f t="shared" si="33"/>
        <v>0.87480000000000002</v>
      </c>
      <c r="G117" s="935">
        <f t="shared" si="33"/>
        <v>0.87480000000000002</v>
      </c>
      <c r="H117" s="935">
        <f t="shared" si="33"/>
        <v>0.87480000000000002</v>
      </c>
      <c r="I117" s="935">
        <f>ROUND(0.7412-0.0095*B113,4)</f>
        <v>0.74119999999999997</v>
      </c>
      <c r="J117" s="935">
        <f t="shared" si="32"/>
        <v>0.74119999999999997</v>
      </c>
      <c r="K117" s="935">
        <f t="shared" si="32"/>
        <v>0.74119999999999997</v>
      </c>
      <c r="L117" s="935">
        <f t="shared" si="32"/>
        <v>0.74119999999999997</v>
      </c>
      <c r="M117" s="936">
        <f t="shared" si="32"/>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2"/>
        <v>0.56669999999999998</v>
      </c>
      <c r="K118" s="937">
        <f t="shared" si="32"/>
        <v>0.56669999999999998</v>
      </c>
      <c r="L118" s="937">
        <f t="shared" si="32"/>
        <v>0.56669999999999998</v>
      </c>
      <c r="M118" s="938">
        <f t="shared" si="32"/>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4" t="s">
        <v>787</v>
      </c>
      <c r="B1" s="3124"/>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估价对象紧邻城市次干道—太平街，有14路、40路、66路、70路等多条公交线路及地铁4号线（陶然亭站）通过，交通便捷度较好。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区域自然环境：陶然亭公园、天坛公园、永定门公园、护城河；人文环境：自然博物馆、北京古代建筑博物馆、中国盲文博物馆、北京先农坛体育场；综合评价环境状况好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估价对象紧邻城市次干道—太平街，有14路、40路、66路、70路等多条公交线路及地铁4号线（陶然亭站）通过，交通便捷度较好。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区域自然环境：陶然亭公园、天坛公园、永定门公园、护城河；人文环境：自然博物馆、北京古代建筑博物馆、中国盲文博物馆、北京先农坛体育场；综合评价环境状况好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周边有绿城百合、府西园小区、紫欣苑小区、燕化星城健德一里、燕化星城健德二里等居住社区，综合评价居住社区成熟度较好。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估价对象紧邻城市次干道—太平街，有14路、40路、66路、70路等多条公交线路及地铁4号线（陶然亭站）通过，交通便捷度较好。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区域自然环境：陶然亭公园、天坛公园、永定门公园、护城河；人文环境：自然博物馆、北京古代建筑博物馆、中国盲文博物馆、北京先农坛体育场；综合评价环境状况好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4" t="s">
        <v>105</v>
      </c>
      <c r="B1" s="3124"/>
      <c r="C1" s="3124"/>
      <c r="D1" s="3124"/>
      <c r="E1" s="3124"/>
      <c r="F1" s="312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5" t="s">
        <v>118</v>
      </c>
      <c r="B2" s="3125"/>
      <c r="C2" s="3125"/>
      <c r="D2" s="3125"/>
      <c r="E2" s="3125"/>
      <c r="F2" s="312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8" t="s">
        <v>132</v>
      </c>
      <c r="B18" s="907" t="s">
        <v>517</v>
      </c>
      <c r="C18" s="908" t="s">
        <v>518</v>
      </c>
      <c r="D18" s="909"/>
      <c r="E18" s="907">
        <v>1</v>
      </c>
      <c r="F18" s="910" t="s">
        <v>519</v>
      </c>
      <c r="G18" s="911"/>
      <c r="H18" s="903"/>
      <c r="I18" s="903"/>
    </row>
    <row r="19" spans="1:9" s="912" customFormat="1" ht="19.5" customHeight="1">
      <c r="A19" s="3128"/>
      <c r="B19" s="3128" t="s">
        <v>520</v>
      </c>
      <c r="C19" s="908" t="s">
        <v>521</v>
      </c>
      <c r="D19" s="909"/>
      <c r="E19" s="907">
        <v>0.9</v>
      </c>
      <c r="F19" s="910" t="s">
        <v>522</v>
      </c>
      <c r="G19" s="911"/>
      <c r="H19" s="903"/>
      <c r="I19" s="903"/>
    </row>
    <row r="20" spans="1:9" s="912" customFormat="1" ht="19.5" customHeight="1">
      <c r="A20" s="3128"/>
      <c r="B20" s="3128"/>
      <c r="C20" s="908" t="s">
        <v>523</v>
      </c>
      <c r="D20" s="909"/>
      <c r="E20" s="907">
        <v>1.1000000000000001</v>
      </c>
      <c r="F20" s="910" t="s">
        <v>524</v>
      </c>
      <c r="G20" s="911"/>
      <c r="H20" s="903"/>
      <c r="I20" s="903"/>
    </row>
    <row r="21" spans="1:9" s="912" customFormat="1" ht="19.5" customHeight="1">
      <c r="A21" s="3128"/>
      <c r="B21" s="3128"/>
      <c r="C21" s="908" t="s">
        <v>525</v>
      </c>
      <c r="D21" s="909"/>
      <c r="E21" s="907">
        <v>0.8</v>
      </c>
      <c r="F21" s="910" t="s">
        <v>526</v>
      </c>
      <c r="G21" s="911"/>
      <c r="H21" s="903"/>
      <c r="I21" s="903"/>
    </row>
    <row r="22" spans="1:9" s="912" customFormat="1" ht="19.5" customHeight="1">
      <c r="A22" s="3128"/>
      <c r="B22" s="3128"/>
      <c r="C22" s="908" t="s">
        <v>527</v>
      </c>
      <c r="D22" s="909"/>
      <c r="E22" s="907">
        <v>0.5</v>
      </c>
      <c r="F22" s="910"/>
      <c r="G22" s="911"/>
      <c r="H22" s="903"/>
      <c r="I22" s="903"/>
    </row>
    <row r="23" spans="1:9" s="912" customFormat="1" ht="19.5" customHeight="1">
      <c r="A23" s="3128" t="s">
        <v>133</v>
      </c>
      <c r="B23" s="907" t="s">
        <v>517</v>
      </c>
      <c r="C23" s="908" t="s">
        <v>528</v>
      </c>
      <c r="D23" s="909"/>
      <c r="E23" s="907">
        <v>1</v>
      </c>
      <c r="F23" s="910" t="s">
        <v>529</v>
      </c>
      <c r="G23" s="911"/>
      <c r="H23" s="903"/>
      <c r="I23" s="903"/>
    </row>
    <row r="24" spans="1:9" s="912" customFormat="1" ht="19.5" customHeight="1">
      <c r="A24" s="3128"/>
      <c r="B24" s="3128" t="s">
        <v>520</v>
      </c>
      <c r="C24" s="908" t="s">
        <v>530</v>
      </c>
      <c r="D24" s="909"/>
      <c r="E24" s="907">
        <v>0.5</v>
      </c>
      <c r="F24" s="910"/>
      <c r="G24" s="911"/>
      <c r="H24" s="903"/>
      <c r="I24" s="903"/>
    </row>
    <row r="25" spans="1:9" s="912" customFormat="1" ht="19.5" customHeight="1">
      <c r="A25" s="3128"/>
      <c r="B25" s="3128"/>
      <c r="C25" s="908" t="s">
        <v>531</v>
      </c>
      <c r="D25" s="909"/>
      <c r="E25" s="907">
        <v>1.1000000000000001</v>
      </c>
      <c r="F25" s="910"/>
      <c r="G25" s="911"/>
      <c r="H25" s="903"/>
      <c r="I25" s="903"/>
    </row>
    <row r="26" spans="1:9" s="912" customFormat="1" ht="19.5" customHeight="1">
      <c r="A26" s="3128"/>
      <c r="B26" s="3128"/>
      <c r="C26" s="908" t="s">
        <v>532</v>
      </c>
      <c r="D26" s="909"/>
      <c r="E26" s="907">
        <v>1.1000000000000001</v>
      </c>
      <c r="F26" s="910"/>
      <c r="G26" s="911"/>
      <c r="H26" s="903"/>
      <c r="I26" s="903"/>
    </row>
    <row r="27" spans="1:9" s="912" customFormat="1" ht="19.5" customHeight="1">
      <c r="A27" s="3128"/>
      <c r="B27" s="3128"/>
      <c r="C27" s="908" t="s">
        <v>533</v>
      </c>
      <c r="D27" s="909"/>
      <c r="E27" s="907">
        <v>0.9</v>
      </c>
      <c r="F27" s="910" t="s">
        <v>534</v>
      </c>
      <c r="G27" s="911"/>
      <c r="H27" s="903"/>
      <c r="I27" s="903"/>
    </row>
    <row r="28" spans="1:9" s="912" customFormat="1" ht="19.5" customHeight="1">
      <c r="A28" s="3128"/>
      <c r="B28" s="3128"/>
      <c r="C28" s="908" t="s">
        <v>535</v>
      </c>
      <c r="D28" s="909"/>
      <c r="E28" s="907">
        <v>0.9</v>
      </c>
      <c r="F28" s="910" t="s">
        <v>536</v>
      </c>
      <c r="G28" s="911"/>
      <c r="H28" s="903"/>
      <c r="I28" s="903"/>
    </row>
    <row r="29" spans="1:9" s="912" customFormat="1" ht="19.5" customHeight="1">
      <c r="A29" s="3128"/>
      <c r="B29" s="3128"/>
      <c r="C29" s="908" t="s">
        <v>537</v>
      </c>
      <c r="D29" s="909"/>
      <c r="E29" s="907">
        <v>0.9</v>
      </c>
      <c r="F29" s="910" t="s">
        <v>538</v>
      </c>
      <c r="G29" s="911"/>
      <c r="H29" s="903"/>
      <c r="I29" s="903"/>
    </row>
    <row r="30" spans="1:9" s="912" customFormat="1" ht="19.5" customHeight="1">
      <c r="A30" s="3128"/>
      <c r="B30" s="3128"/>
      <c r="C30" s="908" t="s">
        <v>539</v>
      </c>
      <c r="D30" s="909"/>
      <c r="E30" s="907">
        <v>0.9</v>
      </c>
      <c r="F30" s="910" t="s">
        <v>540</v>
      </c>
      <c r="G30" s="911"/>
      <c r="H30" s="903"/>
      <c r="I30" s="903"/>
    </row>
    <row r="31" spans="1:9" s="912" customFormat="1" ht="19.5" customHeight="1">
      <c r="A31" s="3128"/>
      <c r="B31" s="3128"/>
      <c r="C31" s="908" t="s">
        <v>541</v>
      </c>
      <c r="D31" s="909"/>
      <c r="E31" s="907">
        <v>0.8</v>
      </c>
      <c r="F31" s="910" t="s">
        <v>542</v>
      </c>
      <c r="G31" s="911"/>
      <c r="H31" s="903"/>
      <c r="I31" s="903"/>
    </row>
    <row r="32" spans="1:9" s="912" customFormat="1" ht="19.5" customHeight="1">
      <c r="A32" s="3128"/>
      <c r="B32" s="3128"/>
      <c r="C32" s="908" t="s">
        <v>543</v>
      </c>
      <c r="D32" s="909"/>
      <c r="E32" s="907">
        <v>0.8</v>
      </c>
      <c r="F32" s="910" t="s">
        <v>544</v>
      </c>
      <c r="G32" s="911"/>
      <c r="H32" s="903"/>
      <c r="I32" s="903"/>
    </row>
    <row r="33" spans="1:9" s="912" customFormat="1" ht="19.5" customHeight="1">
      <c r="A33" s="3128" t="s">
        <v>134</v>
      </c>
      <c r="B33" s="907" t="s">
        <v>517</v>
      </c>
      <c r="C33" s="908" t="s">
        <v>545</v>
      </c>
      <c r="D33" s="909"/>
      <c r="E33" s="907">
        <v>1</v>
      </c>
      <c r="F33" s="910" t="s">
        <v>546</v>
      </c>
      <c r="G33" s="911"/>
      <c r="H33" s="903"/>
      <c r="I33" s="903"/>
    </row>
    <row r="34" spans="1:9" s="912" customFormat="1" ht="19.5" customHeight="1">
      <c r="A34" s="3128"/>
      <c r="B34" s="907" t="s">
        <v>520</v>
      </c>
      <c r="C34" s="908" t="s">
        <v>547</v>
      </c>
      <c r="D34" s="909"/>
      <c r="E34" s="907">
        <v>1.5</v>
      </c>
      <c r="F34" s="910" t="s">
        <v>548</v>
      </c>
      <c r="G34" s="911"/>
      <c r="H34" s="903"/>
      <c r="I34" s="903"/>
    </row>
    <row r="35" spans="1:9" s="912" customFormat="1" ht="19.5" customHeight="1">
      <c r="A35" s="3128" t="s">
        <v>135</v>
      </c>
      <c r="B35" s="907" t="s">
        <v>517</v>
      </c>
      <c r="C35" s="908" t="s">
        <v>549</v>
      </c>
      <c r="D35" s="909"/>
      <c r="E35" s="907">
        <v>1</v>
      </c>
      <c r="F35" s="910" t="s">
        <v>550</v>
      </c>
      <c r="G35" s="911"/>
      <c r="H35" s="903"/>
      <c r="I35" s="903"/>
    </row>
    <row r="36" spans="1:9" s="912" customFormat="1" ht="19.5" customHeight="1">
      <c r="A36" s="3128"/>
      <c r="B36" s="3128" t="s">
        <v>520</v>
      </c>
      <c r="C36" s="908" t="s">
        <v>551</v>
      </c>
      <c r="D36" s="909"/>
      <c r="E36" s="907">
        <v>1</v>
      </c>
      <c r="F36" s="910" t="s">
        <v>552</v>
      </c>
      <c r="G36" s="911"/>
      <c r="H36" s="903"/>
      <c r="I36" s="903"/>
    </row>
    <row r="37" spans="1:9" s="912" customFormat="1" ht="19.5" customHeight="1">
      <c r="A37" s="3128"/>
      <c r="B37" s="3128"/>
      <c r="C37" s="908" t="s">
        <v>553</v>
      </c>
      <c r="D37" s="909"/>
      <c r="E37" s="907">
        <v>1.5</v>
      </c>
      <c r="F37" s="910" t="s">
        <v>554</v>
      </c>
      <c r="G37" s="911"/>
      <c r="H37" s="903"/>
      <c r="I37" s="903"/>
    </row>
    <row r="38" spans="1:9" s="912" customFormat="1" ht="19.5" customHeight="1">
      <c r="A38" s="3128"/>
      <c r="B38" s="3128"/>
      <c r="C38" s="908" t="s">
        <v>555</v>
      </c>
      <c r="D38" s="909"/>
      <c r="E38" s="907">
        <v>1</v>
      </c>
      <c r="F38" s="910" t="s">
        <v>556</v>
      </c>
      <c r="G38" s="911"/>
      <c r="H38" s="903"/>
      <c r="I38" s="903"/>
    </row>
    <row r="39" spans="1:9" s="912" customFormat="1" ht="19.5" customHeight="1">
      <c r="A39" s="3128"/>
      <c r="B39" s="312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8" t="s">
        <v>571</v>
      </c>
      <c r="C61" s="821" t="s">
        <v>572</v>
      </c>
      <c r="D61" s="821" t="s">
        <v>573</v>
      </c>
      <c r="E61" s="920">
        <v>0.5</v>
      </c>
      <c r="F61" s="907">
        <v>80</v>
      </c>
    </row>
    <row r="62" spans="1:8" s="903" customFormat="1" ht="24">
      <c r="A62" s="907">
        <v>2</v>
      </c>
      <c r="B62" s="3128"/>
      <c r="C62" s="821" t="s">
        <v>574</v>
      </c>
      <c r="D62" s="821" t="s">
        <v>575</v>
      </c>
      <c r="E62" s="920">
        <v>0.5</v>
      </c>
      <c r="F62" s="907">
        <v>80</v>
      </c>
    </row>
    <row r="63" spans="1:8" s="903" customFormat="1" ht="36">
      <c r="A63" s="907">
        <v>3</v>
      </c>
      <c r="B63" s="3128"/>
      <c r="C63" s="821" t="s">
        <v>576</v>
      </c>
      <c r="D63" s="821" t="s">
        <v>577</v>
      </c>
      <c r="E63" s="920">
        <v>0.5</v>
      </c>
      <c r="F63" s="907">
        <v>80</v>
      </c>
    </row>
    <row r="64" spans="1:8" s="903" customFormat="1" ht="36">
      <c r="A64" s="907">
        <v>4</v>
      </c>
      <c r="B64" s="3128"/>
      <c r="C64" s="821" t="s">
        <v>578</v>
      </c>
      <c r="D64" s="821" t="s">
        <v>579</v>
      </c>
      <c r="E64" s="920">
        <v>0.4</v>
      </c>
      <c r="F64" s="907">
        <v>60</v>
      </c>
    </row>
    <row r="65" spans="1:6" s="903" customFormat="1" ht="36">
      <c r="A65" s="907">
        <v>5</v>
      </c>
      <c r="B65" s="3128"/>
      <c r="C65" s="821" t="s">
        <v>580</v>
      </c>
      <c r="D65" s="821" t="s">
        <v>581</v>
      </c>
      <c r="E65" s="920">
        <v>0.2</v>
      </c>
      <c r="F65" s="907">
        <v>30</v>
      </c>
    </row>
    <row r="66" spans="1:6" s="903" customFormat="1" ht="36">
      <c r="A66" s="907">
        <v>6</v>
      </c>
      <c r="B66" s="3128"/>
      <c r="C66" s="821" t="s">
        <v>582</v>
      </c>
      <c r="D66" s="821" t="s">
        <v>583</v>
      </c>
      <c r="E66" s="920">
        <v>0.3</v>
      </c>
      <c r="F66" s="907">
        <v>50</v>
      </c>
    </row>
    <row r="67" spans="1:6" s="903" customFormat="1" ht="36">
      <c r="A67" s="907">
        <v>7</v>
      </c>
      <c r="B67" s="3128"/>
      <c r="C67" s="821" t="s">
        <v>584</v>
      </c>
      <c r="D67" s="821" t="s">
        <v>585</v>
      </c>
      <c r="E67" s="920">
        <v>0.2</v>
      </c>
      <c r="F67" s="907">
        <v>30</v>
      </c>
    </row>
    <row r="68" spans="1:6" s="903" customFormat="1" ht="36">
      <c r="A68" s="907">
        <v>8</v>
      </c>
      <c r="B68" s="3128"/>
      <c r="C68" s="821" t="s">
        <v>586</v>
      </c>
      <c r="D68" s="821" t="s">
        <v>587</v>
      </c>
      <c r="E68" s="920">
        <v>0.2</v>
      </c>
      <c r="F68" s="907">
        <v>30</v>
      </c>
    </row>
    <row r="69" spans="1:6" s="903" customFormat="1" ht="36">
      <c r="A69" s="907">
        <v>9</v>
      </c>
      <c r="B69" s="3128"/>
      <c r="C69" s="821" t="s">
        <v>588</v>
      </c>
      <c r="D69" s="821" t="s">
        <v>589</v>
      </c>
      <c r="E69" s="920">
        <v>0.2</v>
      </c>
      <c r="F69" s="907">
        <v>30</v>
      </c>
    </row>
    <row r="70" spans="1:6" s="903" customFormat="1" ht="48">
      <c r="A70" s="907">
        <v>10</v>
      </c>
      <c r="B70" s="3128"/>
      <c r="C70" s="821" t="s">
        <v>590</v>
      </c>
      <c r="D70" s="821" t="s">
        <v>591</v>
      </c>
      <c r="E70" s="920">
        <v>0.2</v>
      </c>
      <c r="F70" s="907">
        <v>30</v>
      </c>
    </row>
    <row r="71" spans="1:6" s="903" customFormat="1" ht="48">
      <c r="A71" s="907">
        <v>11</v>
      </c>
      <c r="B71" s="3128"/>
      <c r="C71" s="821" t="s">
        <v>592</v>
      </c>
      <c r="D71" s="821" t="s">
        <v>593</v>
      </c>
      <c r="E71" s="920">
        <v>0.2</v>
      </c>
      <c r="F71" s="907">
        <v>30</v>
      </c>
    </row>
    <row r="72" spans="1:6" s="903" customFormat="1" ht="36">
      <c r="A72" s="907">
        <v>12</v>
      </c>
      <c r="B72" s="3128"/>
      <c r="C72" s="821" t="s">
        <v>594</v>
      </c>
      <c r="D72" s="821" t="s">
        <v>595</v>
      </c>
      <c r="E72" s="920">
        <v>0.5</v>
      </c>
      <c r="F72" s="907">
        <v>80</v>
      </c>
    </row>
    <row r="73" spans="1:6" s="903" customFormat="1" ht="24">
      <c r="A73" s="907">
        <v>13</v>
      </c>
      <c r="B73" s="3128"/>
      <c r="C73" s="821" t="s">
        <v>596</v>
      </c>
      <c r="D73" s="821" t="s">
        <v>597</v>
      </c>
      <c r="E73" s="920">
        <v>0.4</v>
      </c>
      <c r="F73" s="907">
        <v>60</v>
      </c>
    </row>
    <row r="74" spans="1:6" s="903" customFormat="1" ht="24">
      <c r="A74" s="907">
        <v>14</v>
      </c>
      <c r="B74" s="3128"/>
      <c r="C74" s="821" t="s">
        <v>598</v>
      </c>
      <c r="D74" s="821" t="s">
        <v>599</v>
      </c>
      <c r="E74" s="920">
        <v>0.2</v>
      </c>
      <c r="F74" s="907">
        <v>30</v>
      </c>
    </row>
    <row r="75" spans="1:6" s="903" customFormat="1" ht="24">
      <c r="A75" s="907">
        <v>15</v>
      </c>
      <c r="B75" s="3128"/>
      <c r="C75" s="821" t="s">
        <v>600</v>
      </c>
      <c r="D75" s="821" t="s">
        <v>601</v>
      </c>
      <c r="E75" s="920">
        <v>0.2</v>
      </c>
      <c r="F75" s="907">
        <v>30</v>
      </c>
    </row>
    <row r="76" spans="1:6" s="903" customFormat="1" ht="24">
      <c r="A76" s="907">
        <v>16</v>
      </c>
      <c r="B76" s="3128" t="s">
        <v>602</v>
      </c>
      <c r="C76" s="821" t="s">
        <v>603</v>
      </c>
      <c r="D76" s="821" t="s">
        <v>604</v>
      </c>
      <c r="E76" s="920">
        <v>0.5</v>
      </c>
      <c r="F76" s="907">
        <v>80</v>
      </c>
    </row>
    <row r="77" spans="1:6" s="903" customFormat="1" ht="24">
      <c r="A77" s="907">
        <v>17</v>
      </c>
      <c r="B77" s="3128"/>
      <c r="C77" s="821" t="s">
        <v>605</v>
      </c>
      <c r="D77" s="821" t="s">
        <v>606</v>
      </c>
      <c r="E77" s="920">
        <v>0.5</v>
      </c>
      <c r="F77" s="907">
        <v>80</v>
      </c>
    </row>
    <row r="78" spans="1:6" s="903" customFormat="1" ht="24">
      <c r="A78" s="907">
        <v>18</v>
      </c>
      <c r="B78" s="3128"/>
      <c r="C78" s="821" t="s">
        <v>607</v>
      </c>
      <c r="D78" s="821" t="s">
        <v>608</v>
      </c>
      <c r="E78" s="920">
        <v>0.2</v>
      </c>
      <c r="F78" s="907">
        <v>30</v>
      </c>
    </row>
    <row r="79" spans="1:6" s="903" customFormat="1" ht="24">
      <c r="A79" s="907">
        <v>19</v>
      </c>
      <c r="B79" s="3128"/>
      <c r="C79" s="821" t="s">
        <v>609</v>
      </c>
      <c r="D79" s="821" t="s">
        <v>610</v>
      </c>
      <c r="E79" s="920">
        <v>0.5</v>
      </c>
      <c r="F79" s="907">
        <v>80</v>
      </c>
    </row>
    <row r="80" spans="1:6" s="903" customFormat="1" ht="36">
      <c r="A80" s="907">
        <v>20</v>
      </c>
      <c r="B80" s="3128"/>
      <c r="C80" s="821" t="s">
        <v>611</v>
      </c>
      <c r="D80" s="821" t="s">
        <v>612</v>
      </c>
      <c r="E80" s="920">
        <v>0.2</v>
      </c>
      <c r="F80" s="907">
        <v>30</v>
      </c>
    </row>
    <row r="81" spans="1:6" s="903" customFormat="1" ht="36">
      <c r="A81" s="907">
        <v>21</v>
      </c>
      <c r="B81" s="3128"/>
      <c r="C81" s="821" t="s">
        <v>613</v>
      </c>
      <c r="D81" s="821" t="s">
        <v>614</v>
      </c>
      <c r="E81" s="920">
        <v>0.2</v>
      </c>
      <c r="F81" s="907">
        <v>30</v>
      </c>
    </row>
    <row r="82" spans="1:6" s="903" customFormat="1" ht="48">
      <c r="A82" s="907">
        <v>22</v>
      </c>
      <c r="B82" s="3128"/>
      <c r="C82" s="821" t="s">
        <v>615</v>
      </c>
      <c r="D82" s="821" t="s">
        <v>616</v>
      </c>
      <c r="E82" s="920">
        <v>0.2</v>
      </c>
      <c r="F82" s="907">
        <v>30</v>
      </c>
    </row>
    <row r="83" spans="1:6" s="903" customFormat="1" ht="48">
      <c r="A83" s="907">
        <v>23</v>
      </c>
      <c r="B83" s="3128"/>
      <c r="C83" s="821" t="s">
        <v>617</v>
      </c>
      <c r="D83" s="821" t="s">
        <v>618</v>
      </c>
      <c r="E83" s="920">
        <v>0.2</v>
      </c>
      <c r="F83" s="907">
        <v>30</v>
      </c>
    </row>
    <row r="84" spans="1:6" s="903" customFormat="1" ht="36">
      <c r="A84" s="907">
        <v>24</v>
      </c>
      <c r="B84" s="3128"/>
      <c r="C84" s="821" t="s">
        <v>619</v>
      </c>
      <c r="D84" s="821" t="s">
        <v>620</v>
      </c>
      <c r="E84" s="920">
        <v>0.2</v>
      </c>
      <c r="F84" s="907">
        <v>30</v>
      </c>
    </row>
    <row r="85" spans="1:6" s="903" customFormat="1" ht="36">
      <c r="A85" s="907">
        <v>25</v>
      </c>
      <c r="B85" s="3128"/>
      <c r="C85" s="821" t="s">
        <v>621</v>
      </c>
      <c r="D85" s="821" t="s">
        <v>622</v>
      </c>
      <c r="E85" s="920">
        <v>0.5</v>
      </c>
      <c r="F85" s="907">
        <v>80</v>
      </c>
    </row>
    <row r="86" spans="1:6" s="903" customFormat="1" ht="36">
      <c r="A86" s="907">
        <v>26</v>
      </c>
      <c r="B86" s="3128"/>
      <c r="C86" s="821" t="s">
        <v>623</v>
      </c>
      <c r="D86" s="821" t="s">
        <v>624</v>
      </c>
      <c r="E86" s="920">
        <v>0.2</v>
      </c>
      <c r="F86" s="907">
        <v>30</v>
      </c>
    </row>
    <row r="87" spans="1:6" s="903" customFormat="1" ht="36">
      <c r="A87" s="907">
        <v>27</v>
      </c>
      <c r="B87" s="3128"/>
      <c r="C87" s="821" t="s">
        <v>625</v>
      </c>
      <c r="D87" s="821" t="s">
        <v>626</v>
      </c>
      <c r="E87" s="920">
        <v>0.2</v>
      </c>
      <c r="F87" s="907">
        <v>30</v>
      </c>
    </row>
    <row r="88" spans="1:6" s="903" customFormat="1" ht="36">
      <c r="A88" s="907">
        <v>28</v>
      </c>
      <c r="B88" s="3128"/>
      <c r="C88" s="821" t="s">
        <v>627</v>
      </c>
      <c r="D88" s="821" t="s">
        <v>628</v>
      </c>
      <c r="E88" s="920">
        <v>0.2</v>
      </c>
      <c r="F88" s="907">
        <v>30</v>
      </c>
    </row>
    <row r="89" spans="1:6" s="903" customFormat="1" ht="24">
      <c r="A89" s="907">
        <v>29</v>
      </c>
      <c r="B89" s="3128"/>
      <c r="C89" s="821" t="s">
        <v>629</v>
      </c>
      <c r="D89" s="821" t="s">
        <v>630</v>
      </c>
      <c r="E89" s="920">
        <v>0.2</v>
      </c>
      <c r="F89" s="907">
        <v>30</v>
      </c>
    </row>
    <row r="90" spans="1:6" s="903" customFormat="1" ht="24">
      <c r="A90" s="907">
        <v>30</v>
      </c>
      <c r="B90" s="3128"/>
      <c r="C90" s="821" t="s">
        <v>631</v>
      </c>
      <c r="D90" s="821" t="s">
        <v>632</v>
      </c>
      <c r="E90" s="920">
        <v>0.2</v>
      </c>
      <c r="F90" s="907">
        <v>30</v>
      </c>
    </row>
    <row r="91" spans="1:6" s="903" customFormat="1" ht="36">
      <c r="A91" s="907">
        <v>31</v>
      </c>
      <c r="B91" s="3128"/>
      <c r="C91" s="821" t="s">
        <v>633</v>
      </c>
      <c r="D91" s="821" t="s">
        <v>634</v>
      </c>
      <c r="E91" s="920">
        <v>0.2</v>
      </c>
      <c r="F91" s="907">
        <v>30</v>
      </c>
    </row>
    <row r="92" spans="1:6" s="903" customFormat="1" ht="24">
      <c r="A92" s="907">
        <v>32</v>
      </c>
      <c r="B92" s="3128" t="s">
        <v>635</v>
      </c>
      <c r="C92" s="907" t="s">
        <v>636</v>
      </c>
      <c r="D92" s="821" t="s">
        <v>637</v>
      </c>
      <c r="E92" s="920">
        <v>0.2</v>
      </c>
      <c r="F92" s="907">
        <v>30</v>
      </c>
    </row>
    <row r="93" spans="1:6" s="903" customFormat="1" ht="36">
      <c r="A93" s="907">
        <v>33</v>
      </c>
      <c r="B93" s="3128"/>
      <c r="C93" s="907" t="s">
        <v>638</v>
      </c>
      <c r="D93" s="821" t="s">
        <v>639</v>
      </c>
      <c r="E93" s="920">
        <v>0.2</v>
      </c>
      <c r="F93" s="907">
        <v>30</v>
      </c>
    </row>
    <row r="94" spans="1:6" s="903" customFormat="1" ht="48">
      <c r="A94" s="907">
        <v>34</v>
      </c>
      <c r="B94" s="3128"/>
      <c r="C94" s="907" t="s">
        <v>640</v>
      </c>
      <c r="D94" s="821" t="s">
        <v>641</v>
      </c>
      <c r="E94" s="920">
        <v>0.2</v>
      </c>
      <c r="F94" s="907">
        <v>30</v>
      </c>
    </row>
    <row r="95" spans="1:6" s="903" customFormat="1" ht="36">
      <c r="A95" s="907">
        <v>35</v>
      </c>
      <c r="B95" s="3128"/>
      <c r="C95" s="907" t="s">
        <v>642</v>
      </c>
      <c r="D95" s="821" t="s">
        <v>643</v>
      </c>
      <c r="E95" s="920">
        <v>0.2</v>
      </c>
      <c r="F95" s="907">
        <v>30</v>
      </c>
    </row>
    <row r="96" spans="1:6" s="903" customFormat="1" ht="48">
      <c r="A96" s="907">
        <v>36</v>
      </c>
      <c r="B96" s="3128"/>
      <c r="C96" s="821" t="s">
        <v>644</v>
      </c>
      <c r="D96" s="821" t="s">
        <v>645</v>
      </c>
      <c r="E96" s="920">
        <v>0.2</v>
      </c>
      <c r="F96" s="907">
        <v>30</v>
      </c>
    </row>
    <row r="97" spans="1:6" s="903" customFormat="1" ht="36">
      <c r="A97" s="907">
        <v>37</v>
      </c>
      <c r="B97" s="3128"/>
      <c r="C97" s="907" t="s">
        <v>646</v>
      </c>
      <c r="D97" s="821" t="s">
        <v>647</v>
      </c>
      <c r="E97" s="920">
        <v>0.2</v>
      </c>
      <c r="F97" s="907">
        <v>30</v>
      </c>
    </row>
    <row r="98" spans="1:6" s="903" customFormat="1" ht="36">
      <c r="A98" s="907">
        <v>38</v>
      </c>
      <c r="B98" s="3128"/>
      <c r="C98" s="907" t="s">
        <v>648</v>
      </c>
      <c r="D98" s="821" t="s">
        <v>649</v>
      </c>
      <c r="E98" s="920">
        <v>0.2</v>
      </c>
      <c r="F98" s="907">
        <v>30</v>
      </c>
    </row>
    <row r="99" spans="1:6" s="903" customFormat="1" ht="36">
      <c r="A99" s="907">
        <v>39</v>
      </c>
      <c r="B99" s="3128" t="s">
        <v>650</v>
      </c>
      <c r="C99" s="907" t="s">
        <v>651</v>
      </c>
      <c r="D99" s="821" t="s">
        <v>652</v>
      </c>
      <c r="E99" s="920">
        <v>0.3</v>
      </c>
      <c r="F99" s="907">
        <v>50</v>
      </c>
    </row>
    <row r="100" spans="1:6" s="903" customFormat="1" ht="24">
      <c r="A100" s="907">
        <v>40</v>
      </c>
      <c r="B100" s="3128"/>
      <c r="C100" s="907" t="s">
        <v>653</v>
      </c>
      <c r="D100" s="821" t="s">
        <v>654</v>
      </c>
      <c r="E100" s="920">
        <v>0.2</v>
      </c>
      <c r="F100" s="907">
        <v>30</v>
      </c>
    </row>
    <row r="101" spans="1:6" s="903" customFormat="1" ht="36">
      <c r="A101" s="907">
        <v>41</v>
      </c>
      <c r="B101" s="312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8" t="s">
        <v>665</v>
      </c>
      <c r="C105" s="907" t="s">
        <v>666</v>
      </c>
      <c r="D105" s="821" t="s">
        <v>667</v>
      </c>
      <c r="E105" s="920">
        <v>0.2</v>
      </c>
      <c r="F105" s="907">
        <v>30</v>
      </c>
    </row>
    <row r="106" spans="1:6" s="903" customFormat="1" ht="36">
      <c r="A106" s="907">
        <v>46</v>
      </c>
      <c r="B106" s="3128"/>
      <c r="C106" s="907" t="s">
        <v>668</v>
      </c>
      <c r="D106" s="821" t="s">
        <v>669</v>
      </c>
      <c r="E106" s="920">
        <v>0.2</v>
      </c>
      <c r="F106" s="907">
        <v>30</v>
      </c>
    </row>
    <row r="107" spans="1:6" s="903" customFormat="1" ht="36">
      <c r="A107" s="907">
        <v>47</v>
      </c>
      <c r="B107" s="3128" t="s">
        <v>670</v>
      </c>
      <c r="C107" s="907" t="s">
        <v>671</v>
      </c>
      <c r="D107" s="821" t="s">
        <v>672</v>
      </c>
      <c r="E107" s="920">
        <v>0.3</v>
      </c>
      <c r="F107" s="907">
        <v>50</v>
      </c>
    </row>
    <row r="108" spans="1:6" s="903" customFormat="1" ht="36">
      <c r="A108" s="907">
        <v>48</v>
      </c>
      <c r="B108" s="312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8" t="s">
        <v>681</v>
      </c>
      <c r="C111" s="907" t="s">
        <v>682</v>
      </c>
      <c r="D111" s="821" t="s">
        <v>683</v>
      </c>
      <c r="E111" s="920">
        <v>0.2</v>
      </c>
      <c r="F111" s="907">
        <v>30</v>
      </c>
    </row>
    <row r="112" spans="1:6" s="903" customFormat="1" ht="24">
      <c r="A112" s="907">
        <v>52</v>
      </c>
      <c r="B112" s="3128"/>
      <c r="C112" s="907" t="s">
        <v>684</v>
      </c>
      <c r="D112" s="821" t="s">
        <v>685</v>
      </c>
      <c r="E112" s="920">
        <v>0.2</v>
      </c>
      <c r="F112" s="907">
        <v>30</v>
      </c>
    </row>
    <row r="113" spans="1:6" s="903" customFormat="1" ht="24">
      <c r="A113" s="907">
        <v>53</v>
      </c>
      <c r="B113" s="312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8" t="s">
        <v>694</v>
      </c>
      <c r="C116" s="907" t="s">
        <v>695</v>
      </c>
      <c r="D116" s="821" t="s">
        <v>696</v>
      </c>
      <c r="E116" s="920">
        <v>0.2</v>
      </c>
      <c r="F116" s="907">
        <v>30</v>
      </c>
    </row>
    <row r="117" spans="1:6" ht="36">
      <c r="A117" s="907">
        <v>57</v>
      </c>
      <c r="B117" s="312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4" t="s">
        <v>1033</v>
      </c>
      <c r="C1" s="3134"/>
      <c r="D1" s="3134"/>
      <c r="E1" s="3134"/>
      <c r="F1" s="3134"/>
      <c r="G1" s="3133" t="s">
        <v>1034</v>
      </c>
      <c r="H1" s="3133"/>
      <c r="I1" s="3133"/>
      <c r="J1" s="3133"/>
      <c r="K1" s="3133"/>
      <c r="L1" s="3133"/>
      <c r="N1" s="3133" t="s">
        <v>1035</v>
      </c>
      <c r="O1" s="3133"/>
      <c r="P1" s="3133"/>
      <c r="Q1" s="3133"/>
      <c r="R1" s="1548"/>
      <c r="S1" s="3133" t="s">
        <v>1036</v>
      </c>
      <c r="T1" s="3133"/>
      <c r="U1" s="3133"/>
      <c r="V1" s="3133"/>
      <c r="X1" s="3132" t="s">
        <v>1037</v>
      </c>
      <c r="Y1" s="3133"/>
      <c r="Z1" s="3133"/>
      <c r="AA1" s="3133"/>
      <c r="AB1" s="3133"/>
      <c r="AD1" s="3132" t="s">
        <v>1038</v>
      </c>
      <c r="AE1" s="3133"/>
      <c r="AF1" s="3133"/>
      <c r="AG1" s="3133"/>
      <c r="AH1" s="3133"/>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2811</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2818</v>
      </c>
      <c r="B5" s="1568">
        <f>B6*(1+N5)</f>
        <v>453.11529869999993</v>
      </c>
      <c r="C5" s="1568">
        <f>C6*(1+O5)</f>
        <v>336.47787264000004</v>
      </c>
      <c r="D5" s="1817">
        <f>C5</f>
        <v>336.47787264000004</v>
      </c>
      <c r="E5" s="1568">
        <f t="shared" ref="E5:F7" si="2">E6*(1+P5)</f>
        <v>647.35186823999993</v>
      </c>
      <c r="F5" s="1568">
        <f t="shared" si="2"/>
        <v>295.73229452000004</v>
      </c>
      <c r="G5" s="2732">
        <v>2018</v>
      </c>
      <c r="H5" s="1821">
        <v>3</v>
      </c>
      <c r="I5" s="2712">
        <v>1.49</v>
      </c>
      <c r="J5" s="2712">
        <v>0.96</v>
      </c>
      <c r="K5" s="2712">
        <v>1.58</v>
      </c>
      <c r="L5" s="2713">
        <v>2.44</v>
      </c>
      <c r="N5" s="1570">
        <f t="shared" ref="N5:Q6" si="3">I5/100</f>
        <v>1.49E-2</v>
      </c>
      <c r="O5" s="1570">
        <f t="shared" si="3"/>
        <v>9.5999999999999992E-3</v>
      </c>
      <c r="P5" s="1570">
        <f t="shared" si="3"/>
        <v>1.5800000000000002E-2</v>
      </c>
      <c r="Q5" s="1570">
        <f t="shared" si="3"/>
        <v>2.4399999999999998E-2</v>
      </c>
      <c r="R5" s="1823"/>
      <c r="S5" s="1824"/>
      <c r="T5" s="1823"/>
      <c r="U5" s="1823"/>
      <c r="V5" s="1823"/>
      <c r="W5" s="2718" t="s">
        <v>2810</v>
      </c>
      <c r="X5" s="1816">
        <f>ROUND(SUMPRODUCT(PRODUCT(1+N5:N$22)),4)</f>
        <v>1.4733000000000001</v>
      </c>
      <c r="Y5" s="1816">
        <f>ROUND(SUMPRODUCT(PRODUCT(1+O5:O$22)),4)</f>
        <v>1.3052999999999999</v>
      </c>
      <c r="Z5" s="1816">
        <f>Y5</f>
        <v>1.3052999999999999</v>
      </c>
      <c r="AA5" s="1816">
        <f>ROUND(SUMPRODUCT(PRODUCT(1+P5:P$22)),4)</f>
        <v>1.5306999999999999</v>
      </c>
      <c r="AB5" s="1816">
        <f>ROUND(SUMPRODUCT(PRODUCT(1+Q5:Q$22)),4)</f>
        <v>1.2863</v>
      </c>
      <c r="AD5" s="1571">
        <f>ROUND(AVERAGE(I5:I$23)/100,4)</f>
        <v>2.23E-2</v>
      </c>
      <c r="AE5" s="1571">
        <f>ROUND(AVERAGE(J5:J$23)/100,4)</f>
        <v>1.54E-2</v>
      </c>
      <c r="AF5" s="1571">
        <f>AE5</f>
        <v>1.54E-2</v>
      </c>
      <c r="AG5" s="1571">
        <f>ROUND(AVERAGE(K5:K$23)/100,4)</f>
        <v>2.4500000000000001E-2</v>
      </c>
      <c r="AH5" s="1571">
        <f>ROUND(AVERAGE(L5:L$23)/100,4)</f>
        <v>1.41E-2</v>
      </c>
    </row>
    <row r="6" spans="1:34" s="1569" customFormat="1" ht="13.5" thickBot="1">
      <c r="A6" s="1563" t="s">
        <v>2819</v>
      </c>
      <c r="B6" s="1580">
        <f t="shared" ref="B6:B11" si="4">B7*(1+N6)</f>
        <v>446.46299999999997</v>
      </c>
      <c r="C6" s="1580">
        <f>C7*(1+O6)</f>
        <v>333.27840000000003</v>
      </c>
      <c r="D6" s="1580">
        <f>C6</f>
        <v>333.27840000000003</v>
      </c>
      <c r="E6" s="1580">
        <f t="shared" si="2"/>
        <v>637.28279999999995</v>
      </c>
      <c r="F6" s="1580">
        <f t="shared" si="2"/>
        <v>288.68830000000003</v>
      </c>
      <c r="G6" s="2710"/>
      <c r="H6" s="1566">
        <v>2</v>
      </c>
      <c r="I6" s="1566">
        <v>0</v>
      </c>
      <c r="J6" s="1566">
        <v>0</v>
      </c>
      <c r="K6" s="1566">
        <v>0</v>
      </c>
      <c r="L6" s="1581">
        <v>0</v>
      </c>
      <c r="M6" s="1574"/>
      <c r="N6" s="1575">
        <f t="shared" si="3"/>
        <v>0</v>
      </c>
      <c r="O6" s="1576">
        <f t="shared" si="3"/>
        <v>0</v>
      </c>
      <c r="P6" s="1576">
        <f t="shared" si="3"/>
        <v>0</v>
      </c>
      <c r="Q6" s="1576">
        <f t="shared" si="3"/>
        <v>0</v>
      </c>
      <c r="R6" s="1574"/>
      <c r="S6" s="1583"/>
      <c r="T6" s="1584"/>
      <c r="U6" s="1584"/>
      <c r="V6" s="1584"/>
      <c r="W6" s="1574"/>
      <c r="X6" s="1561">
        <f>ROUND(SUMPRODUCT(PRODUCT(1+N6:N$22)),4)</f>
        <v>1.4517</v>
      </c>
      <c r="Y6" s="1561">
        <f>ROUND(SUMPRODUCT(PRODUCT(1+O6:O$22)),4)</f>
        <v>1.2928999999999999</v>
      </c>
      <c r="Z6" s="1561">
        <f>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AE6</f>
        <v>1.5699999999999999E-2</v>
      </c>
      <c r="AG6" s="1562">
        <f>ROUND(AVERAGE(K6:K$23)/100,4)</f>
        <v>2.5000000000000001E-2</v>
      </c>
      <c r="AH6" s="1562">
        <f>ROUND(AVERAGE(L6:L$23)/100,4)</f>
        <v>1.35E-2</v>
      </c>
    </row>
    <row r="7" spans="1:34" s="1569" customFormat="1" ht="13.5" thickBot="1">
      <c r="A7" s="1563" t="s">
        <v>2815</v>
      </c>
      <c r="B7" s="1580">
        <f t="shared" si="4"/>
        <v>446.46299999999997</v>
      </c>
      <c r="C7" s="1580">
        <f>C8*(1+O7)</f>
        <v>333.27840000000003</v>
      </c>
      <c r="D7" s="1580">
        <f t="shared" ref="D7:D12" si="5">C7</f>
        <v>333.27840000000003</v>
      </c>
      <c r="E7" s="1580">
        <f t="shared" si="2"/>
        <v>637.28279999999995</v>
      </c>
      <c r="F7" s="1580">
        <f t="shared" si="2"/>
        <v>288.68830000000003</v>
      </c>
      <c r="G7" s="2710"/>
      <c r="H7" s="1566">
        <v>1</v>
      </c>
      <c r="I7" s="1566">
        <v>1.7</v>
      </c>
      <c r="J7" s="1566">
        <v>1.92</v>
      </c>
      <c r="K7" s="1566">
        <v>1.64</v>
      </c>
      <c r="L7" s="1581">
        <v>2.0099999999999998</v>
      </c>
      <c r="M7" s="1574"/>
      <c r="N7" s="1575">
        <f t="shared" ref="N7:N12" si="6">I7/100</f>
        <v>1.7000000000000001E-2</v>
      </c>
      <c r="O7" s="1576">
        <f t="shared" ref="O7:Q10" si="7">J7/100</f>
        <v>1.9199999999999998E-2</v>
      </c>
      <c r="P7" s="1576">
        <f t="shared" si="7"/>
        <v>1.6399999999999998E-2</v>
      </c>
      <c r="Q7" s="1576">
        <f t="shared" si="7"/>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Y7</f>
        <v>1.2928999999999999</v>
      </c>
      <c r="AA7" s="1561">
        <f>ROUND(SUMPRODUCT(PRODUCT(1+P7:P$22)),4)</f>
        <v>1.5068999999999999</v>
      </c>
      <c r="AB7" s="1561">
        <f>ROUND(SUMPRODUCT(PRODUCT(1+Q7:Q$22)),4)</f>
        <v>1.2557</v>
      </c>
      <c r="AC7" s="1574"/>
      <c r="AD7" s="1562">
        <f>ROUND(AVERAGE(I7:I$23)/100,4)</f>
        <v>2.4E-2</v>
      </c>
      <c r="AE7" s="1562">
        <f>ROUND(AVERAGE(J7:J$23)/100,4)</f>
        <v>1.66E-2</v>
      </c>
      <c r="AF7" s="1562">
        <f>AE7</f>
        <v>1.66E-2</v>
      </c>
      <c r="AG7" s="1562">
        <f>ROUND(AVERAGE(K7:K$23)/100,4)</f>
        <v>2.6499999999999999E-2</v>
      </c>
      <c r="AH7" s="1562">
        <f>ROUND(AVERAGE(L7:L$23)/100,4)</f>
        <v>1.43E-2</v>
      </c>
    </row>
    <row r="8" spans="1:34">
      <c r="A8" s="1563" t="s">
        <v>2812</v>
      </c>
      <c r="B8" s="1572">
        <v>439</v>
      </c>
      <c r="C8" s="1572">
        <v>327</v>
      </c>
      <c r="D8" s="1572">
        <f t="shared" si="5"/>
        <v>327</v>
      </c>
      <c r="E8" s="1572">
        <v>627</v>
      </c>
      <c r="F8" s="1573">
        <v>283</v>
      </c>
      <c r="G8" s="2717">
        <v>2017</v>
      </c>
      <c r="H8" s="1564">
        <v>4</v>
      </c>
      <c r="I8" s="1564">
        <v>1.71</v>
      </c>
      <c r="J8" s="1564">
        <v>1.78</v>
      </c>
      <c r="K8" s="1564">
        <v>1.71</v>
      </c>
      <c r="L8" s="1565">
        <v>1.43</v>
      </c>
      <c r="N8" s="1575">
        <f t="shared" si="6"/>
        <v>1.7100000000000001E-2</v>
      </c>
      <c r="O8" s="1576">
        <f t="shared" si="7"/>
        <v>1.78E-2</v>
      </c>
      <c r="P8" s="1576">
        <f t="shared" si="7"/>
        <v>1.7100000000000001E-2</v>
      </c>
      <c r="Q8" s="1576">
        <f t="shared" si="7"/>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2807</v>
      </c>
      <c r="B9" s="1580">
        <f t="shared" si="4"/>
        <v>431.80730811680002</v>
      </c>
      <c r="C9" s="1580">
        <f>C10*(1+O9)</f>
        <v>320.57880516480003</v>
      </c>
      <c r="D9" s="1580">
        <f t="shared" si="5"/>
        <v>320.57880516480003</v>
      </c>
      <c r="E9" s="1580">
        <f t="shared" ref="E9:F11" si="8">E10*(1+P9)</f>
        <v>615.96110553196797</v>
      </c>
      <c r="F9" s="1580">
        <f t="shared" si="8"/>
        <v>279.46777300108801</v>
      </c>
      <c r="G9" s="2710"/>
      <c r="H9" s="1566">
        <v>3</v>
      </c>
      <c r="I9" s="1566">
        <v>2.98</v>
      </c>
      <c r="J9" s="1566">
        <v>2.11</v>
      </c>
      <c r="K9" s="1566">
        <v>3.24</v>
      </c>
      <c r="L9" s="1581">
        <v>1.72</v>
      </c>
      <c r="M9" s="1574"/>
      <c r="N9" s="1575">
        <f t="shared" si="6"/>
        <v>2.98E-2</v>
      </c>
      <c r="O9" s="1576">
        <f t="shared" si="7"/>
        <v>2.1099999999999997E-2</v>
      </c>
      <c r="P9" s="1576">
        <f t="shared" si="7"/>
        <v>3.2400000000000005E-2</v>
      </c>
      <c r="Q9" s="1576">
        <f t="shared" si="7"/>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4"/>
        <v>419.31181600000002</v>
      </c>
      <c r="C10" s="1580">
        <f>C11*(1+O10)</f>
        <v>313.95436800000004</v>
      </c>
      <c r="D10" s="1580">
        <f t="shared" si="5"/>
        <v>313.95436800000004</v>
      </c>
      <c r="E10" s="1580">
        <f t="shared" si="8"/>
        <v>596.63028431999999</v>
      </c>
      <c r="F10" s="1580">
        <f t="shared" si="8"/>
        <v>274.74220703999998</v>
      </c>
      <c r="G10" s="2709"/>
      <c r="H10" s="1567">
        <v>2</v>
      </c>
      <c r="I10" s="1567">
        <v>3.4</v>
      </c>
      <c r="J10" s="1567">
        <v>2</v>
      </c>
      <c r="K10" s="1567">
        <v>3.82</v>
      </c>
      <c r="L10" s="1582">
        <v>1.68</v>
      </c>
      <c r="M10" s="1574"/>
      <c r="N10" s="1575">
        <f t="shared" si="6"/>
        <v>3.4000000000000002E-2</v>
      </c>
      <c r="O10" s="1576">
        <f t="shared" si="7"/>
        <v>0.02</v>
      </c>
      <c r="P10" s="1576">
        <f t="shared" si="7"/>
        <v>3.8199999999999998E-2</v>
      </c>
      <c r="Q10" s="1576">
        <f t="shared" si="7"/>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4"/>
        <v>405.524</v>
      </c>
      <c r="C11" s="1580">
        <f>C12*(1+O11)</f>
        <v>307.79840000000002</v>
      </c>
      <c r="D11" s="1580">
        <f t="shared" si="5"/>
        <v>307.79840000000002</v>
      </c>
      <c r="E11" s="1580">
        <f t="shared" si="8"/>
        <v>574.67759999999998</v>
      </c>
      <c r="F11" s="1580">
        <f t="shared" si="8"/>
        <v>270.20280000000002</v>
      </c>
      <c r="G11" s="2710"/>
      <c r="H11" s="1566">
        <v>1</v>
      </c>
      <c r="I11" s="1566">
        <v>3.45</v>
      </c>
      <c r="J11" s="1566">
        <v>1.92</v>
      </c>
      <c r="K11" s="1566">
        <v>3.92</v>
      </c>
      <c r="L11" s="1581">
        <v>1.58</v>
      </c>
      <c r="M11" s="1574"/>
      <c r="N11" s="1575">
        <f t="shared" si="6"/>
        <v>3.4500000000000003E-2</v>
      </c>
      <c r="O11" s="1576">
        <f t="shared" ref="O11:Q26" si="9">J11/100</f>
        <v>1.9199999999999998E-2</v>
      </c>
      <c r="P11" s="1576">
        <f t="shared" si="9"/>
        <v>3.9199999999999999E-2</v>
      </c>
      <c r="Q11" s="1576">
        <f t="shared" si="9"/>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5"/>
        <v>302</v>
      </c>
      <c r="E12" s="1572">
        <v>553</v>
      </c>
      <c r="F12" s="1573">
        <v>266</v>
      </c>
      <c r="G12" s="3135">
        <v>2016</v>
      </c>
      <c r="H12" s="1564">
        <v>4</v>
      </c>
      <c r="I12" s="1564">
        <v>4.5599999999999996</v>
      </c>
      <c r="J12" s="1564">
        <v>2.15</v>
      </c>
      <c r="K12" s="1564">
        <v>5.32</v>
      </c>
      <c r="L12" s="1565">
        <v>1.57</v>
      </c>
      <c r="N12" s="1575">
        <f t="shared" si="6"/>
        <v>4.5599999999999995E-2</v>
      </c>
      <c r="O12" s="1576">
        <f t="shared" si="9"/>
        <v>2.1499999999999998E-2</v>
      </c>
      <c r="P12" s="1576">
        <f t="shared" si="9"/>
        <v>5.3200000000000004E-2</v>
      </c>
      <c r="Q12" s="1576">
        <f t="shared" si="9"/>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10">AE12</f>
        <v>1.55E-2</v>
      </c>
      <c r="AG12" s="1562">
        <f>ROUND(AVERAGE(K12:K$23)/100,4)</f>
        <v>2.5600000000000001E-2</v>
      </c>
      <c r="AH12" s="1562">
        <f>ROUND(AVERAGE(L12:L$23)/100,4)</f>
        <v>1.32E-2</v>
      </c>
    </row>
    <row r="13" spans="1:34">
      <c r="A13" s="1563" t="s">
        <v>103</v>
      </c>
      <c r="B13" s="1580">
        <f t="shared" ref="B13:C15" si="11">B12/(1+N12)</f>
        <v>374.90436113236416</v>
      </c>
      <c r="C13" s="1580">
        <f t="shared" si="11"/>
        <v>295.64366128242779</v>
      </c>
      <c r="D13" s="1580">
        <f t="shared" ref="D13:D72" si="12">C13</f>
        <v>295.64366128242779</v>
      </c>
      <c r="E13" s="1580">
        <f t="shared" ref="E13:F15" si="13">E12/(1+P12)</f>
        <v>525.06646410938095</v>
      </c>
      <c r="F13" s="1580">
        <f t="shared" si="13"/>
        <v>261.88835286009646</v>
      </c>
      <c r="G13" s="3130"/>
      <c r="H13" s="1566">
        <v>3</v>
      </c>
      <c r="I13" s="1566">
        <v>4.12</v>
      </c>
      <c r="J13" s="1566">
        <v>2</v>
      </c>
      <c r="K13" s="1566">
        <v>4.79</v>
      </c>
      <c r="L13" s="1581">
        <v>1.97</v>
      </c>
      <c r="N13" s="1575">
        <f t="shared" ref="N13:Q47" si="14">I13/100</f>
        <v>4.1200000000000001E-2</v>
      </c>
      <c r="O13" s="1576">
        <f t="shared" si="9"/>
        <v>0.02</v>
      </c>
      <c r="P13" s="1576">
        <f t="shared" si="9"/>
        <v>4.7899999999999998E-2</v>
      </c>
      <c r="Q13" s="1576">
        <f t="shared" si="9"/>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10"/>
        <v>1.49E-2</v>
      </c>
      <c r="AG13" s="1562">
        <f>ROUND(AVERAGE(K13:K$23)/100,4)</f>
        <v>2.3099999999999999E-2</v>
      </c>
      <c r="AH13" s="1562">
        <f>ROUND(AVERAGE(L13:L$23)/100,4)</f>
        <v>1.2999999999999999E-2</v>
      </c>
    </row>
    <row r="14" spans="1:34">
      <c r="A14" s="1563" t="s">
        <v>93</v>
      </c>
      <c r="B14" s="1580">
        <f t="shared" si="11"/>
        <v>360.06949782209392</v>
      </c>
      <c r="C14" s="1580">
        <f t="shared" si="11"/>
        <v>289.84672674747821</v>
      </c>
      <c r="D14" s="1580">
        <f t="shared" si="12"/>
        <v>289.84672674747821</v>
      </c>
      <c r="E14" s="1580">
        <f t="shared" si="13"/>
        <v>501.06543001181495</v>
      </c>
      <c r="F14" s="1580">
        <f t="shared" si="13"/>
        <v>256.82882500744967</v>
      </c>
      <c r="G14" s="3130"/>
      <c r="H14" s="1567">
        <v>2</v>
      </c>
      <c r="I14" s="1567">
        <v>3.85</v>
      </c>
      <c r="J14" s="1567">
        <v>1.95</v>
      </c>
      <c r="K14" s="1567">
        <v>4.4800000000000004</v>
      </c>
      <c r="L14" s="1582">
        <v>1.41</v>
      </c>
      <c r="N14" s="1575">
        <f t="shared" si="14"/>
        <v>3.85E-2</v>
      </c>
      <c r="O14" s="1576">
        <f t="shared" si="9"/>
        <v>1.95E-2</v>
      </c>
      <c r="P14" s="1576">
        <f t="shared" si="9"/>
        <v>4.4800000000000006E-2</v>
      </c>
      <c r="Q14" s="1576">
        <f t="shared" si="9"/>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10"/>
        <v>1.44E-2</v>
      </c>
      <c r="AG14" s="1562">
        <f>ROUND(AVERAGE(K14:K$23)/100,4)</f>
        <v>2.06E-2</v>
      </c>
      <c r="AH14" s="1562">
        <f>ROUND(AVERAGE(L14:L$23)/100,4)</f>
        <v>1.23E-2</v>
      </c>
    </row>
    <row r="15" spans="1:34" ht="13.5" thickBot="1">
      <c r="A15" s="1563" t="s">
        <v>102</v>
      </c>
      <c r="B15" s="1580">
        <f t="shared" si="11"/>
        <v>346.720748986128</v>
      </c>
      <c r="C15" s="1580">
        <f t="shared" si="11"/>
        <v>284.30282172386285</v>
      </c>
      <c r="D15" s="1580">
        <f t="shared" si="12"/>
        <v>284.30282172386285</v>
      </c>
      <c r="E15" s="1580">
        <f t="shared" si="13"/>
        <v>479.58023546306947</v>
      </c>
      <c r="F15" s="1580">
        <f t="shared" si="13"/>
        <v>253.25788877571213</v>
      </c>
      <c r="G15" s="3131"/>
      <c r="H15" s="1566">
        <v>1</v>
      </c>
      <c r="I15" s="1566">
        <v>4.09</v>
      </c>
      <c r="J15" s="1566">
        <v>2.93</v>
      </c>
      <c r="K15" s="1566">
        <v>4.54</v>
      </c>
      <c r="L15" s="1581">
        <v>1.48</v>
      </c>
      <c r="N15" s="1575">
        <f t="shared" si="14"/>
        <v>4.0899999999999999E-2</v>
      </c>
      <c r="O15" s="1576">
        <f t="shared" si="9"/>
        <v>2.9300000000000003E-2</v>
      </c>
      <c r="P15" s="1576">
        <f t="shared" si="9"/>
        <v>4.5400000000000003E-2</v>
      </c>
      <c r="Q15" s="1576">
        <f t="shared" si="9"/>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10"/>
        <v>1.38E-2</v>
      </c>
      <c r="AG15" s="1562">
        <f>ROUND(AVERAGE(K15:K$23)/100,4)</f>
        <v>1.7899999999999999E-2</v>
      </c>
      <c r="AH15" s="1562">
        <f>ROUND(AVERAGE(L15:L$23)/100,4)</f>
        <v>1.21E-2</v>
      </c>
    </row>
    <row r="16" spans="1:34" ht="13.5" thickBot="1">
      <c r="A16" s="1563" t="s">
        <v>101</v>
      </c>
      <c r="B16" s="1572">
        <v>333</v>
      </c>
      <c r="C16" s="1572">
        <v>277</v>
      </c>
      <c r="D16" s="1572">
        <f t="shared" si="12"/>
        <v>277</v>
      </c>
      <c r="E16" s="1572">
        <v>459</v>
      </c>
      <c r="F16" s="1573">
        <v>249</v>
      </c>
      <c r="G16" s="3129">
        <v>2015</v>
      </c>
      <c r="H16" s="1585">
        <v>4</v>
      </c>
      <c r="I16" s="1585">
        <v>1.63</v>
      </c>
      <c r="J16" s="1585">
        <v>1.1100000000000001</v>
      </c>
      <c r="K16" s="1585">
        <v>1.77</v>
      </c>
      <c r="L16" s="1586">
        <v>1.89</v>
      </c>
      <c r="N16" s="1587">
        <f t="shared" si="14"/>
        <v>1.6299999999999999E-2</v>
      </c>
      <c r="O16" s="1588">
        <f t="shared" si="9"/>
        <v>1.11E-2</v>
      </c>
      <c r="P16" s="1588">
        <f t="shared" si="9"/>
        <v>1.77E-2</v>
      </c>
      <c r="Q16" s="1588">
        <f t="shared" si="9"/>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10"/>
        <v>1.1900000000000001E-2</v>
      </c>
      <c r="AG16" s="1562">
        <f>ROUND(AVERAGE(K16:K$23)/100,4)</f>
        <v>1.4500000000000001E-2</v>
      </c>
      <c r="AH16" s="1562">
        <f>ROUND(AVERAGE(L16:L$23)/100,4)</f>
        <v>1.18E-2</v>
      </c>
    </row>
    <row r="17" spans="1:34">
      <c r="A17" s="1563" t="s">
        <v>100</v>
      </c>
      <c r="B17" s="1580">
        <f t="shared" ref="B17:C19" si="15">B16/(1+N16)</f>
        <v>327.65915576109415</v>
      </c>
      <c r="C17" s="1580">
        <f t="shared" si="15"/>
        <v>273.95905449510434</v>
      </c>
      <c r="D17" s="1580">
        <f t="shared" si="12"/>
        <v>273.95905449510434</v>
      </c>
      <c r="E17" s="1580">
        <f t="shared" ref="E17:F19" si="16">E16/(1+P16)</f>
        <v>451.01699911565294</v>
      </c>
      <c r="F17" s="1580">
        <f t="shared" si="16"/>
        <v>244.38119540681129</v>
      </c>
      <c r="G17" s="3130"/>
      <c r="H17" s="1590">
        <v>3</v>
      </c>
      <c r="I17" s="1590">
        <v>1.65</v>
      </c>
      <c r="J17" s="1590">
        <v>0.92</v>
      </c>
      <c r="K17" s="1590">
        <v>1.88</v>
      </c>
      <c r="L17" s="1591">
        <v>1.26</v>
      </c>
      <c r="N17" s="1575">
        <f t="shared" si="14"/>
        <v>1.6500000000000001E-2</v>
      </c>
      <c r="O17" s="1592">
        <f t="shared" si="9"/>
        <v>9.1999999999999998E-3</v>
      </c>
      <c r="P17" s="1592">
        <f t="shared" si="9"/>
        <v>1.8799999999999997E-2</v>
      </c>
      <c r="Q17" s="1592">
        <f t="shared" si="9"/>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10"/>
        <v>1.2E-2</v>
      </c>
      <c r="AG17" s="1562">
        <f>ROUND(AVERAGE(K17:K$23)/100,4)</f>
        <v>1.4E-2</v>
      </c>
      <c r="AH17" s="1562">
        <f>ROUND(AVERAGE(L17:L$23)/100,4)</f>
        <v>1.0800000000000001E-2</v>
      </c>
    </row>
    <row r="18" spans="1:34">
      <c r="A18" s="1563" t="s">
        <v>99</v>
      </c>
      <c r="B18" s="1580">
        <f t="shared" si="15"/>
        <v>322.34053690220776</v>
      </c>
      <c r="C18" s="1580">
        <f t="shared" si="15"/>
        <v>271.46160770422546</v>
      </c>
      <c r="D18" s="1580">
        <f t="shared" si="12"/>
        <v>271.46160770422546</v>
      </c>
      <c r="E18" s="1580">
        <f t="shared" si="16"/>
        <v>442.69434542172456</v>
      </c>
      <c r="F18" s="1580">
        <f t="shared" si="16"/>
        <v>241.34030753190925</v>
      </c>
      <c r="G18" s="3130"/>
      <c r="H18" s="1567">
        <v>2</v>
      </c>
      <c r="I18" s="1567">
        <v>0.77</v>
      </c>
      <c r="J18" s="1567">
        <v>0.69</v>
      </c>
      <c r="K18" s="1567">
        <v>0.8</v>
      </c>
      <c r="L18" s="1582">
        <v>0.88</v>
      </c>
      <c r="N18" s="1575">
        <f t="shared" si="14"/>
        <v>7.7000000000000002E-3</v>
      </c>
      <c r="O18" s="1592">
        <f t="shared" si="9"/>
        <v>6.8999999999999999E-3</v>
      </c>
      <c r="P18" s="1592">
        <f t="shared" si="9"/>
        <v>8.0000000000000002E-3</v>
      </c>
      <c r="Q18" s="1592">
        <f t="shared" si="9"/>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10"/>
        <v>1.2500000000000001E-2</v>
      </c>
      <c r="AG18" s="1562">
        <f>ROUND(AVERAGE(K18:K$23)/100,4)</f>
        <v>1.32E-2</v>
      </c>
      <c r="AH18" s="1562">
        <f>ROUND(AVERAGE(L18:L$23)/100,4)</f>
        <v>1.0500000000000001E-2</v>
      </c>
    </row>
    <row r="19" spans="1:34">
      <c r="A19" s="1563" t="s">
        <v>98</v>
      </c>
      <c r="B19" s="1580">
        <f t="shared" si="15"/>
        <v>319.87748030386797</v>
      </c>
      <c r="C19" s="1580">
        <f t="shared" si="15"/>
        <v>269.60135833173649</v>
      </c>
      <c r="D19" s="1580">
        <f t="shared" si="12"/>
        <v>269.60135833173649</v>
      </c>
      <c r="E19" s="1580">
        <f t="shared" si="16"/>
        <v>439.18089823583784</v>
      </c>
      <c r="F19" s="1580">
        <f t="shared" si="16"/>
        <v>239.23503918706311</v>
      </c>
      <c r="G19" s="3131"/>
      <c r="H19" s="1566">
        <v>1</v>
      </c>
      <c r="I19" s="1566">
        <v>0.51</v>
      </c>
      <c r="J19" s="1566">
        <v>0.54</v>
      </c>
      <c r="K19" s="1566">
        <v>0.48</v>
      </c>
      <c r="L19" s="1581">
        <v>0.93</v>
      </c>
      <c r="N19" s="1583">
        <f t="shared" si="14"/>
        <v>5.1000000000000004E-3</v>
      </c>
      <c r="O19" s="1584">
        <f t="shared" si="9"/>
        <v>5.4000000000000003E-3</v>
      </c>
      <c r="P19" s="1584">
        <f t="shared" si="9"/>
        <v>4.7999999999999996E-3</v>
      </c>
      <c r="Q19" s="1584">
        <f t="shared" si="9"/>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10"/>
        <v>1.3599999999999999E-2</v>
      </c>
      <c r="AG19" s="1562">
        <f>ROUND(AVERAGE(K19:K$23)/100,4)</f>
        <v>1.4200000000000001E-2</v>
      </c>
      <c r="AH19" s="1562">
        <f>ROUND(AVERAGE(L19:L$23)/100,4)</f>
        <v>1.0800000000000001E-2</v>
      </c>
    </row>
    <row r="20" spans="1:34" ht="13.5" thickBot="1">
      <c r="A20" s="1563" t="s">
        <v>97</v>
      </c>
      <c r="B20" s="1593">
        <v>318</v>
      </c>
      <c r="C20" s="1593">
        <v>268</v>
      </c>
      <c r="D20" s="1593">
        <f t="shared" si="12"/>
        <v>268</v>
      </c>
      <c r="E20" s="1593">
        <v>437</v>
      </c>
      <c r="F20" s="1594">
        <v>237</v>
      </c>
      <c r="G20" s="3129">
        <v>2014</v>
      </c>
      <c r="H20" s="1585">
        <v>4</v>
      </c>
      <c r="I20" s="1585">
        <v>0.21</v>
      </c>
      <c r="J20" s="1585">
        <v>0.41</v>
      </c>
      <c r="K20" s="1585">
        <v>0.12</v>
      </c>
      <c r="L20" s="1586">
        <v>0.89</v>
      </c>
      <c r="N20" s="1575">
        <f t="shared" si="14"/>
        <v>2.0999999999999999E-3</v>
      </c>
      <c r="O20" s="1576">
        <f t="shared" si="9"/>
        <v>4.0999999999999995E-3</v>
      </c>
      <c r="P20" s="1576">
        <f t="shared" si="9"/>
        <v>1.1999999999999999E-3</v>
      </c>
      <c r="Q20" s="1576">
        <f t="shared" si="9"/>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10"/>
        <v>1.5599999999999999E-2</v>
      </c>
      <c r="AG20" s="1562">
        <f>ROUND(AVERAGE(K20:K$23)/100,4)</f>
        <v>1.66E-2</v>
      </c>
      <c r="AH20" s="1562">
        <f>ROUND(AVERAGE(L20:L$23)/100,4)</f>
        <v>1.12E-2</v>
      </c>
    </row>
    <row r="21" spans="1:34">
      <c r="A21" s="1563" t="s">
        <v>96</v>
      </c>
      <c r="B21" s="1580">
        <f t="shared" ref="B21:C23" si="17">B20/(1+N20)</f>
        <v>317.33359944117353</v>
      </c>
      <c r="C21" s="1580">
        <f t="shared" si="17"/>
        <v>266.90568668459315</v>
      </c>
      <c r="D21" s="1580">
        <f t="shared" si="12"/>
        <v>266.90568668459315</v>
      </c>
      <c r="E21" s="1580">
        <f t="shared" ref="E21:F23" si="18">E20/(1+P20)</f>
        <v>436.47622852576905</v>
      </c>
      <c r="F21" s="1580">
        <f t="shared" si="18"/>
        <v>234.90930716622066</v>
      </c>
      <c r="G21" s="3130"/>
      <c r="H21" s="1595">
        <v>3</v>
      </c>
      <c r="I21" s="1595">
        <v>0.83</v>
      </c>
      <c r="J21" s="1595">
        <v>1.47</v>
      </c>
      <c r="K21" s="1595">
        <v>0.65</v>
      </c>
      <c r="L21" s="1596">
        <v>0.72</v>
      </c>
      <c r="N21" s="1575">
        <f t="shared" si="14"/>
        <v>8.3000000000000001E-3</v>
      </c>
      <c r="O21" s="1576">
        <f t="shared" si="9"/>
        <v>1.47E-2</v>
      </c>
      <c r="P21" s="1576">
        <f t="shared" si="9"/>
        <v>6.5000000000000006E-3</v>
      </c>
      <c r="Q21" s="1576">
        <f t="shared" si="9"/>
        <v>7.1999999999999998E-3</v>
      </c>
      <c r="R21" s="1577"/>
      <c r="S21" s="1575"/>
      <c r="T21" s="1576"/>
      <c r="U21" s="1576"/>
      <c r="V21" s="1576"/>
      <c r="X21" s="1561">
        <f>ROUND(SUMPRODUCT(PRODUCT(1+N21:N$22)),4)</f>
        <v>1.0325</v>
      </c>
      <c r="Y21" s="1561">
        <f>ROUND(SUMPRODUCT(PRODUCT(1+O21:O$22)),4)</f>
        <v>1.0353000000000001</v>
      </c>
      <c r="Z21" s="1561">
        <f>Y21</f>
        <v>1.0353000000000001</v>
      </c>
      <c r="AA21" s="1561">
        <f>ROUND(SUMPRODUCT(PRODUCT(1+P21:P$22)),4)</f>
        <v>1.0326</v>
      </c>
      <c r="AB21" s="1561">
        <f>ROUND(SUMPRODUCT(PRODUCT(1+Q21:Q$22)),4)</f>
        <v>1.0225</v>
      </c>
      <c r="AD21" s="1562">
        <f>ROUND(AVERAGE(I21:I$23)/100,4)</f>
        <v>2.07E-2</v>
      </c>
      <c r="AE21" s="1562">
        <f>ROUND(AVERAGE(J21:J$23)/100,4)</f>
        <v>1.95E-2</v>
      </c>
      <c r="AF21" s="1562">
        <f t="shared" si="10"/>
        <v>1.95E-2</v>
      </c>
      <c r="AG21" s="1562">
        <f>ROUND(AVERAGE(K21:K$23)/100,4)</f>
        <v>2.1700000000000001E-2</v>
      </c>
      <c r="AH21" s="1562">
        <f>ROUND(AVERAGE(L21:L$23)/100,4)</f>
        <v>1.2E-2</v>
      </c>
    </row>
    <row r="22" spans="1:34" ht="13.5" thickBot="1">
      <c r="A22" s="1563" t="s">
        <v>95</v>
      </c>
      <c r="B22" s="1580">
        <f t="shared" si="17"/>
        <v>314.72141172386546</v>
      </c>
      <c r="C22" s="1580">
        <f t="shared" si="17"/>
        <v>263.03901319069001</v>
      </c>
      <c r="D22" s="1580">
        <f t="shared" si="12"/>
        <v>263.03901319069001</v>
      </c>
      <c r="E22" s="1580">
        <f t="shared" si="18"/>
        <v>433.65745506782821</v>
      </c>
      <c r="F22" s="1580">
        <f t="shared" si="18"/>
        <v>233.23005080045735</v>
      </c>
      <c r="G22" s="3130"/>
      <c r="H22" s="1585">
        <v>2</v>
      </c>
      <c r="I22" s="1585">
        <v>2.4</v>
      </c>
      <c r="J22" s="1585">
        <v>2.0299999999999998</v>
      </c>
      <c r="K22" s="1585">
        <v>2.59</v>
      </c>
      <c r="L22" s="1586">
        <v>1.52</v>
      </c>
      <c r="N22" s="1575">
        <f t="shared" si="14"/>
        <v>2.4E-2</v>
      </c>
      <c r="O22" s="1576">
        <f t="shared" si="9"/>
        <v>2.0299999999999999E-2</v>
      </c>
      <c r="P22" s="1576">
        <f t="shared" si="9"/>
        <v>2.5899999999999999E-2</v>
      </c>
      <c r="Q22" s="1576">
        <f t="shared" si="9"/>
        <v>1.52E-2</v>
      </c>
      <c r="R22" s="1577"/>
      <c r="S22" s="1575"/>
      <c r="T22" s="1576"/>
      <c r="U22" s="1576"/>
      <c r="V22" s="1576"/>
      <c r="X22" s="1561">
        <f>1+N22</f>
        <v>1.024</v>
      </c>
      <c r="Y22" s="1561">
        <f>1+O22</f>
        <v>1.0203</v>
      </c>
      <c r="Z22" s="1561">
        <f>Y22</f>
        <v>1.0203</v>
      </c>
      <c r="AA22" s="1561">
        <f>1+P22</f>
        <v>1.0259</v>
      </c>
      <c r="AB22" s="1561">
        <f>1+Q22</f>
        <v>1.0152000000000001</v>
      </c>
      <c r="AD22" s="1562">
        <f>ROUND(AVERAGE(I22:I$23)/100,4)</f>
        <v>2.69E-2</v>
      </c>
      <c r="AE22" s="1562">
        <f>ROUND(AVERAGE(J22:J$23)/100,4)</f>
        <v>2.1899999999999999E-2</v>
      </c>
      <c r="AF22" s="1562">
        <f>AE22</f>
        <v>2.1899999999999999E-2</v>
      </c>
      <c r="AG22" s="1562">
        <f>ROUND(AVERAGE(K22:K$23)/100,4)</f>
        <v>2.9399999999999999E-2</v>
      </c>
      <c r="AH22" s="1562">
        <f>ROUND(AVERAGE(L22:L$23)/100,4)</f>
        <v>1.44E-2</v>
      </c>
    </row>
    <row r="23" spans="1:34" s="1601" customFormat="1" ht="13.5" thickBot="1">
      <c r="A23" s="1597" t="s">
        <v>94</v>
      </c>
      <c r="B23" s="1598">
        <f t="shared" si="17"/>
        <v>307.34512863658733</v>
      </c>
      <c r="C23" s="1598">
        <f t="shared" si="17"/>
        <v>257.80556031626975</v>
      </c>
      <c r="D23" s="1598">
        <f t="shared" si="12"/>
        <v>257.80556031626975</v>
      </c>
      <c r="E23" s="1598">
        <f t="shared" si="18"/>
        <v>422.70928459677179</v>
      </c>
      <c r="F23" s="1598">
        <f t="shared" si="18"/>
        <v>229.73803270336617</v>
      </c>
      <c r="G23" s="3131"/>
      <c r="H23" s="1599">
        <v>1</v>
      </c>
      <c r="I23" s="1599">
        <v>2.97</v>
      </c>
      <c r="J23" s="1599">
        <v>2.34</v>
      </c>
      <c r="K23" s="1599">
        <v>3.28</v>
      </c>
      <c r="L23" s="1600">
        <v>1.36</v>
      </c>
      <c r="N23" s="1602">
        <f t="shared" si="14"/>
        <v>2.9700000000000001E-2</v>
      </c>
      <c r="O23" s="1603">
        <f t="shared" si="9"/>
        <v>2.3399999999999997E-2</v>
      </c>
      <c r="P23" s="1603">
        <f t="shared" si="9"/>
        <v>3.2799999999999996E-2</v>
      </c>
      <c r="Q23" s="1603">
        <f t="shared" si="9"/>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12"/>
        <v>252</v>
      </c>
      <c r="E24" s="1572">
        <v>409</v>
      </c>
      <c r="F24" s="1573">
        <v>227</v>
      </c>
      <c r="G24" s="3136">
        <v>2013</v>
      </c>
      <c r="H24" s="1609">
        <v>4</v>
      </c>
      <c r="I24" s="1609">
        <v>1.83</v>
      </c>
      <c r="J24" s="1609">
        <v>1.68</v>
      </c>
      <c r="K24" s="1609">
        <v>1.97</v>
      </c>
      <c r="L24" s="1610">
        <v>0.87</v>
      </c>
      <c r="N24" s="1587">
        <f t="shared" si="14"/>
        <v>1.83E-2</v>
      </c>
      <c r="O24" s="1588">
        <f t="shared" si="9"/>
        <v>1.6799999999999999E-2</v>
      </c>
      <c r="P24" s="1588">
        <f t="shared" si="9"/>
        <v>1.9699999999999999E-2</v>
      </c>
      <c r="Q24" s="1588">
        <f t="shared" si="9"/>
        <v>8.6999999999999994E-3</v>
      </c>
      <c r="R24" s="1577"/>
      <c r="S24" s="1578"/>
      <c r="T24" s="1579"/>
      <c r="U24" s="1579"/>
      <c r="V24" s="1579"/>
      <c r="X24" s="1579"/>
      <c r="Y24" s="1579"/>
      <c r="Z24" s="1579"/>
    </row>
    <row r="25" spans="1:34">
      <c r="A25" s="1563" t="s">
        <v>1052</v>
      </c>
      <c r="B25" s="1580">
        <f t="shared" ref="B25:C27" si="19">B24/(1+N24)</f>
        <v>293.62663262299913</v>
      </c>
      <c r="C25" s="1580">
        <f t="shared" si="19"/>
        <v>247.83634933123525</v>
      </c>
      <c r="D25" s="1580">
        <f t="shared" si="12"/>
        <v>247.83634933123525</v>
      </c>
      <c r="E25" s="1580">
        <f t="shared" ref="E25:F27" si="20">E24/(1+P24)</f>
        <v>401.09836226341076</v>
      </c>
      <c r="F25" s="1580">
        <f t="shared" si="20"/>
        <v>225.04213343908003</v>
      </c>
      <c r="G25" s="3137"/>
      <c r="H25" s="1590">
        <v>3</v>
      </c>
      <c r="I25" s="1590">
        <v>1.86</v>
      </c>
      <c r="J25" s="1590">
        <v>1.72</v>
      </c>
      <c r="K25" s="1590">
        <v>1.98</v>
      </c>
      <c r="L25" s="1591">
        <v>0.88</v>
      </c>
      <c r="N25" s="1575">
        <f t="shared" si="14"/>
        <v>1.8600000000000002E-2</v>
      </c>
      <c r="O25" s="1592">
        <f t="shared" si="9"/>
        <v>1.72E-2</v>
      </c>
      <c r="P25" s="1592">
        <f t="shared" si="9"/>
        <v>1.9799999999999998E-2</v>
      </c>
      <c r="Q25" s="1592">
        <f t="shared" si="9"/>
        <v>8.8000000000000005E-3</v>
      </c>
      <c r="R25" s="1577"/>
      <c r="S25" s="1575"/>
      <c r="T25" s="1576"/>
      <c r="U25" s="1576"/>
      <c r="V25" s="1576"/>
    </row>
    <row r="26" spans="1:34">
      <c r="A26" s="1563" t="s">
        <v>1053</v>
      </c>
      <c r="B26" s="1580">
        <f t="shared" si="19"/>
        <v>288.2649053828776</v>
      </c>
      <c r="C26" s="1580">
        <f t="shared" si="19"/>
        <v>243.64564425013293</v>
      </c>
      <c r="D26" s="1580">
        <f t="shared" si="12"/>
        <v>243.64564425013293</v>
      </c>
      <c r="E26" s="1580">
        <f t="shared" si="20"/>
        <v>393.31080825986544</v>
      </c>
      <c r="F26" s="1580">
        <f t="shared" si="20"/>
        <v>223.07903790551154</v>
      </c>
      <c r="G26" s="3137"/>
      <c r="H26" s="1567">
        <v>2</v>
      </c>
      <c r="I26" s="1567">
        <v>2.04</v>
      </c>
      <c r="J26" s="1567">
        <v>2.33</v>
      </c>
      <c r="K26" s="1567">
        <v>2.0699999999999998</v>
      </c>
      <c r="L26" s="1582">
        <v>0.69</v>
      </c>
      <c r="N26" s="1575">
        <f t="shared" si="14"/>
        <v>2.0400000000000001E-2</v>
      </c>
      <c r="O26" s="1592">
        <f t="shared" si="9"/>
        <v>2.3300000000000001E-2</v>
      </c>
      <c r="P26" s="1592">
        <f t="shared" si="9"/>
        <v>2.07E-2</v>
      </c>
      <c r="Q26" s="1592">
        <f t="shared" si="9"/>
        <v>6.8999999999999999E-3</v>
      </c>
      <c r="R26" s="1577"/>
      <c r="S26" s="1575"/>
      <c r="T26" s="1576"/>
      <c r="U26" s="1576"/>
      <c r="V26" s="1576"/>
      <c r="X26" s="1611"/>
      <c r="Y26" s="1612"/>
    </row>
    <row r="27" spans="1:34">
      <c r="A27" s="1563" t="s">
        <v>1054</v>
      </c>
      <c r="B27" s="1580">
        <f t="shared" si="19"/>
        <v>282.50186729015837</v>
      </c>
      <c r="C27" s="1580">
        <f t="shared" si="19"/>
        <v>238.09796174155468</v>
      </c>
      <c r="D27" s="1580">
        <f t="shared" si="12"/>
        <v>238.09796174155468</v>
      </c>
      <c r="E27" s="1580">
        <f t="shared" si="20"/>
        <v>385.33438646014054</v>
      </c>
      <c r="F27" s="1580">
        <f t="shared" si="20"/>
        <v>221.55034055567739</v>
      </c>
      <c r="G27" s="3138"/>
      <c r="H27" s="1566">
        <v>1</v>
      </c>
      <c r="I27" s="1566">
        <v>1.67</v>
      </c>
      <c r="J27" s="1566">
        <v>1.31</v>
      </c>
      <c r="K27" s="1566">
        <v>1.85</v>
      </c>
      <c r="L27" s="1581">
        <v>0.96</v>
      </c>
      <c r="N27" s="1583">
        <f t="shared" si="14"/>
        <v>1.67E-2</v>
      </c>
      <c r="O27" s="1584">
        <f t="shared" si="14"/>
        <v>1.3100000000000001E-2</v>
      </c>
      <c r="P27" s="1584">
        <f t="shared" si="14"/>
        <v>1.8500000000000003E-2</v>
      </c>
      <c r="Q27" s="1584">
        <f t="shared" si="14"/>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12"/>
        <v>234</v>
      </c>
      <c r="E28" s="1614">
        <v>379</v>
      </c>
      <c r="F28" s="1615">
        <v>220</v>
      </c>
      <c r="G28" s="3129">
        <v>2012</v>
      </c>
      <c r="H28" s="1585">
        <v>4</v>
      </c>
      <c r="I28" s="1585">
        <v>0.91</v>
      </c>
      <c r="J28" s="1585">
        <v>0.68</v>
      </c>
      <c r="K28" s="1585">
        <v>0.98</v>
      </c>
      <c r="L28" s="1586">
        <v>0.9</v>
      </c>
      <c r="N28" s="1575">
        <f t="shared" si="14"/>
        <v>9.1000000000000004E-3</v>
      </c>
      <c r="O28" s="1576">
        <f t="shared" si="14"/>
        <v>6.8000000000000005E-3</v>
      </c>
      <c r="P28" s="1576">
        <f t="shared" si="14"/>
        <v>9.7999999999999997E-3</v>
      </c>
      <c r="Q28" s="1576">
        <f t="shared" si="14"/>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12"/>
        <v>232.41954707985698</v>
      </c>
      <c r="E29" s="1580">
        <f t="shared" ref="E29:F31" si="21">E28/(1+P28)</f>
        <v>375.32184591008121</v>
      </c>
      <c r="F29" s="1580">
        <f t="shared" si="21"/>
        <v>218.03766105054513</v>
      </c>
      <c r="G29" s="3130"/>
      <c r="H29" s="1590">
        <v>3</v>
      </c>
      <c r="I29" s="1590">
        <v>0.09</v>
      </c>
      <c r="J29" s="1590">
        <v>0.28999999999999998</v>
      </c>
      <c r="K29" s="1590">
        <v>-0.01</v>
      </c>
      <c r="L29" s="1591">
        <v>0.57999999999999996</v>
      </c>
      <c r="N29" s="1575">
        <f t="shared" si="14"/>
        <v>8.9999999999999998E-4</v>
      </c>
      <c r="O29" s="1576">
        <f t="shared" si="14"/>
        <v>2.8999999999999998E-3</v>
      </c>
      <c r="P29" s="1576">
        <f t="shared" si="14"/>
        <v>-1E-4</v>
      </c>
      <c r="Q29" s="1576">
        <f t="shared" si="14"/>
        <v>5.7999999999999996E-3</v>
      </c>
      <c r="R29" s="1577"/>
      <c r="S29" s="1575"/>
      <c r="T29" s="1576"/>
      <c r="U29" s="1576"/>
      <c r="V29" s="1576"/>
    </row>
    <row r="30" spans="1:34">
      <c r="A30" s="1563" t="s">
        <v>1057</v>
      </c>
      <c r="B30" s="1580">
        <f>B29/(1+N29)</f>
        <v>275.24529281292263</v>
      </c>
      <c r="C30" s="1580">
        <f>C29/(1+O29)</f>
        <v>231.74747938962707</v>
      </c>
      <c r="D30" s="1580">
        <f t="shared" si="12"/>
        <v>231.74747938962707</v>
      </c>
      <c r="E30" s="1580">
        <f t="shared" si="21"/>
        <v>375.35938184826603</v>
      </c>
      <c r="F30" s="1580">
        <f t="shared" si="21"/>
        <v>216.78033510692495</v>
      </c>
      <c r="G30" s="3130"/>
      <c r="H30" s="1567">
        <v>2</v>
      </c>
      <c r="I30" s="1567">
        <v>0.02</v>
      </c>
      <c r="J30" s="1567">
        <v>0.12</v>
      </c>
      <c r="K30" s="1567">
        <v>-0.08</v>
      </c>
      <c r="L30" s="1582">
        <v>1.24</v>
      </c>
      <c r="N30" s="1575">
        <f t="shared" si="14"/>
        <v>2.0000000000000001E-4</v>
      </c>
      <c r="O30" s="1576">
        <f t="shared" si="14"/>
        <v>1.1999999999999999E-3</v>
      </c>
      <c r="P30" s="1576">
        <f t="shared" si="14"/>
        <v>-8.0000000000000004E-4</v>
      </c>
      <c r="Q30" s="1576">
        <f t="shared" si="14"/>
        <v>1.24E-2</v>
      </c>
      <c r="R30" s="1577"/>
      <c r="S30" s="1575"/>
      <c r="T30" s="1576"/>
      <c r="U30" s="1576"/>
      <c r="V30" s="1576"/>
    </row>
    <row r="31" spans="1:34" ht="13.5" thickBot="1">
      <c r="A31" s="1563" t="s">
        <v>1058</v>
      </c>
      <c r="B31" s="1580">
        <f>B30/(1+N30)</f>
        <v>275.19025476197027</v>
      </c>
      <c r="C31" s="1616">
        <v>232</v>
      </c>
      <c r="D31" s="1616">
        <f t="shared" si="12"/>
        <v>232</v>
      </c>
      <c r="E31" s="1580">
        <f t="shared" si="21"/>
        <v>375.65990977608692</v>
      </c>
      <c r="F31" s="1580">
        <f t="shared" si="21"/>
        <v>214.12518283971252</v>
      </c>
      <c r="G31" s="3131"/>
      <c r="H31" s="1566">
        <v>1</v>
      </c>
      <c r="I31" s="1566">
        <v>0.02</v>
      </c>
      <c r="J31" s="1566">
        <v>0.13</v>
      </c>
      <c r="K31" s="1566">
        <v>-0.04</v>
      </c>
      <c r="L31" s="1581">
        <v>0.46</v>
      </c>
      <c r="N31" s="1575">
        <f t="shared" si="14"/>
        <v>2.0000000000000001E-4</v>
      </c>
      <c r="O31" s="1576">
        <f t="shared" si="14"/>
        <v>1.2999999999999999E-3</v>
      </c>
      <c r="P31" s="1576">
        <f t="shared" si="14"/>
        <v>-4.0000000000000002E-4</v>
      </c>
      <c r="Q31" s="1576">
        <f t="shared" si="14"/>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12"/>
        <v>232</v>
      </c>
      <c r="E32" s="1572">
        <v>376</v>
      </c>
      <c r="F32" s="1573">
        <v>213</v>
      </c>
      <c r="G32" s="3129">
        <v>2011</v>
      </c>
      <c r="H32" s="1585">
        <v>4</v>
      </c>
      <c r="I32" s="1585">
        <v>-0.2</v>
      </c>
      <c r="J32" s="1585">
        <v>0.04</v>
      </c>
      <c r="K32" s="1585">
        <v>-0.34</v>
      </c>
      <c r="L32" s="1586">
        <v>0.46</v>
      </c>
      <c r="N32" s="1587">
        <f t="shared" si="14"/>
        <v>-2E-3</v>
      </c>
      <c r="O32" s="1588">
        <f t="shared" si="14"/>
        <v>4.0000000000000002E-4</v>
      </c>
      <c r="P32" s="1588">
        <f t="shared" si="14"/>
        <v>-3.4000000000000002E-3</v>
      </c>
      <c r="Q32" s="1588">
        <f t="shared" si="14"/>
        <v>4.5999999999999999E-3</v>
      </c>
      <c r="R32" s="1577"/>
      <c r="S32" s="1578"/>
      <c r="T32" s="1579"/>
      <c r="U32" s="1579"/>
      <c r="V32" s="1579"/>
      <c r="X32" s="1579"/>
      <c r="Y32" s="1579"/>
      <c r="Z32" s="1579"/>
    </row>
    <row r="33" spans="1:26">
      <c r="A33" s="1563" t="s">
        <v>1060</v>
      </c>
      <c r="B33" s="1580">
        <f t="shared" ref="B33:C35" si="22">B32/(1+N32)</f>
        <v>275.55110220440883</v>
      </c>
      <c r="C33" s="1580">
        <f t="shared" si="22"/>
        <v>231.90723710515795</v>
      </c>
      <c r="D33" s="1580">
        <f t="shared" si="12"/>
        <v>231.90723710515795</v>
      </c>
      <c r="E33" s="1580">
        <f t="shared" ref="E33:F35" si="23">E32/(1+P32)</f>
        <v>377.28276138872161</v>
      </c>
      <c r="F33" s="1580">
        <f t="shared" si="23"/>
        <v>212.02468644236512</v>
      </c>
      <c r="G33" s="3130">
        <v>2011</v>
      </c>
      <c r="H33" s="1590">
        <v>3</v>
      </c>
      <c r="I33" s="1590">
        <v>0.13</v>
      </c>
      <c r="J33" s="1590">
        <v>0.75</v>
      </c>
      <c r="K33" s="1590">
        <v>-0.08</v>
      </c>
      <c r="L33" s="1591">
        <v>0.53</v>
      </c>
      <c r="N33" s="1575">
        <f t="shared" si="14"/>
        <v>1.2999999999999999E-3</v>
      </c>
      <c r="O33" s="1592">
        <f t="shared" si="14"/>
        <v>7.4999999999999997E-3</v>
      </c>
      <c r="P33" s="1592">
        <f t="shared" si="14"/>
        <v>-8.0000000000000004E-4</v>
      </c>
      <c r="Q33" s="1592">
        <f t="shared" si="14"/>
        <v>5.3E-3</v>
      </c>
      <c r="R33" s="1577"/>
      <c r="S33" s="1575"/>
      <c r="T33" s="1576"/>
      <c r="U33" s="1576"/>
      <c r="V33" s="1576"/>
    </row>
    <row r="34" spans="1:26">
      <c r="A34" s="1563" t="s">
        <v>1061</v>
      </c>
      <c r="B34" s="1580">
        <f t="shared" si="22"/>
        <v>275.19335084830601</v>
      </c>
      <c r="C34" s="1580">
        <f t="shared" si="22"/>
        <v>230.18088050139744</v>
      </c>
      <c r="D34" s="1580">
        <f t="shared" si="12"/>
        <v>230.18088050139744</v>
      </c>
      <c r="E34" s="1580">
        <f t="shared" si="23"/>
        <v>377.58482925212331</v>
      </c>
      <c r="F34" s="1580">
        <f t="shared" si="23"/>
        <v>210.90687997847917</v>
      </c>
      <c r="G34" s="3130">
        <v>2011</v>
      </c>
      <c r="H34" s="1567">
        <v>2</v>
      </c>
      <c r="I34" s="1567">
        <v>-0.4</v>
      </c>
      <c r="J34" s="1567">
        <v>0.17</v>
      </c>
      <c r="K34" s="1567">
        <v>-0.57999999999999996</v>
      </c>
      <c r="L34" s="1582">
        <v>-0.2</v>
      </c>
      <c r="N34" s="1575">
        <f t="shared" si="14"/>
        <v>-4.0000000000000001E-3</v>
      </c>
      <c r="O34" s="1592">
        <f t="shared" si="14"/>
        <v>1.7000000000000001E-3</v>
      </c>
      <c r="P34" s="1592">
        <f t="shared" si="14"/>
        <v>-5.7999999999999996E-3</v>
      </c>
      <c r="Q34" s="1592">
        <f t="shared" si="14"/>
        <v>-2E-3</v>
      </c>
      <c r="R34" s="1577"/>
      <c r="S34" s="1575"/>
      <c r="T34" s="1576"/>
      <c r="U34" s="1576"/>
      <c r="V34" s="1576"/>
    </row>
    <row r="35" spans="1:26" ht="13.5" thickBot="1">
      <c r="A35" s="1563" t="s">
        <v>1062</v>
      </c>
      <c r="B35" s="1580">
        <f t="shared" si="22"/>
        <v>276.29854502841971</v>
      </c>
      <c r="C35" s="1580">
        <f t="shared" si="22"/>
        <v>229.79023709833027</v>
      </c>
      <c r="D35" s="1580">
        <f t="shared" si="12"/>
        <v>229.79023709833027</v>
      </c>
      <c r="E35" s="1580">
        <f t="shared" si="23"/>
        <v>379.78759731655936</v>
      </c>
      <c r="F35" s="1580">
        <f t="shared" si="23"/>
        <v>211.32953905659235</v>
      </c>
      <c r="G35" s="3131">
        <v>2011</v>
      </c>
      <c r="H35" s="1566">
        <v>1</v>
      </c>
      <c r="I35" s="1566">
        <v>2.65</v>
      </c>
      <c r="J35" s="1566">
        <v>3.76</v>
      </c>
      <c r="K35" s="1566">
        <v>1.89</v>
      </c>
      <c r="L35" s="1581">
        <v>7.95</v>
      </c>
      <c r="N35" s="1583">
        <f t="shared" si="14"/>
        <v>2.6499999999999999E-2</v>
      </c>
      <c r="O35" s="1584">
        <f t="shared" si="14"/>
        <v>3.7599999999999995E-2</v>
      </c>
      <c r="P35" s="1584">
        <f t="shared" si="14"/>
        <v>1.89E-2</v>
      </c>
      <c r="Q35" s="1584">
        <f t="shared" si="14"/>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12"/>
        <v>221</v>
      </c>
      <c r="E36" s="1572">
        <v>373</v>
      </c>
      <c r="F36" s="1573">
        <v>196</v>
      </c>
      <c r="G36" s="3129">
        <v>2010</v>
      </c>
      <c r="H36" s="1585">
        <v>4</v>
      </c>
      <c r="I36" s="1585">
        <v>5.72</v>
      </c>
      <c r="J36" s="1585">
        <v>6.57</v>
      </c>
      <c r="K36" s="1585">
        <v>5.72</v>
      </c>
      <c r="L36" s="1586">
        <v>2.72</v>
      </c>
      <c r="N36" s="1575">
        <f t="shared" si="14"/>
        <v>5.7200000000000001E-2</v>
      </c>
      <c r="O36" s="1576">
        <f t="shared" si="14"/>
        <v>6.5700000000000008E-2</v>
      </c>
      <c r="P36" s="1576">
        <f t="shared" si="14"/>
        <v>5.7200000000000001E-2</v>
      </c>
      <c r="Q36" s="1576">
        <f t="shared" si="14"/>
        <v>2.7200000000000002E-2</v>
      </c>
      <c r="R36" s="1577"/>
      <c r="S36" s="1578"/>
      <c r="T36" s="1579"/>
      <c r="U36" s="1579"/>
      <c r="V36" s="1579"/>
      <c r="X36" s="1579"/>
      <c r="Y36" s="1579"/>
      <c r="Z36" s="1579"/>
    </row>
    <row r="37" spans="1:26">
      <c r="A37" s="1563" t="s">
        <v>1064</v>
      </c>
      <c r="B37" s="1580">
        <f t="shared" ref="B37:C39" si="24">B36/(1+N36)</f>
        <v>254.44570563753314</v>
      </c>
      <c r="C37" s="1580">
        <f t="shared" si="24"/>
        <v>207.37543398705074</v>
      </c>
      <c r="D37" s="1580">
        <f t="shared" si="12"/>
        <v>207.37543398705074</v>
      </c>
      <c r="E37" s="1580">
        <f t="shared" ref="E37:F39" si="25">E36/(1+P36)</f>
        <v>352.81876655315932</v>
      </c>
      <c r="F37" s="1580">
        <f t="shared" si="25"/>
        <v>190.809968847352</v>
      </c>
      <c r="G37" s="3130">
        <v>2010</v>
      </c>
      <c r="H37" s="1590">
        <v>3</v>
      </c>
      <c r="I37" s="1590">
        <v>4.7300000000000004</v>
      </c>
      <c r="J37" s="1590">
        <v>3.9</v>
      </c>
      <c r="K37" s="1590">
        <v>5.03</v>
      </c>
      <c r="L37" s="1591">
        <v>4.21</v>
      </c>
      <c r="N37" s="1575">
        <f t="shared" si="14"/>
        <v>4.7300000000000002E-2</v>
      </c>
      <c r="O37" s="1576">
        <f t="shared" si="14"/>
        <v>3.9E-2</v>
      </c>
      <c r="P37" s="1576">
        <f t="shared" si="14"/>
        <v>5.0300000000000004E-2</v>
      </c>
      <c r="Q37" s="1576">
        <f t="shared" si="14"/>
        <v>4.2099999999999999E-2</v>
      </c>
      <c r="R37" s="1577"/>
      <c r="S37" s="1575"/>
      <c r="T37" s="1576"/>
      <c r="U37" s="1576"/>
      <c r="V37" s="1576"/>
    </row>
    <row r="38" spans="1:26">
      <c r="A38" s="1563" t="s">
        <v>1065</v>
      </c>
      <c r="B38" s="1580">
        <f t="shared" si="24"/>
        <v>242.95398227588385</v>
      </c>
      <c r="C38" s="1580">
        <f t="shared" si="24"/>
        <v>199.59137053614126</v>
      </c>
      <c r="D38" s="1580">
        <f t="shared" si="12"/>
        <v>199.59137053614126</v>
      </c>
      <c r="E38" s="1580">
        <f t="shared" si="25"/>
        <v>335.92189522342125</v>
      </c>
      <c r="F38" s="1580">
        <f t="shared" si="25"/>
        <v>183.10139991109489</v>
      </c>
      <c r="G38" s="3130">
        <v>2010</v>
      </c>
      <c r="H38" s="1567">
        <v>2</v>
      </c>
      <c r="I38" s="1567">
        <v>4.6900000000000004</v>
      </c>
      <c r="J38" s="1567">
        <v>3.55</v>
      </c>
      <c r="K38" s="1567">
        <v>5.07</v>
      </c>
      <c r="L38" s="1582">
        <v>4.2300000000000004</v>
      </c>
      <c r="N38" s="1575">
        <f t="shared" si="14"/>
        <v>4.6900000000000004E-2</v>
      </c>
      <c r="O38" s="1576">
        <f t="shared" si="14"/>
        <v>3.5499999999999997E-2</v>
      </c>
      <c r="P38" s="1576">
        <f t="shared" si="14"/>
        <v>5.0700000000000002E-2</v>
      </c>
      <c r="Q38" s="1576">
        <f t="shared" si="14"/>
        <v>4.2300000000000004E-2</v>
      </c>
      <c r="R38" s="1577"/>
      <c r="S38" s="1575"/>
      <c r="T38" s="1576"/>
      <c r="U38" s="1576"/>
      <c r="V38" s="1576"/>
    </row>
    <row r="39" spans="1:26" ht="13.5" thickBot="1">
      <c r="A39" s="1563" t="s">
        <v>1066</v>
      </c>
      <c r="B39" s="1580">
        <f t="shared" si="24"/>
        <v>232.06990378821649</v>
      </c>
      <c r="C39" s="1580">
        <f t="shared" si="24"/>
        <v>192.74878854286936</v>
      </c>
      <c r="D39" s="1580">
        <f t="shared" si="12"/>
        <v>192.74878854286936</v>
      </c>
      <c r="E39" s="1580">
        <f t="shared" si="25"/>
        <v>319.71247284992984</v>
      </c>
      <c r="F39" s="1580">
        <f t="shared" si="25"/>
        <v>175.67053622862409</v>
      </c>
      <c r="G39" s="3131">
        <v>2010</v>
      </c>
      <c r="H39" s="1566">
        <v>1</v>
      </c>
      <c r="I39" s="1566">
        <v>5.4</v>
      </c>
      <c r="J39" s="1566">
        <v>3.2</v>
      </c>
      <c r="K39" s="1566">
        <v>6.16</v>
      </c>
      <c r="L39" s="1581">
        <v>4.51</v>
      </c>
      <c r="N39" s="1575">
        <f t="shared" si="14"/>
        <v>5.4000000000000006E-2</v>
      </c>
      <c r="O39" s="1576">
        <f t="shared" si="14"/>
        <v>3.2000000000000001E-2</v>
      </c>
      <c r="P39" s="1576">
        <f t="shared" si="14"/>
        <v>6.1600000000000002E-2</v>
      </c>
      <c r="Q39" s="1576">
        <f t="shared" si="14"/>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12"/>
        <v>187</v>
      </c>
      <c r="E40" s="1572">
        <v>301</v>
      </c>
      <c r="F40" s="1573">
        <v>168</v>
      </c>
      <c r="G40" s="3129">
        <v>2009</v>
      </c>
      <c r="H40" s="1585">
        <v>4</v>
      </c>
      <c r="I40" s="1585">
        <v>2.2999999999999998</v>
      </c>
      <c r="J40" s="1585">
        <v>1.04</v>
      </c>
      <c r="K40" s="1585">
        <v>2.84</v>
      </c>
      <c r="L40" s="1586">
        <v>0.67</v>
      </c>
      <c r="N40" s="1587">
        <f t="shared" si="14"/>
        <v>2.3E-2</v>
      </c>
      <c r="O40" s="1588">
        <f t="shared" si="14"/>
        <v>1.04E-2</v>
      </c>
      <c r="P40" s="1588">
        <f t="shared" si="14"/>
        <v>2.8399999999999998E-2</v>
      </c>
      <c r="Q40" s="1588">
        <f t="shared" si="14"/>
        <v>6.7000000000000002E-3</v>
      </c>
      <c r="R40" s="1577"/>
      <c r="S40" s="1578"/>
      <c r="T40" s="1579"/>
      <c r="U40" s="1579"/>
      <c r="V40" s="1579"/>
      <c r="X40" s="1579"/>
      <c r="Y40" s="1579"/>
      <c r="Z40" s="1579"/>
    </row>
    <row r="41" spans="1:26">
      <c r="A41" s="1563" t="s">
        <v>1068</v>
      </c>
      <c r="B41" s="1580">
        <f t="shared" ref="B41:C43" si="26">B40/(1+N40)</f>
        <v>215.05376344086022</v>
      </c>
      <c r="C41" s="1580">
        <f t="shared" si="26"/>
        <v>185.0752177355503</v>
      </c>
      <c r="D41" s="1580">
        <f t="shared" si="12"/>
        <v>185.0752177355503</v>
      </c>
      <c r="E41" s="1580">
        <f t="shared" ref="E41:F43" si="27">E40/(1+P40)</f>
        <v>292.68767016725008</v>
      </c>
      <c r="F41" s="1580">
        <f t="shared" si="27"/>
        <v>166.88189132810174</v>
      </c>
      <c r="G41" s="3130">
        <v>2009</v>
      </c>
      <c r="H41" s="1590">
        <v>3</v>
      </c>
      <c r="I41" s="1590">
        <v>2.1</v>
      </c>
      <c r="J41" s="1590">
        <v>1.86</v>
      </c>
      <c r="K41" s="1590">
        <v>2.29</v>
      </c>
      <c r="L41" s="1591">
        <v>0.85</v>
      </c>
      <c r="N41" s="1575">
        <f t="shared" si="14"/>
        <v>2.1000000000000001E-2</v>
      </c>
      <c r="O41" s="1592">
        <f t="shared" si="14"/>
        <v>1.8600000000000002E-2</v>
      </c>
      <c r="P41" s="1592">
        <f t="shared" si="14"/>
        <v>2.29E-2</v>
      </c>
      <c r="Q41" s="1592">
        <f t="shared" si="14"/>
        <v>8.5000000000000006E-3</v>
      </c>
      <c r="R41" s="1577"/>
      <c r="S41" s="1575"/>
      <c r="T41" s="1576"/>
      <c r="U41" s="1576"/>
      <c r="V41" s="1576"/>
    </row>
    <row r="42" spans="1:26">
      <c r="A42" s="1563" t="s">
        <v>1069</v>
      </c>
      <c r="B42" s="1580">
        <f t="shared" si="26"/>
        <v>210.630522469011</v>
      </c>
      <c r="C42" s="1580">
        <f t="shared" si="26"/>
        <v>181.69567812247232</v>
      </c>
      <c r="D42" s="1580">
        <f t="shared" si="12"/>
        <v>181.69567812247232</v>
      </c>
      <c r="E42" s="1580">
        <f t="shared" si="27"/>
        <v>286.13517466736738</v>
      </c>
      <c r="F42" s="1580">
        <f t="shared" si="27"/>
        <v>165.47535084591149</v>
      </c>
      <c r="G42" s="3130">
        <v>2009</v>
      </c>
      <c r="H42" s="1567">
        <v>2</v>
      </c>
      <c r="I42" s="1567">
        <v>0.86</v>
      </c>
      <c r="J42" s="1567">
        <v>-1.1299999999999999</v>
      </c>
      <c r="K42" s="1567">
        <v>1.79</v>
      </c>
      <c r="L42" s="1582">
        <v>-2.0699999999999998</v>
      </c>
      <c r="N42" s="1575">
        <f t="shared" si="14"/>
        <v>8.6E-3</v>
      </c>
      <c r="O42" s="1592">
        <f t="shared" si="14"/>
        <v>-1.1299999999999999E-2</v>
      </c>
      <c r="P42" s="1592">
        <f t="shared" si="14"/>
        <v>1.7899999999999999E-2</v>
      </c>
      <c r="Q42" s="1592">
        <f t="shared" si="14"/>
        <v>-2.07E-2</v>
      </c>
      <c r="R42" s="1577"/>
      <c r="S42" s="1575"/>
      <c r="T42" s="1576"/>
      <c r="U42" s="1576"/>
      <c r="V42" s="1576"/>
    </row>
    <row r="43" spans="1:26">
      <c r="A43" s="1563" t="s">
        <v>1070</v>
      </c>
      <c r="B43" s="1580">
        <f t="shared" si="26"/>
        <v>208.83454537875372</v>
      </c>
      <c r="C43" s="1580">
        <f t="shared" si="26"/>
        <v>183.77230517090351</v>
      </c>
      <c r="D43" s="1580">
        <f t="shared" si="12"/>
        <v>183.77230517090351</v>
      </c>
      <c r="E43" s="1580">
        <f t="shared" si="27"/>
        <v>281.10342338870947</v>
      </c>
      <c r="F43" s="1580">
        <f t="shared" si="27"/>
        <v>168.97309388942256</v>
      </c>
      <c r="G43" s="3131">
        <v>2009</v>
      </c>
      <c r="H43" s="1566">
        <v>1</v>
      </c>
      <c r="I43" s="1566">
        <v>-2.64</v>
      </c>
      <c r="J43" s="1566">
        <v>-2.5299999999999998</v>
      </c>
      <c r="K43" s="1566">
        <v>-3.02</v>
      </c>
      <c r="L43" s="1581">
        <v>1.52</v>
      </c>
      <c r="N43" s="1583">
        <f t="shared" si="14"/>
        <v>-2.64E-2</v>
      </c>
      <c r="O43" s="1584">
        <f t="shared" si="14"/>
        <v>-2.53E-2</v>
      </c>
      <c r="P43" s="1584">
        <f t="shared" si="14"/>
        <v>-3.0200000000000001E-2</v>
      </c>
      <c r="Q43" s="1584">
        <f t="shared" si="14"/>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12"/>
        <v>188</v>
      </c>
      <c r="E44" s="1614">
        <v>289</v>
      </c>
      <c r="F44" s="1615">
        <v>166</v>
      </c>
      <c r="G44" s="3129">
        <v>2008</v>
      </c>
      <c r="H44" s="1585">
        <v>4</v>
      </c>
      <c r="I44" s="1585">
        <v>1.73</v>
      </c>
      <c r="J44" s="1585">
        <v>0.03</v>
      </c>
      <c r="K44" s="1585">
        <v>2.59</v>
      </c>
      <c r="L44" s="1586">
        <v>-1.66</v>
      </c>
      <c r="N44" s="1575">
        <f t="shared" si="14"/>
        <v>1.7299999999999999E-2</v>
      </c>
      <c r="O44" s="1576">
        <f t="shared" si="14"/>
        <v>2.9999999999999997E-4</v>
      </c>
      <c r="P44" s="1576">
        <f t="shared" si="14"/>
        <v>2.5899999999999999E-2</v>
      </c>
      <c r="Q44" s="1576">
        <f t="shared" si="14"/>
        <v>-1.66E-2</v>
      </c>
      <c r="R44" s="1577"/>
      <c r="S44" s="1578"/>
      <c r="T44" s="1579"/>
      <c r="U44" s="1579"/>
      <c r="V44" s="1579"/>
      <c r="X44" s="1579"/>
      <c r="Y44" s="1579"/>
      <c r="Z44" s="1579"/>
    </row>
    <row r="45" spans="1:26">
      <c r="A45" s="1563" t="s">
        <v>1072</v>
      </c>
      <c r="B45" s="1580">
        <f t="shared" ref="B45:C47" si="28">B44/(1+N44)</f>
        <v>210.36075887152265</v>
      </c>
      <c r="C45" s="1580">
        <f t="shared" si="28"/>
        <v>187.94361691492554</v>
      </c>
      <c r="D45" s="1580">
        <f t="shared" si="12"/>
        <v>187.94361691492554</v>
      </c>
      <c r="E45" s="1580">
        <f t="shared" ref="E45:F47" si="29">E44/(1+P44)</f>
        <v>281.70386977288234</v>
      </c>
      <c r="F45" s="1580">
        <f t="shared" si="29"/>
        <v>168.80211511083994</v>
      </c>
      <c r="G45" s="3130">
        <v>2008</v>
      </c>
      <c r="H45" s="1590">
        <v>3</v>
      </c>
      <c r="I45" s="1590">
        <v>1.96</v>
      </c>
      <c r="J45" s="1590">
        <v>2.36</v>
      </c>
      <c r="K45" s="1590">
        <v>1.82</v>
      </c>
      <c r="L45" s="1591">
        <v>2.2200000000000002</v>
      </c>
      <c r="N45" s="1575">
        <f t="shared" si="14"/>
        <v>1.9599999999999999E-2</v>
      </c>
      <c r="O45" s="1576">
        <f t="shared" si="14"/>
        <v>2.3599999999999999E-2</v>
      </c>
      <c r="P45" s="1576">
        <f t="shared" si="14"/>
        <v>1.8200000000000001E-2</v>
      </c>
      <c r="Q45" s="1576">
        <f t="shared" si="14"/>
        <v>2.2200000000000001E-2</v>
      </c>
      <c r="R45" s="1577"/>
      <c r="S45" s="1575"/>
      <c r="T45" s="1576"/>
      <c r="U45" s="1576"/>
      <c r="V45" s="1576"/>
    </row>
    <row r="46" spans="1:26">
      <c r="A46" s="1563" t="s">
        <v>1073</v>
      </c>
      <c r="B46" s="1580">
        <f t="shared" si="28"/>
        <v>206.31694671589116</v>
      </c>
      <c r="C46" s="1580">
        <f t="shared" si="28"/>
        <v>183.61041121036101</v>
      </c>
      <c r="D46" s="1580">
        <f t="shared" si="12"/>
        <v>183.61041121036101</v>
      </c>
      <c r="E46" s="1580">
        <f t="shared" si="29"/>
        <v>276.66850301795557</v>
      </c>
      <c r="F46" s="1580">
        <f t="shared" si="29"/>
        <v>165.1360938278614</v>
      </c>
      <c r="G46" s="3130">
        <v>2008</v>
      </c>
      <c r="H46" s="1567">
        <v>2</v>
      </c>
      <c r="I46" s="1567">
        <v>4.93</v>
      </c>
      <c r="J46" s="1567">
        <v>7.38</v>
      </c>
      <c r="K46" s="1567">
        <v>3.98</v>
      </c>
      <c r="L46" s="1582">
        <v>6.86</v>
      </c>
      <c r="N46" s="1575">
        <f t="shared" si="14"/>
        <v>4.9299999999999997E-2</v>
      </c>
      <c r="O46" s="1576">
        <f t="shared" si="14"/>
        <v>7.3800000000000004E-2</v>
      </c>
      <c r="P46" s="1576">
        <f t="shared" si="14"/>
        <v>3.9800000000000002E-2</v>
      </c>
      <c r="Q46" s="1576">
        <f t="shared" si="14"/>
        <v>6.8600000000000008E-2</v>
      </c>
      <c r="R46" s="1577"/>
      <c r="S46" s="1575"/>
      <c r="T46" s="1576"/>
      <c r="U46" s="1576"/>
      <c r="V46" s="1576"/>
    </row>
    <row r="47" spans="1:26" s="1620" customFormat="1" ht="13.5" thickBot="1">
      <c r="A47" s="1563" t="s">
        <v>1074</v>
      </c>
      <c r="B47" s="1617">
        <f t="shared" si="28"/>
        <v>196.62341248059772</v>
      </c>
      <c r="C47" s="1617">
        <f t="shared" si="28"/>
        <v>170.99125648199012</v>
      </c>
      <c r="D47" s="1617">
        <f t="shared" si="12"/>
        <v>170.99125648199012</v>
      </c>
      <c r="E47" s="1617">
        <f t="shared" si="29"/>
        <v>266.07857570490052</v>
      </c>
      <c r="F47" s="1617">
        <f t="shared" si="29"/>
        <v>154.53499328828505</v>
      </c>
      <c r="G47" s="3131">
        <v>2008</v>
      </c>
      <c r="H47" s="1618">
        <v>1</v>
      </c>
      <c r="I47" s="1618">
        <v>4.1399999999999997</v>
      </c>
      <c r="J47" s="1618">
        <v>3.45</v>
      </c>
      <c r="K47" s="1618">
        <v>4.95</v>
      </c>
      <c r="L47" s="1619">
        <v>4.82</v>
      </c>
      <c r="N47" s="1621">
        <f t="shared" si="14"/>
        <v>4.1399999999999999E-2</v>
      </c>
      <c r="O47" s="1622">
        <f t="shared" si="14"/>
        <v>3.4500000000000003E-2</v>
      </c>
      <c r="P47" s="1622">
        <f t="shared" si="14"/>
        <v>4.9500000000000002E-2</v>
      </c>
      <c r="Q47" s="1622">
        <f t="shared" si="14"/>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12"/>
        <v>165</v>
      </c>
      <c r="E48" s="1572">
        <v>254</v>
      </c>
      <c r="F48" s="1573">
        <v>148</v>
      </c>
      <c r="G48" s="3129">
        <v>2007</v>
      </c>
      <c r="H48" s="1625">
        <v>4</v>
      </c>
      <c r="I48" s="1625">
        <v>5.51</v>
      </c>
      <c r="J48" s="1625">
        <v>4.8899999999999997</v>
      </c>
      <c r="K48" s="1625">
        <v>6.43</v>
      </c>
      <c r="L48" s="1626">
        <v>5.36</v>
      </c>
      <c r="N48" s="1627">
        <f t="shared" ref="N48:O51" si="30">B48/B49-1</f>
        <v>4.1339718365245526E-2</v>
      </c>
      <c r="O48" s="1628">
        <f t="shared" si="30"/>
        <v>4.0324492593776018E-2</v>
      </c>
      <c r="P48" s="1628">
        <f t="shared" ref="P48:Q51" si="31">E48/E49-1</f>
        <v>6.1625555347990968E-2</v>
      </c>
      <c r="Q48" s="1628">
        <f t="shared" si="31"/>
        <v>4.6757569250590603E-2</v>
      </c>
      <c r="R48" s="1577"/>
      <c r="S48" s="1578"/>
      <c r="T48" s="1579"/>
      <c r="U48" s="1579"/>
      <c r="V48" s="1579"/>
      <c r="X48" s="1579"/>
      <c r="Y48" s="1579"/>
      <c r="Z48" s="1579"/>
    </row>
    <row r="49" spans="1:26">
      <c r="A49" s="1563" t="s">
        <v>1076</v>
      </c>
      <c r="B49" s="1580">
        <f t="shared" ref="B49:C51" si="32">B50+(B$48-B$52)*I49/SUM(I$48:I$51)</f>
        <v>180.5366651097618</v>
      </c>
      <c r="C49" s="1580">
        <f t="shared" si="32"/>
        <v>158.60435967302453</v>
      </c>
      <c r="D49" s="1580">
        <f t="shared" si="12"/>
        <v>158.60435967302453</v>
      </c>
      <c r="E49" s="1580">
        <f t="shared" ref="E49:F51" si="33">E50+(E$48-E$52)*K49/SUM(K$48:K$51)</f>
        <v>239.25573260785075</v>
      </c>
      <c r="F49" s="1580">
        <f t="shared" si="33"/>
        <v>141.38899430740037</v>
      </c>
      <c r="G49" s="3130">
        <v>2007</v>
      </c>
      <c r="H49" s="1590">
        <v>3</v>
      </c>
      <c r="I49" s="1590">
        <v>8.65</v>
      </c>
      <c r="J49" s="1590">
        <v>8.06</v>
      </c>
      <c r="K49" s="1590">
        <v>9.94</v>
      </c>
      <c r="L49" s="1591">
        <v>5.8</v>
      </c>
      <c r="N49" s="1627">
        <f t="shared" si="30"/>
        <v>6.940217571740015E-2</v>
      </c>
      <c r="O49" s="1628">
        <f t="shared" si="30"/>
        <v>7.1197482471153428E-2</v>
      </c>
      <c r="P49" s="1628">
        <f t="shared" si="31"/>
        <v>0.10529679922579582</v>
      </c>
      <c r="Q49" s="1628">
        <f t="shared" si="31"/>
        <v>5.3292245059512133E-2</v>
      </c>
      <c r="R49" s="1577"/>
      <c r="S49" s="1575"/>
      <c r="T49" s="1576"/>
      <c r="U49" s="1576"/>
      <c r="V49" s="1576"/>
      <c r="X49" s="1629"/>
      <c r="Y49" s="1629"/>
      <c r="Z49" s="1629"/>
    </row>
    <row r="50" spans="1:26">
      <c r="A50" s="1563" t="s">
        <v>1077</v>
      </c>
      <c r="B50" s="1580">
        <f t="shared" si="32"/>
        <v>168.82017748715555</v>
      </c>
      <c r="C50" s="1580">
        <f t="shared" si="32"/>
        <v>148.06267029972753</v>
      </c>
      <c r="D50" s="1580">
        <f t="shared" si="12"/>
        <v>148.06267029972753</v>
      </c>
      <c r="E50" s="1580">
        <f t="shared" si="33"/>
        <v>216.46288379323747</v>
      </c>
      <c r="F50" s="1580">
        <f t="shared" si="33"/>
        <v>134.23529411764704</v>
      </c>
      <c r="G50" s="3130">
        <v>2007</v>
      </c>
      <c r="H50" s="1567">
        <v>2</v>
      </c>
      <c r="I50" s="1567">
        <v>3.67</v>
      </c>
      <c r="J50" s="1567">
        <v>2.3199999999999998</v>
      </c>
      <c r="K50" s="1567">
        <v>5.0199999999999996</v>
      </c>
      <c r="L50" s="1582">
        <v>6.71</v>
      </c>
      <c r="N50" s="1627">
        <f t="shared" si="30"/>
        <v>3.0339138143848032E-2</v>
      </c>
      <c r="O50" s="1628">
        <f t="shared" si="30"/>
        <v>2.0922341588790472E-2</v>
      </c>
      <c r="P50" s="1628">
        <f t="shared" si="31"/>
        <v>5.6164796592717003E-2</v>
      </c>
      <c r="Q50" s="1628">
        <f t="shared" si="31"/>
        <v>6.5704536723887319E-2</v>
      </c>
      <c r="R50" s="1577"/>
      <c r="S50" s="1575"/>
      <c r="T50" s="1576"/>
      <c r="U50" s="1576"/>
      <c r="V50" s="1576"/>
      <c r="X50" s="1629"/>
      <c r="Y50" s="1629"/>
      <c r="Z50" s="1629"/>
    </row>
    <row r="51" spans="1:26">
      <c r="A51" s="1563" t="s">
        <v>1078</v>
      </c>
      <c r="B51" s="1580">
        <f t="shared" si="32"/>
        <v>163.84913591779542</v>
      </c>
      <c r="C51" s="1580">
        <f t="shared" si="32"/>
        <v>145.0283378746594</v>
      </c>
      <c r="D51" s="1580">
        <f t="shared" si="12"/>
        <v>145.0283378746594</v>
      </c>
      <c r="E51" s="1580">
        <f t="shared" si="33"/>
        <v>204.95180722891567</v>
      </c>
      <c r="F51" s="1580">
        <f t="shared" si="33"/>
        <v>125.95920303605313</v>
      </c>
      <c r="G51" s="3131">
        <v>2007</v>
      </c>
      <c r="H51" s="1566">
        <v>1</v>
      </c>
      <c r="I51" s="1566">
        <v>3.58</v>
      </c>
      <c r="J51" s="1566">
        <v>3.08</v>
      </c>
      <c r="K51" s="1566">
        <v>4.34</v>
      </c>
      <c r="L51" s="1581">
        <v>3.21</v>
      </c>
      <c r="N51" s="1630">
        <f t="shared" si="30"/>
        <v>3.0497710174814063E-2</v>
      </c>
      <c r="O51" s="1631">
        <f t="shared" si="30"/>
        <v>2.8569772160704998E-2</v>
      </c>
      <c r="P51" s="1631">
        <f t="shared" si="31"/>
        <v>5.1034908866234296E-2</v>
      </c>
      <c r="Q51" s="1631">
        <f t="shared" si="31"/>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12"/>
        <v>141</v>
      </c>
      <c r="E52" s="1593">
        <v>195</v>
      </c>
      <c r="F52" s="1594">
        <v>122</v>
      </c>
      <c r="G52" s="3129">
        <v>2006</v>
      </c>
      <c r="H52" s="1585">
        <v>4</v>
      </c>
      <c r="I52" s="1585">
        <v>3.79</v>
      </c>
      <c r="J52" s="1585">
        <v>2.21</v>
      </c>
      <c r="K52" s="1585">
        <v>5.65</v>
      </c>
      <c r="L52" s="1586">
        <v>5.41</v>
      </c>
      <c r="N52" s="1627">
        <f t="shared" ref="N52:O55" si="34">I52/SUM(I$52:I$55)*(B$52/B$56-1)</f>
        <v>7.245466462748526E-2</v>
      </c>
      <c r="O52" s="1628">
        <f t="shared" si="34"/>
        <v>2.3237230038062766E-2</v>
      </c>
      <c r="P52" s="1628">
        <f t="shared" ref="P52:Q55" si="35">K52/SUM(K$52:K$55)*(E$52/E$56-1)</f>
        <v>0.16146893866323722</v>
      </c>
      <c r="Q52" s="1628">
        <f t="shared" si="35"/>
        <v>5.0755230321793784E-2</v>
      </c>
      <c r="R52" s="1577"/>
      <c r="S52" s="1578"/>
      <c r="T52" s="1579"/>
      <c r="U52" s="1579"/>
      <c r="V52" s="1579"/>
      <c r="X52" s="1629"/>
      <c r="Y52" s="1629"/>
      <c r="Z52" s="1629"/>
    </row>
    <row r="53" spans="1:26">
      <c r="A53" s="1563" t="s">
        <v>1080</v>
      </c>
      <c r="B53" s="1580">
        <f t="shared" ref="B53:C55" si="36">B54+(B$52-B$56)*I53/SUM(I$52:I$55)</f>
        <v>149.00125628140702</v>
      </c>
      <c r="C53" s="1580">
        <f t="shared" si="36"/>
        <v>137.95592286501378</v>
      </c>
      <c r="D53" s="1580">
        <f t="shared" si="12"/>
        <v>137.95592286501378</v>
      </c>
      <c r="E53" s="1580">
        <f t="shared" ref="E53:F55" si="37">E54+(E$52-E$56)*K53/SUM(K$52:K$55)</f>
        <v>169.97231450719823</v>
      </c>
      <c r="F53" s="1580">
        <f t="shared" si="37"/>
        <v>116.21390374331551</v>
      </c>
      <c r="G53" s="3130">
        <v>2006</v>
      </c>
      <c r="H53" s="1590">
        <v>3</v>
      </c>
      <c r="I53" s="1590">
        <v>0.92</v>
      </c>
      <c r="J53" s="1590">
        <v>1.08</v>
      </c>
      <c r="K53" s="1590">
        <v>0.73</v>
      </c>
      <c r="L53" s="1591">
        <v>1.08</v>
      </c>
      <c r="N53" s="1627">
        <f t="shared" si="34"/>
        <v>1.7587939698492462E-2</v>
      </c>
      <c r="O53" s="1628">
        <f t="shared" si="34"/>
        <v>1.1355750425840628E-2</v>
      </c>
      <c r="P53" s="1628">
        <f t="shared" si="35"/>
        <v>2.0862358446754544E-2</v>
      </c>
      <c r="Q53" s="1628">
        <f t="shared" si="35"/>
        <v>1.0132282578103011E-2</v>
      </c>
      <c r="R53" s="1577"/>
      <c r="S53" s="1575"/>
      <c r="T53" s="1576"/>
      <c r="U53" s="1576"/>
      <c r="V53" s="1576"/>
      <c r="X53" s="1629"/>
      <c r="Y53" s="1629"/>
      <c r="Z53" s="1629"/>
    </row>
    <row r="54" spans="1:26">
      <c r="A54" s="1563" t="s">
        <v>1081</v>
      </c>
      <c r="B54" s="1580">
        <f t="shared" si="36"/>
        <v>146.57412060301507</v>
      </c>
      <c r="C54" s="1580">
        <f t="shared" si="36"/>
        <v>136.46831955922866</v>
      </c>
      <c r="D54" s="1580">
        <f t="shared" si="12"/>
        <v>136.46831955922866</v>
      </c>
      <c r="E54" s="1580">
        <f t="shared" si="37"/>
        <v>166.73864894795128</v>
      </c>
      <c r="F54" s="1580">
        <f t="shared" si="37"/>
        <v>115.05882352941177</v>
      </c>
      <c r="G54" s="3130">
        <v>2006</v>
      </c>
      <c r="H54" s="1567">
        <v>2</v>
      </c>
      <c r="I54" s="1567">
        <v>0.96</v>
      </c>
      <c r="J54" s="1567">
        <v>0.25</v>
      </c>
      <c r="K54" s="1567">
        <v>1.9</v>
      </c>
      <c r="L54" s="1582">
        <v>0.95</v>
      </c>
      <c r="N54" s="1627">
        <f t="shared" si="34"/>
        <v>1.8352632728861701E-2</v>
      </c>
      <c r="O54" s="1628">
        <f t="shared" si="34"/>
        <v>2.6286459319075526E-3</v>
      </c>
      <c r="P54" s="1628">
        <f t="shared" si="35"/>
        <v>5.4299289107991269E-2</v>
      </c>
      <c r="Q54" s="1628">
        <f t="shared" si="35"/>
        <v>8.9126559714794995E-3</v>
      </c>
      <c r="R54" s="1577"/>
      <c r="S54" s="1575"/>
      <c r="T54" s="1576"/>
      <c r="U54" s="1576"/>
      <c r="V54" s="1576"/>
      <c r="X54" s="1629"/>
      <c r="Y54" s="1629"/>
      <c r="Z54" s="1629"/>
    </row>
    <row r="55" spans="1:26">
      <c r="A55" s="1563" t="s">
        <v>1082</v>
      </c>
      <c r="B55" s="1580">
        <f t="shared" si="36"/>
        <v>144.04145728643215</v>
      </c>
      <c r="C55" s="1580">
        <f t="shared" si="36"/>
        <v>136.12396694214877</v>
      </c>
      <c r="D55" s="1580">
        <f t="shared" si="12"/>
        <v>136.12396694214877</v>
      </c>
      <c r="E55" s="1580">
        <f t="shared" si="37"/>
        <v>158.32225913621264</v>
      </c>
      <c r="F55" s="1580">
        <f t="shared" si="37"/>
        <v>114.04278074866311</v>
      </c>
      <c r="G55" s="3131">
        <v>2006</v>
      </c>
      <c r="H55" s="1566">
        <v>1</v>
      </c>
      <c r="I55" s="1566">
        <v>2.29</v>
      </c>
      <c r="J55" s="1566">
        <v>3.72</v>
      </c>
      <c r="K55" s="1566">
        <v>0.75</v>
      </c>
      <c r="L55" s="1581">
        <v>0.04</v>
      </c>
      <c r="N55" s="1630">
        <f t="shared" si="34"/>
        <v>4.3778675988638847E-2</v>
      </c>
      <c r="O55" s="1631">
        <f t="shared" si="34"/>
        <v>3.9114251466784385E-2</v>
      </c>
      <c r="P55" s="1631">
        <f t="shared" si="35"/>
        <v>2.1433929911049188E-2</v>
      </c>
      <c r="Q55" s="1631">
        <f t="shared" si="35"/>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12"/>
        <v>131</v>
      </c>
      <c r="E56" s="1593">
        <v>155</v>
      </c>
      <c r="F56" s="1594">
        <v>114</v>
      </c>
      <c r="G56" s="3129">
        <v>2005</v>
      </c>
      <c r="H56" s="1585">
        <v>4</v>
      </c>
      <c r="I56" s="1585">
        <v>3.29</v>
      </c>
      <c r="J56" s="1585">
        <v>1.44</v>
      </c>
      <c r="K56" s="1585">
        <v>0.66</v>
      </c>
      <c r="L56" s="1586">
        <v>7.78</v>
      </c>
      <c r="N56" s="1627">
        <f t="shared" ref="N56:O59" si="38">I56/SUM(I$56:I$59)*(B$56/B$60-1)</f>
        <v>9.9404603216919935E-2</v>
      </c>
      <c r="O56" s="1628">
        <f t="shared" si="38"/>
        <v>4.7636550760861554E-2</v>
      </c>
      <c r="P56" s="1628">
        <f t="shared" ref="P56:Q59" si="39">K56/SUM(K$56:K$59)*(E$56/E$60-1)</f>
        <v>8.3756345177664976E-2</v>
      </c>
      <c r="Q56" s="1628">
        <f t="shared" si="39"/>
        <v>5.2148766661559584E-2</v>
      </c>
      <c r="R56" s="1577"/>
      <c r="S56" s="1578"/>
      <c r="T56" s="1579"/>
      <c r="U56" s="1579"/>
      <c r="V56" s="1579"/>
      <c r="X56" s="1629"/>
      <c r="Y56" s="1629"/>
      <c r="Z56" s="1629"/>
    </row>
    <row r="57" spans="1:26">
      <c r="A57" s="1563" t="s">
        <v>1084</v>
      </c>
      <c r="B57" s="1580">
        <f t="shared" ref="B57:C59" si="40">B58+(B$56-B$60)*I57/SUM(I$56:I$59)</f>
        <v>125.9720430107527</v>
      </c>
      <c r="C57" s="1580">
        <f t="shared" si="40"/>
        <v>125.1883408071749</v>
      </c>
      <c r="D57" s="1580">
        <f t="shared" si="12"/>
        <v>125.1883408071749</v>
      </c>
      <c r="E57" s="1580">
        <f t="shared" ref="E57:F59" si="41">E58+(E$56-E$60)*K57/SUM(K$56:K$59)</f>
        <v>144.61421319796952</v>
      </c>
      <c r="F57" s="1580">
        <f t="shared" si="41"/>
        <v>108.42008196721311</v>
      </c>
      <c r="G57" s="3130">
        <v>2005</v>
      </c>
      <c r="H57" s="1590">
        <v>3</v>
      </c>
      <c r="I57" s="1590">
        <v>0.46</v>
      </c>
      <c r="J57" s="1590">
        <v>0.32</v>
      </c>
      <c r="K57" s="1590">
        <v>0.42</v>
      </c>
      <c r="L57" s="1591">
        <v>0.64</v>
      </c>
      <c r="N57" s="1627">
        <f t="shared" si="38"/>
        <v>1.3898515951301874E-2</v>
      </c>
      <c r="O57" s="1628">
        <f t="shared" si="38"/>
        <v>1.0585900169080346E-2</v>
      </c>
      <c r="P57" s="1628">
        <f t="shared" si="39"/>
        <v>5.3299492385786795E-2</v>
      </c>
      <c r="Q57" s="1628">
        <f t="shared" si="39"/>
        <v>4.2898728359123568E-3</v>
      </c>
      <c r="R57" s="1577"/>
      <c r="S57" s="1575"/>
      <c r="T57" s="1576"/>
      <c r="U57" s="1576"/>
      <c r="V57" s="1576"/>
      <c r="X57" s="1629"/>
      <c r="Y57" s="1629"/>
      <c r="Z57" s="1629"/>
    </row>
    <row r="58" spans="1:26">
      <c r="A58" s="1563" t="s">
        <v>1085</v>
      </c>
      <c r="B58" s="1580">
        <f t="shared" si="40"/>
        <v>124.29032258064517</v>
      </c>
      <c r="C58" s="1580">
        <f t="shared" si="40"/>
        <v>123.8968609865471</v>
      </c>
      <c r="D58" s="1580">
        <f t="shared" si="12"/>
        <v>123.8968609865471</v>
      </c>
      <c r="E58" s="1580">
        <f t="shared" si="41"/>
        <v>138.00507614213197</v>
      </c>
      <c r="F58" s="1580">
        <f t="shared" si="41"/>
        <v>107.96106557377048</v>
      </c>
      <c r="G58" s="3130">
        <v>2005</v>
      </c>
      <c r="H58" s="1567">
        <v>2</v>
      </c>
      <c r="I58" s="1567">
        <v>0.47</v>
      </c>
      <c r="J58" s="1567">
        <v>0.1</v>
      </c>
      <c r="K58" s="1567">
        <v>0.52</v>
      </c>
      <c r="L58" s="1582">
        <v>0.79</v>
      </c>
      <c r="N58" s="1627">
        <f t="shared" si="38"/>
        <v>1.420065760241713E-2</v>
      </c>
      <c r="O58" s="1628">
        <f t="shared" si="38"/>
        <v>3.3080938028376083E-3</v>
      </c>
      <c r="P58" s="1628">
        <f t="shared" si="39"/>
        <v>6.598984771573603E-2</v>
      </c>
      <c r="Q58" s="1628">
        <f t="shared" si="39"/>
        <v>5.2953117818293153E-3</v>
      </c>
      <c r="R58" s="1577"/>
      <c r="S58" s="1575"/>
      <c r="T58" s="1576"/>
      <c r="U58" s="1576"/>
      <c r="V58" s="1576"/>
      <c r="X58" s="1629"/>
      <c r="Y58" s="1629"/>
      <c r="Z58" s="1629"/>
    </row>
    <row r="59" spans="1:26">
      <c r="A59" s="1563" t="s">
        <v>1086</v>
      </c>
      <c r="B59" s="1580">
        <f t="shared" si="40"/>
        <v>122.57204301075269</v>
      </c>
      <c r="C59" s="1580">
        <f t="shared" si="40"/>
        <v>123.4932735426009</v>
      </c>
      <c r="D59" s="1580">
        <f t="shared" si="12"/>
        <v>123.4932735426009</v>
      </c>
      <c r="E59" s="1580">
        <f t="shared" si="41"/>
        <v>129.82233502538071</v>
      </c>
      <c r="F59" s="1580">
        <f t="shared" si="41"/>
        <v>107.39446721311475</v>
      </c>
      <c r="G59" s="3131">
        <v>2005</v>
      </c>
      <c r="H59" s="1566">
        <v>1</v>
      </c>
      <c r="I59" s="1566">
        <v>0.43</v>
      </c>
      <c r="J59" s="1566">
        <v>0.37</v>
      </c>
      <c r="K59" s="1566">
        <v>0.37</v>
      </c>
      <c r="L59" s="1581">
        <v>0.55000000000000004</v>
      </c>
      <c r="N59" s="1630">
        <f t="shared" si="38"/>
        <v>1.2992090997956099E-2</v>
      </c>
      <c r="O59" s="1631">
        <f t="shared" si="38"/>
        <v>1.2239947070499151E-2</v>
      </c>
      <c r="P59" s="1631">
        <f t="shared" si="39"/>
        <v>4.6954314720812178E-2</v>
      </c>
      <c r="Q59" s="1631">
        <f t="shared" si="39"/>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12"/>
        <v>122</v>
      </c>
      <c r="E60" s="1614">
        <v>124</v>
      </c>
      <c r="F60" s="1615">
        <v>107</v>
      </c>
      <c r="G60" s="3129">
        <v>2004</v>
      </c>
      <c r="H60" s="1585">
        <v>4</v>
      </c>
      <c r="I60" s="1585">
        <v>0.33</v>
      </c>
      <c r="J60" s="1585">
        <v>0.5</v>
      </c>
      <c r="K60" s="1585">
        <v>0.5</v>
      </c>
      <c r="L60" s="1586">
        <v>0</v>
      </c>
      <c r="N60" s="1627">
        <f t="shared" ref="N60:O63" si="42">I60/SUM(I$60:I$63)*(B$60/B$64-1)</f>
        <v>1.3391770148526898E-2</v>
      </c>
      <c r="O60" s="1628">
        <f t="shared" si="42"/>
        <v>1.063264221158958E-2</v>
      </c>
      <c r="P60" s="1628">
        <f t="shared" ref="P60:Q63" si="43">K60/SUM(K$60:K$63)*(E$60/E$64-1)</f>
        <v>2.2244466688911134E-2</v>
      </c>
      <c r="Q60" s="1628">
        <f t="shared" si="43"/>
        <v>0</v>
      </c>
      <c r="R60" s="1577"/>
      <c r="S60" s="1578"/>
      <c r="T60" s="1579"/>
      <c r="U60" s="1579"/>
      <c r="V60" s="1579"/>
      <c r="X60" s="1629"/>
      <c r="Y60" s="1629"/>
      <c r="Z60" s="1629"/>
    </row>
    <row r="61" spans="1:26">
      <c r="A61" s="1563" t="s">
        <v>1088</v>
      </c>
      <c r="B61" s="1580">
        <f t="shared" ref="B61:C63" si="44">B62+(B$60-B$64)*I61/SUM(I$60:I$63)</f>
        <v>119.51351351351352</v>
      </c>
      <c r="C61" s="1580">
        <f t="shared" si="44"/>
        <v>120.7878787878788</v>
      </c>
      <c r="D61" s="1580">
        <f t="shared" si="12"/>
        <v>120.7878787878788</v>
      </c>
      <c r="E61" s="1580">
        <f t="shared" ref="E61:F63" si="45">E62+(E$60-E$64)*K61/SUM(K$60:K$63)</f>
        <v>121.5975975975976</v>
      </c>
      <c r="F61" s="1580">
        <f t="shared" si="45"/>
        <v>107</v>
      </c>
      <c r="G61" s="3130">
        <v>2004</v>
      </c>
      <c r="H61" s="1590">
        <v>3</v>
      </c>
      <c r="I61" s="1590">
        <v>0.56000000000000005</v>
      </c>
      <c r="J61" s="1590">
        <v>0.8</v>
      </c>
      <c r="K61" s="1590">
        <v>0.83</v>
      </c>
      <c r="L61" s="1591">
        <v>0.06</v>
      </c>
      <c r="N61" s="1627">
        <f t="shared" si="42"/>
        <v>2.2725428130833527E-2</v>
      </c>
      <c r="O61" s="1628">
        <f t="shared" si="42"/>
        <v>1.7012227538543329E-2</v>
      </c>
      <c r="P61" s="1628">
        <f t="shared" si="43"/>
        <v>3.6925814703592477E-2</v>
      </c>
      <c r="Q61" s="1628">
        <f t="shared" si="43"/>
        <v>2.8846153846153744E-2</v>
      </c>
      <c r="R61" s="1577"/>
      <c r="S61" s="1575"/>
      <c r="T61" s="1576"/>
      <c r="U61" s="1576"/>
      <c r="V61" s="1576"/>
      <c r="X61" s="1629"/>
      <c r="Y61" s="1629"/>
      <c r="Z61" s="1629"/>
    </row>
    <row r="62" spans="1:26">
      <c r="A62" s="1563" t="s">
        <v>1089</v>
      </c>
      <c r="B62" s="1580">
        <f t="shared" si="44"/>
        <v>116.99099099099099</v>
      </c>
      <c r="C62" s="1580">
        <f t="shared" si="44"/>
        <v>118.84848484848486</v>
      </c>
      <c r="D62" s="1580">
        <f t="shared" si="12"/>
        <v>118.84848484848486</v>
      </c>
      <c r="E62" s="1580">
        <f t="shared" si="45"/>
        <v>117.60960960960961</v>
      </c>
      <c r="F62" s="1580">
        <f t="shared" si="45"/>
        <v>104</v>
      </c>
      <c r="G62" s="3130">
        <v>2004</v>
      </c>
      <c r="H62" s="1567">
        <v>2</v>
      </c>
      <c r="I62" s="1567">
        <v>1</v>
      </c>
      <c r="J62" s="1567">
        <v>1.5</v>
      </c>
      <c r="K62" s="1567">
        <v>1.5</v>
      </c>
      <c r="L62" s="1582">
        <v>0</v>
      </c>
      <c r="N62" s="1627">
        <f t="shared" si="42"/>
        <v>4.0581121662202721E-2</v>
      </c>
      <c r="O62" s="1628">
        <f t="shared" si="42"/>
        <v>3.1897926634768738E-2</v>
      </c>
      <c r="P62" s="1628">
        <f t="shared" si="43"/>
        <v>6.6733400066733395E-2</v>
      </c>
      <c r="Q62" s="1628">
        <f t="shared" si="43"/>
        <v>0</v>
      </c>
      <c r="R62" s="1577"/>
      <c r="S62" s="1575"/>
      <c r="T62" s="1576"/>
      <c r="U62" s="1576"/>
      <c r="V62" s="1576"/>
      <c r="X62" s="1629"/>
      <c r="Y62" s="1629"/>
      <c r="Z62" s="1629"/>
    </row>
    <row r="63" spans="1:26" s="1620" customFormat="1" ht="13.5" thickBot="1">
      <c r="A63" s="1563" t="s">
        <v>1090</v>
      </c>
      <c r="B63" s="1617">
        <f t="shared" si="44"/>
        <v>112.48648648648648</v>
      </c>
      <c r="C63" s="1617">
        <f t="shared" si="44"/>
        <v>115.21212121212122</v>
      </c>
      <c r="D63" s="1617">
        <f t="shared" si="12"/>
        <v>115.21212121212122</v>
      </c>
      <c r="E63" s="1617">
        <f t="shared" si="45"/>
        <v>110.4024024024024</v>
      </c>
      <c r="F63" s="1617">
        <f t="shared" si="45"/>
        <v>104</v>
      </c>
      <c r="G63" s="3131">
        <v>2004</v>
      </c>
      <c r="H63" s="1618">
        <v>1</v>
      </c>
      <c r="I63" s="1618">
        <v>0.33</v>
      </c>
      <c r="J63" s="1618">
        <v>0.5</v>
      </c>
      <c r="K63" s="1618">
        <v>0.5</v>
      </c>
      <c r="L63" s="1619">
        <v>0</v>
      </c>
      <c r="N63" s="1632">
        <f t="shared" si="42"/>
        <v>1.3391770148526898E-2</v>
      </c>
      <c r="O63" s="1633">
        <f t="shared" si="42"/>
        <v>1.063264221158958E-2</v>
      </c>
      <c r="P63" s="1633">
        <f t="shared" si="43"/>
        <v>2.2244466688911134E-2</v>
      </c>
      <c r="Q63" s="1633">
        <f t="shared" si="43"/>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12"/>
        <v>114</v>
      </c>
      <c r="E64" s="1635">
        <v>108</v>
      </c>
      <c r="F64" s="1636">
        <v>104</v>
      </c>
      <c r="G64" s="3129">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46">B66+(B$64-B$68)/4</f>
        <v>109.75</v>
      </c>
      <c r="C65" s="1639">
        <f t="shared" si="46"/>
        <v>112.25</v>
      </c>
      <c r="D65" s="1639">
        <f t="shared" si="12"/>
        <v>112.25</v>
      </c>
      <c r="E65" s="1639">
        <f t="shared" ref="E65:F67" si="47">E66+(E$64-E$68)/4</f>
        <v>107.25</v>
      </c>
      <c r="F65" s="1639">
        <f t="shared" si="47"/>
        <v>103.5</v>
      </c>
      <c r="G65" s="3130">
        <v>2003</v>
      </c>
      <c r="H65" s="1590">
        <v>3</v>
      </c>
      <c r="I65" s="1637"/>
      <c r="J65" s="1637"/>
      <c r="K65" s="1637"/>
      <c r="L65" s="1637"/>
      <c r="X65" s="1629"/>
      <c r="Y65" s="1629"/>
      <c r="Z65" s="1629"/>
    </row>
    <row r="66" spans="1:26">
      <c r="A66" s="1563" t="s">
        <v>1093</v>
      </c>
      <c r="B66" s="1639">
        <f t="shared" si="46"/>
        <v>108.5</v>
      </c>
      <c r="C66" s="1639">
        <f t="shared" si="46"/>
        <v>110.5</v>
      </c>
      <c r="D66" s="1639">
        <f t="shared" si="12"/>
        <v>110.5</v>
      </c>
      <c r="E66" s="1639">
        <f t="shared" si="47"/>
        <v>106.5</v>
      </c>
      <c r="F66" s="1639">
        <f t="shared" si="47"/>
        <v>103</v>
      </c>
      <c r="G66" s="3130">
        <v>2003</v>
      </c>
      <c r="H66" s="1567">
        <v>2</v>
      </c>
      <c r="I66" s="1637"/>
      <c r="J66" s="1637"/>
      <c r="K66" s="1637"/>
      <c r="L66" s="1637"/>
      <c r="X66" s="1629"/>
      <c r="Y66" s="1629"/>
      <c r="Z66" s="1629"/>
    </row>
    <row r="67" spans="1:26" ht="13.5" thickBot="1">
      <c r="A67" s="1563" t="s">
        <v>1094</v>
      </c>
      <c r="B67" s="1639">
        <f t="shared" si="46"/>
        <v>107.25</v>
      </c>
      <c r="C67" s="1639">
        <f t="shared" si="46"/>
        <v>108.75</v>
      </c>
      <c r="D67" s="1639">
        <f t="shared" si="12"/>
        <v>108.75</v>
      </c>
      <c r="E67" s="1639">
        <f t="shared" si="47"/>
        <v>105.75</v>
      </c>
      <c r="F67" s="1639">
        <f t="shared" si="47"/>
        <v>102.5</v>
      </c>
      <c r="G67" s="3131">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12"/>
        <v>107</v>
      </c>
      <c r="E68" s="1641">
        <v>105</v>
      </c>
      <c r="F68" s="1642">
        <v>102</v>
      </c>
      <c r="G68" s="3129">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48">B70+(B$68-B$72)/4</f>
        <v>105</v>
      </c>
      <c r="C69" s="1639">
        <f t="shared" si="48"/>
        <v>106</v>
      </c>
      <c r="D69" s="1639">
        <f t="shared" si="12"/>
        <v>106</v>
      </c>
      <c r="E69" s="1639">
        <f t="shared" ref="E69:F71" si="49">E70+(E$68-E$72)/4</f>
        <v>104.5</v>
      </c>
      <c r="F69" s="1639">
        <f t="shared" si="49"/>
        <v>101.5</v>
      </c>
      <c r="G69" s="3130">
        <v>2002</v>
      </c>
      <c r="H69" s="1590">
        <v>3</v>
      </c>
      <c r="I69" s="1637"/>
      <c r="J69" s="1637"/>
      <c r="K69" s="1637"/>
      <c r="L69" s="1637"/>
      <c r="X69" s="1629"/>
      <c r="Y69" s="1629"/>
      <c r="Z69" s="1629"/>
    </row>
    <row r="70" spans="1:26">
      <c r="A70" s="1563" t="s">
        <v>1097</v>
      </c>
      <c r="B70" s="1639">
        <f t="shared" si="48"/>
        <v>104</v>
      </c>
      <c r="C70" s="1639">
        <f t="shared" si="48"/>
        <v>105</v>
      </c>
      <c r="D70" s="1639">
        <f t="shared" si="12"/>
        <v>105</v>
      </c>
      <c r="E70" s="1639">
        <f t="shared" si="49"/>
        <v>104</v>
      </c>
      <c r="F70" s="1639">
        <f t="shared" si="49"/>
        <v>101</v>
      </c>
      <c r="G70" s="3130">
        <v>2002</v>
      </c>
      <c r="H70" s="1567">
        <v>2</v>
      </c>
      <c r="I70" s="1637"/>
      <c r="J70" s="1637"/>
      <c r="K70" s="1637"/>
      <c r="L70" s="1637"/>
      <c r="X70" s="1629"/>
      <c r="Y70" s="1629"/>
      <c r="Z70" s="1629"/>
    </row>
    <row r="71" spans="1:26" s="1601" customFormat="1" ht="13.5" thickBot="1">
      <c r="A71" s="1597" t="s">
        <v>1098</v>
      </c>
      <c r="B71" s="1643">
        <f t="shared" si="48"/>
        <v>103</v>
      </c>
      <c r="C71" s="1643">
        <f t="shared" si="48"/>
        <v>104</v>
      </c>
      <c r="D71" s="1643">
        <f t="shared" si="12"/>
        <v>104</v>
      </c>
      <c r="E71" s="1643">
        <f t="shared" si="49"/>
        <v>103.5</v>
      </c>
      <c r="F71" s="1643">
        <f t="shared" si="49"/>
        <v>100.5</v>
      </c>
      <c r="G71" s="3131">
        <v>2002</v>
      </c>
      <c r="H71" s="1644">
        <v>1</v>
      </c>
      <c r="I71" s="1645"/>
      <c r="J71" s="1645"/>
      <c r="K71" s="1645"/>
      <c r="L71" s="1645"/>
      <c r="N71" s="1646"/>
      <c r="S71" s="1646"/>
      <c r="X71" s="1647"/>
      <c r="Y71" s="1647"/>
      <c r="Z71" s="1647"/>
    </row>
    <row r="72" spans="1:26" ht="13.5" thickBot="1">
      <c r="B72" s="1648">
        <v>102</v>
      </c>
      <c r="C72" s="1649">
        <v>103</v>
      </c>
      <c r="D72" s="1649">
        <f t="shared" si="12"/>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43339</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N91" sqref="N9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1" sqref="H3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0"/>
      <c r="C2" s="2780"/>
      <c r="D2" s="2780"/>
      <c r="E2" s="2780"/>
    </row>
    <row r="3" spans="1:5" ht="13.5" customHeight="1">
      <c r="A3" s="1930"/>
      <c r="B3" s="1930"/>
      <c r="C3" s="1930"/>
      <c r="D3" s="1930"/>
      <c r="E3" s="1930"/>
    </row>
    <row r="4" spans="1:5" ht="19.5" thickBot="1">
      <c r="A4" s="2781" t="str">
        <f>IF(项目基本情况!D5="房地产市场价值","估价结果一览表（市场价值不需本页表格)","估价结果一览表")</f>
        <v>估价结果一览表</v>
      </c>
      <c r="B4" s="2781"/>
      <c r="C4" s="2781"/>
      <c r="D4" s="2781"/>
      <c r="E4" s="2781"/>
    </row>
    <row r="5" spans="1:5" ht="14.25" customHeight="1" thickTop="1">
      <c r="A5" s="1927"/>
      <c r="B5" s="1931" t="s">
        <v>742</v>
      </c>
      <c r="C5" s="2782" t="s">
        <v>783</v>
      </c>
      <c r="D5" s="2783"/>
      <c r="E5" s="1927"/>
    </row>
    <row r="6" spans="1:5" ht="14.25">
      <c r="A6" s="1927"/>
      <c r="B6" s="1932" t="str">
        <f>项目基本情况!I1</f>
        <v>北京市房地产</v>
      </c>
      <c r="C6" s="2784">
        <f>项目基本情况!C12</f>
        <v>66.209999999999994</v>
      </c>
      <c r="D6" s="2784"/>
      <c r="E6" s="1927"/>
    </row>
    <row r="7" spans="1:5" ht="14.25">
      <c r="A7" s="1927"/>
      <c r="B7" s="2778" t="s">
        <v>784</v>
      </c>
      <c r="C7" s="1933" t="str">
        <f>IF('数据-取费表'!B3="万元","总价（万元）","总价（元）")</f>
        <v>总价（元）</v>
      </c>
      <c r="D7" s="1934">
        <f ca="1">IF('数据-取费表'!E3="否",结果表!I102,'结果表 (1修多)'!I103)</f>
        <v>6663639</v>
      </c>
      <c r="E7" s="1927"/>
    </row>
    <row r="8" spans="1:5" ht="28.5">
      <c r="A8" s="1927"/>
      <c r="B8" s="2778"/>
      <c r="C8" s="1935" t="s">
        <v>1175</v>
      </c>
      <c r="D8" s="1936" t="str">
        <f ca="1">IF('数据-取费表'!B3="万元",NUMBERSTRING(INT(D7*10000),2)&amp;"元整",NUMBERSTRING(INT(D7),2)&amp;"元整")</f>
        <v>陆佰陆拾陆万叁仟陆佰叁拾玖元整</v>
      </c>
      <c r="E8" s="1927"/>
    </row>
    <row r="9" spans="1:5" ht="14.25">
      <c r="A9" s="1927"/>
      <c r="B9" s="2778"/>
      <c r="C9" s="1937" t="s">
        <v>1273</v>
      </c>
      <c r="D9" s="1934">
        <f ca="1">IF('数据-取费表'!E3="否",结果表!I103,'结果表 (1修多)'!I104)</f>
        <v>100644</v>
      </c>
      <c r="E9" s="1927"/>
    </row>
    <row r="10" spans="1:5" ht="14.25">
      <c r="A10" s="1927"/>
      <c r="B10" s="2785" t="str">
        <f>IF('数据-取费表'!E3="否",结果表!F105,'结果表 (1修多)'!F106)</f>
        <v>2.估价师所知悉的法定优先受偿款</v>
      </c>
      <c r="C10" s="1938" t="str">
        <f>IF('数据-取费表'!B3="万元","总额（万元）","总额（元）")</f>
        <v>总额（元）</v>
      </c>
      <c r="D10" s="1934">
        <f>IF('数据-取费表'!E3="否",结果表!I105,'结果表 (1修多)'!I106)</f>
        <v>1033</v>
      </c>
      <c r="E10" s="1927"/>
    </row>
    <row r="11" spans="1:5" ht="14.25">
      <c r="A11" s="1927"/>
      <c r="B11" s="2785"/>
      <c r="C11" s="1935" t="s">
        <v>1175</v>
      </c>
      <c r="D11" s="1936" t="str">
        <f>IF('数据-取费表'!B3="万元",NUMBERSTRING(INT(D10*10000),2)&amp;"元整",NUMBERSTRING(INT(D10),2)&amp;"元整")</f>
        <v>壹仟零叁拾叁元整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1033</v>
      </c>
      <c r="E14" s="1927"/>
    </row>
    <row r="15" spans="1:5" ht="14.25">
      <c r="A15" s="1927"/>
      <c r="B15" s="2785" t="str">
        <f>IF('数据-取费表'!E3="否",结果表!F110,'结果表 (1修多)'!F111)</f>
        <v>3.房地产抵押价值</v>
      </c>
      <c r="C15" s="1928" t="str">
        <f>C7</f>
        <v>总价（元）</v>
      </c>
      <c r="D15" s="1934">
        <f ca="1">IF('数据-取费表'!E3="否",结果表!I110,'结果表 (1修多)'!I111)</f>
        <v>6662606</v>
      </c>
      <c r="E15" s="1927"/>
    </row>
    <row r="16" spans="1:5" ht="28.5">
      <c r="A16" s="1927"/>
      <c r="B16" s="2785"/>
      <c r="C16" s="1935" t="s">
        <v>1175</v>
      </c>
      <c r="D16" s="1934" t="str">
        <f ca="1">IF('数据-取费表'!B3="万元",NUMBERSTRING(INT(D15*10000),2)&amp;"元整",NUMBERSTRING(INT(D15),2)&amp;"元整")</f>
        <v>陆佰陆拾陆万贰仟陆佰零陆元整</v>
      </c>
      <c r="E16" s="1927"/>
    </row>
    <row r="17" spans="1:5" ht="14.25">
      <c r="A17" s="1927"/>
      <c r="B17" s="2785"/>
      <c r="C17" s="1937" t="s">
        <v>1273</v>
      </c>
      <c r="D17" s="1934">
        <f ca="1">IF('数据-取费表'!E3="否",结果表!I111,'结果表 (1修多)'!I112)</f>
        <v>100628</v>
      </c>
      <c r="E17" s="1927"/>
    </row>
    <row r="18" spans="1:5" ht="14.25">
      <c r="A18" s="1927"/>
      <c r="B18" s="2785" t="str">
        <f>IF('数据-取费表'!E3="否",结果表!F112,'结果表 (1修多)'!F113)</f>
        <v>——</v>
      </c>
      <c r="C18" s="1928" t="str">
        <f>C7</f>
        <v>总价（元）</v>
      </c>
      <c r="D18" s="1934" t="str">
        <f>IF('数据-取费表'!E3="否",结果表!I112,'结果表 (1修多)'!I113)</f>
        <v>——</v>
      </c>
      <c r="E18" s="1927"/>
    </row>
    <row r="19" spans="1:5" ht="14.25">
      <c r="A19" s="1927"/>
      <c r="B19" s="2785"/>
      <c r="C19" s="1935" t="s">
        <v>1175</v>
      </c>
      <c r="D19" s="1934" t="e">
        <f>IF('数据-取费表'!B3="万元",NUMBERSTRING(INT(D18*10000),2)&amp;"元整",NUMBERSTRING(INT(D18),2)&amp;"元整")</f>
        <v>#VALUE!</v>
      </c>
      <c r="E19" s="1927"/>
    </row>
    <row r="20" spans="1:5" ht="14.25">
      <c r="A20" s="1927"/>
      <c r="B20" s="2785"/>
      <c r="C20" s="1937" t="s">
        <v>1273</v>
      </c>
      <c r="D20" s="1934" t="str">
        <f>IF('数据-取费表'!E3="否",结果表!I113,'结果表 (1修多)'!I114)</f>
        <v>——</v>
      </c>
      <c r="E20" s="1927"/>
    </row>
    <row r="21" spans="1:5" ht="14.25">
      <c r="A21" s="1927"/>
      <c r="B21" s="2778" t="str">
        <f>IF('数据-取费表'!E3="否",结果表!F114,'结果表 (1修多)'!F115)</f>
        <v>——</v>
      </c>
      <c r="C21" s="1933" t="str">
        <f>C7</f>
        <v>总价（元）</v>
      </c>
      <c r="D21" s="1934" t="str">
        <f>IF('数据-取费表'!E3="否",结果表!I114,'结果表 (1修多)'!I115)</f>
        <v>——</v>
      </c>
      <c r="E21" s="1927"/>
    </row>
    <row r="22" spans="1:5" ht="14.25">
      <c r="A22" s="1927"/>
      <c r="B22" s="2778"/>
      <c r="C22" s="1935" t="s">
        <v>1175</v>
      </c>
      <c r="D22" s="1936" t="e">
        <f>IF('数据-取费表'!B3="万元",NUMBERSTRING(INT(D21*10000),2)&amp;"元整",NUMBERSTRING(INT(D21),2)&amp;"元整")</f>
        <v>#VALUE!</v>
      </c>
      <c r="E22" s="1927"/>
    </row>
    <row r="23" spans="1:5" ht="15" thickBot="1">
      <c r="A23" s="1927"/>
      <c r="B23" s="2779"/>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93" t="s">
        <v>1274</v>
      </c>
      <c r="C25" s="2793"/>
      <c r="D25" s="2793"/>
      <c r="E25" s="1927"/>
    </row>
    <row r="26" spans="1:5" ht="18.75" customHeight="1" thickTop="1">
      <c r="A26" s="1927"/>
      <c r="B26" s="2796" t="s">
        <v>1174</v>
      </c>
      <c r="C26" s="2797"/>
      <c r="D26" s="2794" t="s">
        <v>1173</v>
      </c>
      <c r="E26" s="1927"/>
    </row>
    <row r="27" spans="1:5" ht="18.75" customHeight="1">
      <c r="A27" s="1927"/>
      <c r="B27" s="2798"/>
      <c r="C27" s="2799"/>
      <c r="D27" s="2795"/>
      <c r="E27" s="1927"/>
    </row>
    <row r="28" spans="1:5" ht="14.25">
      <c r="A28" s="1927"/>
      <c r="B28" s="2786" t="s">
        <v>784</v>
      </c>
      <c r="C28" s="1944" t="s">
        <v>1176</v>
      </c>
      <c r="D28" s="1945">
        <f ca="1">IF('数据-取费表'!E3="否",结果表!I102,'结果表 (1修多)'!I103)</f>
        <v>6663639</v>
      </c>
      <c r="E28" s="1927"/>
    </row>
    <row r="29" spans="1:5" ht="28.5">
      <c r="A29" s="1927"/>
      <c r="B29" s="2787"/>
      <c r="C29" s="1946" t="s">
        <v>1175</v>
      </c>
      <c r="D29" s="1947" t="str">
        <f ca="1">IF('数据-取费表'!B3="万元",NUMBERSTRING(INT(D28*10000),2)&amp;"元整",NUMBERSTRING(INT(D28),2)&amp;"元整")</f>
        <v>陆佰陆拾陆万叁仟陆佰叁拾玖元整</v>
      </c>
      <c r="E29" s="1927"/>
    </row>
    <row r="30" spans="1:5" ht="14.25">
      <c r="A30" s="1927"/>
      <c r="B30" s="2788"/>
      <c r="C30" s="1937" t="s">
        <v>1178</v>
      </c>
      <c r="D30" s="1948">
        <f ca="1">IF('数据-取费表'!E3="否",结果表!I103,'结果表 (1修多)'!I104)</f>
        <v>100644</v>
      </c>
      <c r="E30" s="1927"/>
    </row>
    <row r="31" spans="1:5" ht="14.25">
      <c r="A31" s="1927"/>
      <c r="B31" s="2791" t="str">
        <f>B10</f>
        <v>2.估价师所知悉的法定优先受偿款</v>
      </c>
      <c r="C31" s="1949" t="s">
        <v>1177</v>
      </c>
      <c r="D31" s="1950">
        <f>IF('数据-取费表'!E3="否",结果表!I105,'结果表 (1修多)'!I106)</f>
        <v>1033</v>
      </c>
      <c r="E31" s="1927"/>
    </row>
    <row r="32" spans="1:5" ht="14.25">
      <c r="A32" s="1927"/>
      <c r="B32" s="2800"/>
      <c r="C32" s="1946" t="s">
        <v>1175</v>
      </c>
      <c r="D32" s="1951" t="str">
        <f>IF('数据-取费表'!B3="万元",NUMBERSTRING(INT(D31*10000),2)&amp;"元整",NUMBERSTRING(INT(D31),2)&amp;"元整")</f>
        <v>壹仟零叁拾叁元整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1033</v>
      </c>
      <c r="E35" s="1927"/>
    </row>
    <row r="36" spans="1:5" ht="14.25">
      <c r="A36" s="1927"/>
      <c r="B36" s="2789" t="str">
        <f>B15</f>
        <v>3.房地产抵押价值</v>
      </c>
      <c r="C36" s="1949" t="str">
        <f>C28</f>
        <v>总价</v>
      </c>
      <c r="D36" s="1950">
        <f ca="1">IF('数据-取费表'!E3="否",结果表!I110,'结果表 (1修多)'!I111)</f>
        <v>6662606</v>
      </c>
      <c r="E36" s="1927"/>
    </row>
    <row r="37" spans="1:5" ht="28.5">
      <c r="A37" s="1927"/>
      <c r="B37" s="2789"/>
      <c r="C37" s="1946" t="s">
        <v>1175</v>
      </c>
      <c r="D37" s="1951" t="str">
        <f ca="1">IF('数据-取费表'!B3="万元",NUMBERSTRING(INT(D36*10000),2)&amp;"元整",NUMBERSTRING(INT(D36),2)&amp;"元整")</f>
        <v>陆佰陆拾陆万贰仟陆佰零陆元整</v>
      </c>
      <c r="E37" s="1927"/>
    </row>
    <row r="38" spans="1:5" ht="14.25">
      <c r="A38" s="1927"/>
      <c r="B38" s="2789"/>
      <c r="C38" s="1937" t="s">
        <v>1179</v>
      </c>
      <c r="D38" s="1948">
        <f ca="1">IF('数据-取费表'!E3="否",结果表!D113,'结果表 (1修多)'!D116)</f>
        <v>100628</v>
      </c>
      <c r="E38" s="1927"/>
    </row>
    <row r="39" spans="1:5" ht="14.25">
      <c r="A39" s="1927"/>
      <c r="B39" s="2790" t="str">
        <f>B18</f>
        <v>——</v>
      </c>
      <c r="C39" s="1949" t="str">
        <f>C28</f>
        <v>总价</v>
      </c>
      <c r="D39" s="1950" t="str">
        <f>IF('数据-取费表'!E3="否",结果表!I112,'结果表 (1修多)'!I113)</f>
        <v>——</v>
      </c>
      <c r="E39" s="1927"/>
    </row>
    <row r="40" spans="1:5" ht="14.25">
      <c r="A40" s="1927"/>
      <c r="B40" s="2790"/>
      <c r="C40" s="1946" t="s">
        <v>1175</v>
      </c>
      <c r="D40" s="1951" t="e">
        <f>IF('数据-取费表'!B3="万元",NUMBERSTRING(INT(D39*10000),2)&amp;"元整",NUMBERSTRING(INT(D39),2)&amp;"元整")</f>
        <v>#VALUE!</v>
      </c>
      <c r="E40" s="1927"/>
    </row>
    <row r="41" spans="1:5" ht="14.25">
      <c r="A41" s="1927"/>
      <c r="B41" s="2790"/>
      <c r="C41" s="1937" t="s">
        <v>1179</v>
      </c>
      <c r="D41" s="1948" t="str">
        <f>IF('数据-取费表'!E3="否",结果表!D115,'结果表 (1修多)'!D118)</f>
        <v>——</v>
      </c>
      <c r="E41" s="1927"/>
    </row>
    <row r="42" spans="1:5" ht="14.25">
      <c r="A42" s="1927"/>
      <c r="B42" s="2789" t="str">
        <f>B21</f>
        <v>——</v>
      </c>
      <c r="C42" s="1949" t="str">
        <f>C28</f>
        <v>总价</v>
      </c>
      <c r="D42" s="1950" t="str">
        <f>IF('数据-取费表'!E3="否",结果表!I114,'结果表 (1修多)'!I115)</f>
        <v>——</v>
      </c>
      <c r="E42" s="1927"/>
    </row>
    <row r="43" spans="1:5" ht="14.25">
      <c r="A43" s="1927"/>
      <c r="B43" s="2791"/>
      <c r="C43" s="1946" t="s">
        <v>1175</v>
      </c>
      <c r="D43" s="1952" t="e">
        <f>IF('数据-取费表'!B3="万元",NUMBERSTRING(INT(D42*10000),2)&amp;"元整",NUMBERSTRING(INT(D42),2)&amp;"元整")</f>
        <v>#VALUE!</v>
      </c>
      <c r="E43" s="1927"/>
    </row>
    <row r="44" spans="1:5" ht="15" thickBot="1">
      <c r="A44" s="1927"/>
      <c r="B44" s="279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7" t="str">
        <f>IF(项目基本情况!D5="房地产市场价值","估价结果一览表","结果表-2")</f>
        <v>结果表-2</v>
      </c>
      <c r="B1" s="2807"/>
      <c r="C1" s="2807"/>
      <c r="D1" s="2807"/>
      <c r="E1" s="2807"/>
      <c r="F1" s="2807"/>
      <c r="G1" s="2807"/>
      <c r="H1" s="2807"/>
      <c r="I1" s="2807"/>
    </row>
    <row r="2" spans="1:9" ht="30" customHeight="1" thickTop="1">
      <c r="A2" s="2808" t="s">
        <v>1275</v>
      </c>
      <c r="B2" s="2808" t="s">
        <v>1276</v>
      </c>
      <c r="C2" s="2808" t="s">
        <v>1277</v>
      </c>
      <c r="D2" s="2808" t="str">
        <f>IF('数据-取费表'!E3="否",结果表!D119,'结果表 (1修多)'!D122)</f>
        <v>出让国有建设用地使用权价值</v>
      </c>
      <c r="E2" s="2808"/>
      <c r="F2" s="2808" t="s">
        <v>1278</v>
      </c>
      <c r="G2" s="2808"/>
      <c r="H2" s="2808" t="s">
        <v>1279</v>
      </c>
      <c r="I2" s="2808"/>
    </row>
    <row r="3" spans="1:9" ht="15">
      <c r="A3" s="2803"/>
      <c r="B3" s="2803"/>
      <c r="C3" s="2803"/>
      <c r="D3" s="1049" t="s">
        <v>1280</v>
      </c>
      <c r="E3" s="1049" t="s">
        <v>1281</v>
      </c>
      <c r="F3" s="1049" t="s">
        <v>1280</v>
      </c>
      <c r="G3" s="1049" t="s">
        <v>1282</v>
      </c>
      <c r="H3" s="1049" t="s">
        <v>1280</v>
      </c>
      <c r="I3" s="1049" t="s">
        <v>1282</v>
      </c>
    </row>
    <row r="4" spans="1:9" ht="46.5" customHeight="1">
      <c r="A4" s="1049" t="str">
        <f>项目基本情况!I1</f>
        <v>北京市房地产</v>
      </c>
      <c r="B4" s="1049">
        <f>结果表!B121</f>
        <v>66.209999999999994</v>
      </c>
      <c r="C4" s="1049">
        <f>结果表!C121</f>
        <v>0</v>
      </c>
      <c r="D4" s="1049">
        <f ca="1">IF('数据-取费表'!E3="否",结果表!D121,'结果表 (1修多)'!D124)</f>
        <v>6457064</v>
      </c>
      <c r="E4" s="1049">
        <f ca="1">IF('数据-取费表'!E3="否",结果表!E121,'结果表 (1修多)'!E124)</f>
        <v>97524</v>
      </c>
      <c r="F4" s="1049">
        <f ca="1">IF('数据-取费表'!E3="否",结果表!F121,'结果表 (1修多)'!F124)</f>
        <v>206575</v>
      </c>
      <c r="G4" s="1049">
        <f ca="1">IF('数据-取费表'!E3="否",结果表!G121,'结果表 (1修多)'!G124)</f>
        <v>3120</v>
      </c>
      <c r="H4" s="1049">
        <f ca="1">IF('数据-取费表'!E3="否",结果表!H121,'结果表 (1修多)'!H124)</f>
        <v>6663639</v>
      </c>
      <c r="I4" s="1049">
        <f ca="1">IF('数据-取费表'!E3="否",结果表!I121,'结果表 (1修多)'!I124)</f>
        <v>100644</v>
      </c>
    </row>
    <row r="5" spans="1:9" ht="15">
      <c r="A5" s="2803" t="s">
        <v>1283</v>
      </c>
      <c r="B5" s="2803"/>
      <c r="C5" s="2803"/>
      <c r="D5" s="2801" t="str">
        <f ca="1">IF('数据-取费表'!E3="否",结果表!D122,'结果表 (1修多)'!D125)</f>
        <v>陆佰肆拾伍万柒仟零陆拾肆元整</v>
      </c>
      <c r="E5" s="2801"/>
      <c r="F5" s="2801" t="str">
        <f ca="1">IF('数据-取费表'!E3="否",结果表!F122,'结果表 (1修多)'!F125)</f>
        <v>贰拾万陆仟伍佰柒拾伍元整</v>
      </c>
      <c r="G5" s="2801"/>
      <c r="H5" s="2801" t="str">
        <f ca="1">IF('数据-取费表'!E3="否",结果表!H122,'结果表 (1修多)'!H125)</f>
        <v>陆佰陆拾陆万叁仟陆佰叁拾玖元整</v>
      </c>
      <c r="I5" s="2801"/>
    </row>
    <row r="6" spans="1:9" ht="15.75">
      <c r="A6" s="2802" t="str">
        <f>IF('数据-取费表'!E3="否",结果表!A123,'结果表 (1修多)'!A126)</f>
        <v>估价师所知悉的法定优先受偿款</v>
      </c>
      <c r="B6" s="2802"/>
      <c r="C6" s="2802"/>
      <c r="D6" s="2802">
        <f>IF('数据-取费表'!E3="否",结果表!D123,'结果表 (1修多)'!D126)</f>
        <v>1033</v>
      </c>
      <c r="E6" s="2802"/>
      <c r="F6" s="2802"/>
      <c r="G6" s="2802"/>
      <c r="H6" s="2802"/>
      <c r="I6" s="2802"/>
    </row>
    <row r="7" spans="1:9" ht="15">
      <c r="A7" s="2803" t="s">
        <v>1283</v>
      </c>
      <c r="B7" s="2803"/>
      <c r="C7" s="2803"/>
      <c r="D7" s="2804">
        <f>IF('数据-取费表'!E3="否",结果表!D124,'结果表 (1修多)'!D127)</f>
        <v>0</v>
      </c>
      <c r="E7" s="2805"/>
      <c r="F7" s="2805"/>
      <c r="G7" s="2805"/>
      <c r="H7" s="2805"/>
      <c r="I7" s="2806"/>
    </row>
    <row r="8" spans="1:9" ht="15.75">
      <c r="A8" s="2802" t="str">
        <f>IF('数据-取费表'!E3="否",结果表!A125,'结果表 (1修多)'!A128)</f>
        <v>房地产抵押价值</v>
      </c>
      <c r="B8" s="2802"/>
      <c r="C8" s="2802"/>
      <c r="D8" s="2802">
        <f ca="1">IF('数据-取费表'!E3="否",结果表!D125,'结果表 (1修多)'!D128)</f>
        <v>6662606</v>
      </c>
      <c r="E8" s="2802"/>
      <c r="F8" s="2802"/>
      <c r="G8" s="2802"/>
      <c r="H8" s="2802"/>
      <c r="I8" s="2802"/>
    </row>
    <row r="9" spans="1:9" ht="15">
      <c r="A9" s="2803" t="s">
        <v>1283</v>
      </c>
      <c r="B9" s="2803"/>
      <c r="C9" s="2803"/>
      <c r="D9" s="2801">
        <f ca="1">IF('数据-取费表'!E3="否",结果表!D126,'结果表 (1修多)'!D129)</f>
        <v>100628</v>
      </c>
      <c r="E9" s="2801"/>
      <c r="F9" s="2801"/>
      <c r="G9" s="2801"/>
      <c r="H9" s="2801"/>
      <c r="I9" s="2801"/>
    </row>
    <row r="10" spans="1:9" ht="15.75">
      <c r="A10" s="2802" t="str">
        <f>IF('数据-取费表'!E3="否",结果表!A127,'结果表 (1修多)'!A130)</f>
        <v/>
      </c>
      <c r="B10" s="2802"/>
      <c r="C10" s="2802"/>
      <c r="D10" s="2802" t="str">
        <f>IF('数据-取费表'!E3="否",结果表!D127,'结果表 (1修多)'!D129)</f>
        <v>——</v>
      </c>
      <c r="E10" s="2802"/>
      <c r="F10" s="2802"/>
      <c r="G10" s="2802"/>
      <c r="H10" s="2802"/>
      <c r="I10" s="2802"/>
    </row>
    <row r="11" spans="1:9" ht="15">
      <c r="A11" s="2803" t="s">
        <v>1283</v>
      </c>
      <c r="B11" s="2803"/>
      <c r="C11" s="2803"/>
      <c r="D11" s="2801" t="str">
        <f>IF('数据-取费表'!E3="否",结果表!D128,'结果表 (1修多)'!D131)</f>
        <v>——</v>
      </c>
      <c r="E11" s="2801"/>
      <c r="F11" s="2801"/>
      <c r="G11" s="2801"/>
      <c r="H11" s="2801"/>
      <c r="I11" s="2801"/>
    </row>
    <row r="12" spans="1:9" ht="15.75">
      <c r="A12" s="2802" t="str">
        <f>IF('数据-取费表'!E3="否",结果表!A129,'结果表 (1修多)'!A132)</f>
        <v/>
      </c>
      <c r="B12" s="2802"/>
      <c r="C12" s="2802"/>
      <c r="D12" s="2802" t="str">
        <f>IF('数据-取费表'!E3="否",结果表!D129,'结果表 (1修多)'!D132)</f>
        <v>——</v>
      </c>
      <c r="E12" s="2802"/>
      <c r="F12" s="2802"/>
      <c r="G12" s="2802"/>
      <c r="H12" s="2802"/>
      <c r="I12" s="2802"/>
    </row>
    <row r="13" spans="1:9" ht="15.75" thickBot="1">
      <c r="A13" s="2809" t="s">
        <v>1283</v>
      </c>
      <c r="B13" s="2809"/>
      <c r="C13" s="2809"/>
      <c r="D13" s="2810">
        <f>IF('数据-取费表'!E3="否",结果表!D130,'结果表 (1修多)'!D133)</f>
        <v>0</v>
      </c>
      <c r="E13" s="2810"/>
      <c r="F13" s="2810"/>
      <c r="G13" s="2810"/>
      <c r="H13" s="2810"/>
      <c r="I13" s="2810"/>
    </row>
    <row r="14" spans="1:9" ht="15" thickTop="1">
      <c r="A14" s="2811" t="str">
        <f>IF('数据-取费表'!E3="否",结果表!A131,'结果表 (1修多)'!A134)</f>
        <v>单位：平方米、元、元/平方米（币种：人民币）</v>
      </c>
      <c r="B14" s="2811"/>
      <c r="C14" s="2811"/>
      <c r="D14" s="2811"/>
      <c r="E14" s="2811"/>
      <c r="F14" s="2811"/>
      <c r="G14" s="2811"/>
      <c r="H14" s="2811"/>
      <c r="I14" s="2811"/>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6" t="s">
        <v>1297</v>
      </c>
      <c r="B1" s="2816"/>
      <c r="C1" s="2816"/>
      <c r="D1" s="2816"/>
    </row>
    <row r="2" spans="1:4" ht="18">
      <c r="A2" s="2815" t="s">
        <v>1285</v>
      </c>
      <c r="B2" s="2815"/>
      <c r="C2" s="2815"/>
      <c r="D2" s="2815"/>
    </row>
    <row r="3" spans="1:4" ht="18.75">
      <c r="A3" s="1956" t="s">
        <v>1286</v>
      </c>
      <c r="B3" s="1956" t="s">
        <v>1287</v>
      </c>
      <c r="C3" s="1956" t="s">
        <v>1288</v>
      </c>
      <c r="D3" s="1956" t="s">
        <v>1289</v>
      </c>
    </row>
    <row r="4" spans="1:4" ht="56.25" customHeight="1">
      <c r="A4" s="1957" t="str">
        <f>项目基本情况!B3</f>
        <v>注册房地产估价师</v>
      </c>
      <c r="B4" s="1958">
        <f>项目基本情况!C3</f>
        <v>0</v>
      </c>
      <c r="C4" s="1959"/>
      <c r="D4" s="1960" t="s">
        <v>1298</v>
      </c>
    </row>
    <row r="5" spans="1:4" ht="56.25" customHeight="1">
      <c r="A5" s="1957" t="str">
        <f>项目基本情况!D3</f>
        <v>注册房地产估价师</v>
      </c>
      <c r="B5" s="1958">
        <f>项目基本情况!E3</f>
        <v>0</v>
      </c>
      <c r="C5" s="1961"/>
      <c r="D5" s="1960" t="s">
        <v>1298</v>
      </c>
    </row>
    <row r="6" spans="1:4" ht="12" customHeight="1">
      <c r="A6" s="1957"/>
      <c r="B6" s="1958"/>
      <c r="C6" s="1962"/>
      <c r="D6" s="1960"/>
    </row>
    <row r="7" spans="1:4" ht="18">
      <c r="A7" s="2815" t="s">
        <v>1290</v>
      </c>
      <c r="B7" s="2815"/>
      <c r="C7" s="2815"/>
      <c r="D7" s="2815"/>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2" t="s">
        <v>1299</v>
      </c>
      <c r="B12" s="2814"/>
      <c r="C12" s="2814"/>
      <c r="D12" s="2814"/>
    </row>
    <row r="13" spans="1:4" ht="15.75">
      <c r="A13" s="28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4"/>
      <c r="C13" s="2814"/>
      <c r="D13" s="2814"/>
    </row>
    <row r="14" spans="1:4" ht="30" customHeight="1">
      <c r="A14" s="2812" t="str">
        <f>IF(项目基本情况!D4="抵押","3.抵押双方在办理抵押登记手续时，应使用本公司出具的正式《房地产评估报告》，特提醒报告使用者注意。","——")</f>
        <v>——</v>
      </c>
      <c r="B14" s="2814"/>
      <c r="C14" s="2814"/>
      <c r="D14" s="2814"/>
    </row>
    <row r="15" spans="1:4" ht="15.75" customHeight="1">
      <c r="A15" s="2812" t="str">
        <f>IF(项目基本情况!D4="抵押","4.本次评估估价师所知悉的法定优先受偿款情况说明如下：","——")</f>
        <v>——</v>
      </c>
      <c r="B15" s="2814"/>
      <c r="C15" s="2814"/>
      <c r="D15" s="2814"/>
    </row>
    <row r="16" spans="1:4" ht="75" customHeight="1">
      <c r="A16" s="2812" t="str">
        <f>IF(项目基本情况!D4="抵押",CONCATENATE(项目基本情况!J13,项目基本情况!J14,项目基本情况!J15),"——")</f>
        <v>——</v>
      </c>
      <c r="B16" s="2812"/>
      <c r="C16" s="2812"/>
      <c r="D16" s="2812"/>
    </row>
    <row r="17" spans="1:4" ht="63.75" customHeight="1">
      <c r="A17" s="2813" t="s">
        <v>1300</v>
      </c>
      <c r="B17" s="2813"/>
      <c r="C17" s="2813"/>
      <c r="D17" s="2813"/>
    </row>
    <row r="18" spans="1:4" ht="15.75" customHeight="1">
      <c r="A18" s="2812" t="str">
        <f>IF(项目基本情况!D4="抵押",结果表!K106,"——")</f>
        <v>——</v>
      </c>
      <c r="B18" s="2812"/>
      <c r="C18" s="2812"/>
      <c r="D18" s="2812"/>
    </row>
    <row r="19" spans="1:4" ht="46.5" customHeight="1">
      <c r="A19" s="28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2"/>
      <c r="C19" s="2812"/>
      <c r="D19" s="2812"/>
    </row>
    <row r="20" spans="1:4" ht="15">
      <c r="A20" s="2813" t="s">
        <v>1293</v>
      </c>
      <c r="B20" s="2813"/>
      <c r="C20" s="2813"/>
      <c r="D20" s="2813"/>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22" t="s">
        <v>1379</v>
      </c>
      <c r="B15" s="2817" t="s">
        <v>1380</v>
      </c>
      <c r="C15" s="2818"/>
    </row>
    <row r="16" spans="1:7" ht="14.25">
      <c r="A16" s="2823"/>
      <c r="B16" s="2817" t="s">
        <v>1381</v>
      </c>
      <c r="C16" s="2818"/>
    </row>
    <row r="17" spans="1:3" ht="14.25">
      <c r="A17" s="2823"/>
      <c r="B17" s="2817" t="s">
        <v>1382</v>
      </c>
      <c r="C17" s="2818"/>
    </row>
    <row r="18" spans="1:3" ht="14.25">
      <c r="A18" s="2824"/>
      <c r="B18" s="2819" t="s">
        <v>1383</v>
      </c>
      <c r="C18" s="2818"/>
    </row>
    <row r="19" spans="1:3" ht="14.25">
      <c r="A19" s="1980" t="s">
        <v>1384</v>
      </c>
      <c r="B19" s="1981"/>
      <c r="C19" s="1982"/>
    </row>
    <row r="20" spans="1:3" ht="14.25">
      <c r="A20" s="2820" t="s">
        <v>1385</v>
      </c>
      <c r="B20" s="2819" t="s">
        <v>1386</v>
      </c>
      <c r="C20" s="2818"/>
    </row>
    <row r="21" spans="1:3" ht="14.25">
      <c r="A21" s="2820"/>
      <c r="B21" s="2819" t="s">
        <v>1387</v>
      </c>
      <c r="C21" s="2818"/>
    </row>
    <row r="22" spans="1:3" ht="14.25">
      <c r="A22" s="2820"/>
      <c r="B22" s="2819" t="s">
        <v>1388</v>
      </c>
      <c r="C22" s="2818"/>
    </row>
    <row r="23" spans="1:3" ht="14.25">
      <c r="A23" s="2820"/>
      <c r="B23" s="2821" t="s">
        <v>1389</v>
      </c>
      <c r="C23" s="1983" t="s">
        <v>1390</v>
      </c>
    </row>
    <row r="24" spans="1:3" ht="14.25">
      <c r="A24" s="2820"/>
      <c r="B24" s="2821"/>
      <c r="C24" s="1983" t="s">
        <v>1391</v>
      </c>
    </row>
    <row r="25" spans="1:3" ht="14.25">
      <c r="A25" s="2820"/>
      <c r="B25" s="2821"/>
      <c r="C25" s="1983" t="s">
        <v>1392</v>
      </c>
    </row>
    <row r="26" spans="1:3" ht="14.25">
      <c r="A26" s="2820"/>
      <c r="B26" s="2821"/>
      <c r="C26" s="1983" t="s">
        <v>1393</v>
      </c>
    </row>
    <row r="27" spans="1:3" ht="14.25">
      <c r="A27" s="2820"/>
      <c r="B27" s="2821"/>
      <c r="C27" s="1983" t="s">
        <v>1394</v>
      </c>
    </row>
    <row r="28" spans="1:3" ht="14.25">
      <c r="A28" s="2820"/>
      <c r="B28" s="2821"/>
      <c r="C28" s="1983" t="s">
        <v>1395</v>
      </c>
    </row>
    <row r="29" spans="1:3" ht="14.25">
      <c r="A29" s="2820"/>
      <c r="B29" s="2821"/>
      <c r="C29" s="1983" t="s">
        <v>1396</v>
      </c>
    </row>
    <row r="30" spans="1:3" ht="14.25">
      <c r="A30" s="2820"/>
      <c r="B30" s="2821"/>
      <c r="C30" s="1983" t="s">
        <v>1397</v>
      </c>
    </row>
    <row r="31" spans="1:3" ht="14.25">
      <c r="A31" s="2820"/>
      <c r="B31" s="2821"/>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5" t="s">
        <v>768</v>
      </c>
      <c r="B25" s="2825"/>
      <c r="C25" s="2825"/>
      <c r="D25" s="2825"/>
      <c r="E25" s="2825"/>
      <c r="F25" s="2825"/>
      <c r="G25" s="2825"/>
      <c r="H25" s="2825"/>
    </row>
    <row r="26" spans="1:8" s="1034" customFormat="1" ht="24" customHeight="1">
      <c r="A26" s="2826" t="s">
        <v>769</v>
      </c>
      <c r="B26" s="2826"/>
      <c r="C26" s="2826"/>
      <c r="D26" s="1062"/>
      <c r="E26" s="1062"/>
      <c r="F26" s="2826" t="s">
        <v>770</v>
      </c>
      <c r="G26" s="2826"/>
      <c r="H26" s="282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7"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本次估价的“房地产价值”是指在正常市场情况下，在价值时点2018年8月27日，估价对象规划用途为，假定未设立法定优先受偿款下的房地产市场价值。</v>
      </c>
    </row>
    <row r="54" spans="1:4">
      <c r="A54" s="2827"/>
      <c r="B54" s="9" t="s">
        <v>1535</v>
      </c>
      <c r="C54" s="9" t="s">
        <v>1536</v>
      </c>
    </row>
    <row r="55" spans="1:4">
      <c r="A55" s="2827"/>
      <c r="B55" s="9" t="s">
        <v>1537</v>
      </c>
      <c r="C55" s="9" t="s">
        <v>1538</v>
      </c>
    </row>
    <row r="56" spans="1:4">
      <c r="A56" s="2827"/>
      <c r="B56" s="9" t="s">
        <v>1539</v>
      </c>
      <c r="C56" s="9" t="s">
        <v>1540</v>
      </c>
    </row>
    <row r="57" spans="1:4">
      <c r="A57" s="2827"/>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2018-09-20T09:23:44Z</dcterms:modified>
</cp:coreProperties>
</file>