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办）" sheetId="81" r:id="rId23"/>
    <sheet name="收益法 (元)" sheetId="67" state="hidden" r:id="rId24"/>
    <sheet name="收益法-酒店模型" sheetId="77" state="hidden" r:id="rId25"/>
    <sheet name="收益法（汇总）" sheetId="70" r:id="rId26"/>
    <sheet name="结果表(住宅)" sheetId="82" r:id="rId27"/>
    <sheet name="比较法-住宅" sheetId="21" r:id="rId28"/>
    <sheet name="比较法-商业" sheetId="33" state="hidden" r:id="rId29"/>
    <sheet name="结果表(办公)" sheetId="83"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r:id="rId38"/>
    <sheet name="基准地价修正" sheetId="43" r:id="rId39"/>
    <sheet name="基准地价修正(住宅)" sheetId="80"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9">'基准地价修正(住宅)'!$A$1:$J$44,'基准地价修正(住宅)'!$A$47:$H$101,'基准地价修正(住宅)'!$R$1:$V$16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9">'结果表(办公)'!$A$1:$I$127</definedName>
    <definedName name="_xlnm.Print_Area" localSheetId="26">'结果表(住宅)'!$A$1:$I$127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2">'收益法（办）'!$A$1:$F$43,'收益法（办）'!$H$3:$M$29,'收益法（办）'!$A$46:$F$71,'收益法（办）'!$I$46:$N$65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'基准地价修正(住宅)'!$Q$19:$AD$19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I7" i="34"/>
  <c r="G7" i="34"/>
  <c r="E7" i="34"/>
  <c r="A124" i="83"/>
  <c r="A120" i="83"/>
  <c r="B118" i="83"/>
  <c r="A118" i="83"/>
  <c r="E111" i="83"/>
  <c r="H112" i="83" s="1"/>
  <c r="H109" i="83"/>
  <c r="D124" i="83" s="1"/>
  <c r="D125" i="83" s="1"/>
  <c r="E109" i="83"/>
  <c r="E107" i="83"/>
  <c r="A122" i="83" s="1"/>
  <c r="H106" i="83"/>
  <c r="H105" i="83"/>
  <c r="H104" i="83"/>
  <c r="H103" i="83"/>
  <c r="D120" i="83" s="1"/>
  <c r="D101" i="83"/>
  <c r="C101" i="83"/>
  <c r="D93" i="83"/>
  <c r="C91" i="83"/>
  <c r="E90" i="83"/>
  <c r="D89" i="83"/>
  <c r="C89" i="83" s="1"/>
  <c r="C87" i="83" s="1"/>
  <c r="D78" i="83"/>
  <c r="H77" i="83"/>
  <c r="D77" i="83"/>
  <c r="C77" i="83"/>
  <c r="C76" i="83"/>
  <c r="C74" i="83"/>
  <c r="D68" i="83"/>
  <c r="F59" i="83"/>
  <c r="E59" i="83"/>
  <c r="N55" i="83" s="1"/>
  <c r="N56" i="83"/>
  <c r="M56" i="83"/>
  <c r="K56" i="83"/>
  <c r="J56" i="83"/>
  <c r="F56" i="83"/>
  <c r="O55" i="83"/>
  <c r="K55" i="83"/>
  <c r="J55" i="83"/>
  <c r="J57" i="83" s="1"/>
  <c r="J59" i="83" s="1"/>
  <c r="J61" i="83" s="1"/>
  <c r="I55" i="83"/>
  <c r="F55" i="83"/>
  <c r="O54" i="83"/>
  <c r="N54" i="83"/>
  <c r="F54" i="83"/>
  <c r="O53" i="83"/>
  <c r="N53" i="83"/>
  <c r="F53" i="83"/>
  <c r="F52" i="83"/>
  <c r="M49" i="83"/>
  <c r="L66" i="83" s="1"/>
  <c r="M66" i="83" s="1"/>
  <c r="K49" i="83"/>
  <c r="F48" i="83"/>
  <c r="O52" i="83" s="1"/>
  <c r="E48" i="83"/>
  <c r="N52" i="83" s="1"/>
  <c r="D48" i="83"/>
  <c r="M52" i="83" s="1"/>
  <c r="M47" i="83"/>
  <c r="F33" i="83"/>
  <c r="D27" i="83"/>
  <c r="C25" i="83"/>
  <c r="C24" i="83"/>
  <c r="M19" i="83"/>
  <c r="C118" i="83" s="1"/>
  <c r="L19" i="83"/>
  <c r="M18" i="83"/>
  <c r="L18" i="83"/>
  <c r="C18" i="83"/>
  <c r="D18" i="83" s="1"/>
  <c r="D17" i="83"/>
  <c r="C17" i="83"/>
  <c r="L4" i="83"/>
  <c r="K4" i="83"/>
  <c r="A2" i="83"/>
  <c r="H1" i="83"/>
  <c r="A126" i="82"/>
  <c r="A120" i="82"/>
  <c r="A118" i="82"/>
  <c r="H112" i="82"/>
  <c r="H111" i="82"/>
  <c r="D126" i="82" s="1"/>
  <c r="D127" i="82" s="1"/>
  <c r="E111" i="82"/>
  <c r="E109" i="82"/>
  <c r="A124" i="82" s="1"/>
  <c r="E107" i="82"/>
  <c r="A122" i="82" s="1"/>
  <c r="H106" i="82"/>
  <c r="H103" i="82" s="1"/>
  <c r="D120" i="82" s="1"/>
  <c r="H105" i="82"/>
  <c r="H104" i="82"/>
  <c r="D101" i="82"/>
  <c r="C101" i="82"/>
  <c r="D93" i="82"/>
  <c r="C91" i="82"/>
  <c r="E90" i="82"/>
  <c r="D89" i="82"/>
  <c r="C89" i="82"/>
  <c r="C87" i="82"/>
  <c r="C92" i="82" s="1"/>
  <c r="D78" i="82"/>
  <c r="H77" i="82"/>
  <c r="D77" i="82"/>
  <c r="C77" i="82"/>
  <c r="C76" i="82"/>
  <c r="C74" i="82" s="1"/>
  <c r="D68" i="82"/>
  <c r="F59" i="82"/>
  <c r="O55" i="82" s="1"/>
  <c r="E59" i="82"/>
  <c r="N56" i="82"/>
  <c r="M56" i="82"/>
  <c r="K56" i="82"/>
  <c r="J56" i="82"/>
  <c r="J57" i="82" s="1"/>
  <c r="J59" i="82" s="1"/>
  <c r="J61" i="82" s="1"/>
  <c r="F56" i="82"/>
  <c r="O54" i="82" s="1"/>
  <c r="N55" i="82"/>
  <c r="K55" i="82"/>
  <c r="J55" i="82"/>
  <c r="I55" i="82"/>
  <c r="F55" i="82"/>
  <c r="O53" i="82" s="1"/>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I47" i="21"/>
  <c r="G47" i="21"/>
  <c r="I37" i="21"/>
  <c r="G37" i="21"/>
  <c r="E37" i="21"/>
  <c r="I7" i="21"/>
  <c r="G7" i="21"/>
  <c r="E7" i="21"/>
  <c r="Z7" i="1"/>
  <c r="P74" i="81"/>
  <c r="Q72" i="81"/>
  <c r="Q59" i="81"/>
  <c r="K59" i="81"/>
  <c r="P61" i="81" s="1"/>
  <c r="Q58" i="81"/>
  <c r="Q51" i="81"/>
  <c r="J50" i="81"/>
  <c r="J51" i="81" s="1"/>
  <c r="M47" i="81"/>
  <c r="D46" i="81"/>
  <c r="F34" i="81"/>
  <c r="F62" i="81" s="1"/>
  <c r="F33" i="81"/>
  <c r="F61" i="81" s="1"/>
  <c r="F32" i="81"/>
  <c r="F60" i="81" s="1"/>
  <c r="F28" i="81"/>
  <c r="C28" i="81" s="1"/>
  <c r="F23" i="81"/>
  <c r="D24" i="81" s="1"/>
  <c r="F21" i="81"/>
  <c r="M20" i="81"/>
  <c r="F20" i="81"/>
  <c r="M19" i="81"/>
  <c r="M18" i="81"/>
  <c r="F18" i="81"/>
  <c r="F17" i="81"/>
  <c r="F15" i="81"/>
  <c r="G1" i="81"/>
  <c r="D33" i="80"/>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M101" i="80"/>
  <c r="N101" i="80" s="1"/>
  <c r="K101" i="80"/>
  <c r="J101" i="80" s="1"/>
  <c r="D101" i="80"/>
  <c r="B101" i="80"/>
  <c r="M100" i="80"/>
  <c r="N100" i="80" s="1"/>
  <c r="K100" i="80"/>
  <c r="J100" i="80" s="1"/>
  <c r="D100" i="80"/>
  <c r="B100" i="80"/>
  <c r="N99" i="80"/>
  <c r="M99" i="80"/>
  <c r="K99" i="80"/>
  <c r="J99" i="80"/>
  <c r="D99" i="80"/>
  <c r="B99" i="80"/>
  <c r="N98" i="80"/>
  <c r="M98" i="80"/>
  <c r="K98" i="80"/>
  <c r="J98" i="80"/>
  <c r="D98" i="80"/>
  <c r="M97" i="80"/>
  <c r="N97" i="80" s="1"/>
  <c r="K97" i="80"/>
  <c r="J97" i="80"/>
  <c r="D97" i="80"/>
  <c r="B97" i="80"/>
  <c r="N96" i="80"/>
  <c r="M96" i="80"/>
  <c r="K96" i="80"/>
  <c r="J96" i="80" s="1"/>
  <c r="D96" i="80"/>
  <c r="N95" i="80"/>
  <c r="M95" i="80"/>
  <c r="K95" i="80"/>
  <c r="J95" i="80"/>
  <c r="D95" i="80"/>
  <c r="B95" i="80"/>
  <c r="M94" i="80"/>
  <c r="N94" i="80" s="1"/>
  <c r="K94" i="80"/>
  <c r="J94" i="80" s="1"/>
  <c r="D94" i="80"/>
  <c r="B94" i="80"/>
  <c r="M93" i="80"/>
  <c r="N93" i="80" s="1"/>
  <c r="K93" i="80"/>
  <c r="J93" i="80" s="1"/>
  <c r="F93" i="80"/>
  <c r="H101" i="80" s="1"/>
  <c r="E93" i="80"/>
  <c r="B91" i="80" s="1"/>
  <c r="D93" i="80"/>
  <c r="M90" i="80"/>
  <c r="N90" i="80" s="1"/>
  <c r="K90" i="80"/>
  <c r="J90" i="80" s="1"/>
  <c r="D90" i="80"/>
  <c r="B90" i="80"/>
  <c r="M89" i="80"/>
  <c r="N89" i="80" s="1"/>
  <c r="K89" i="80"/>
  <c r="J89" i="80" s="1"/>
  <c r="D89" i="80"/>
  <c r="N88" i="80"/>
  <c r="M88" i="80"/>
  <c r="K88" i="80"/>
  <c r="J88" i="80"/>
  <c r="D88" i="80"/>
  <c r="B88" i="80"/>
  <c r="M87" i="80"/>
  <c r="N87" i="80" s="1"/>
  <c r="K87" i="80"/>
  <c r="J87" i="80" s="1"/>
  <c r="D87" i="80"/>
  <c r="B87" i="80"/>
  <c r="M86" i="80"/>
  <c r="N86" i="80" s="1"/>
  <c r="K86" i="80"/>
  <c r="J86" i="80" s="1"/>
  <c r="D86" i="80"/>
  <c r="B86" i="80"/>
  <c r="N85" i="80"/>
  <c r="M85" i="80"/>
  <c r="K85" i="80"/>
  <c r="J85" i="80"/>
  <c r="D85" i="80"/>
  <c r="B85" i="80"/>
  <c r="N84" i="80"/>
  <c r="M84" i="80"/>
  <c r="K84" i="80"/>
  <c r="J84" i="80"/>
  <c r="D84" i="80"/>
  <c r="B84" i="80"/>
  <c r="M83" i="80"/>
  <c r="N83" i="80" s="1"/>
  <c r="K83" i="80"/>
  <c r="J83" i="80" s="1"/>
  <c r="F83" i="80"/>
  <c r="H88" i="80" s="1"/>
  <c r="E83" i="80"/>
  <c r="B81" i="80" s="1"/>
  <c r="D83" i="80"/>
  <c r="B83" i="80"/>
  <c r="N80" i="80"/>
  <c r="M80" i="80"/>
  <c r="K80" i="80"/>
  <c r="J80" i="80"/>
  <c r="D80" i="80"/>
  <c r="M79" i="80"/>
  <c r="N79" i="80" s="1"/>
  <c r="K79" i="80"/>
  <c r="J79" i="80" s="1"/>
  <c r="D79" i="80"/>
  <c r="B79" i="80"/>
  <c r="N78" i="80"/>
  <c r="M78" i="80"/>
  <c r="K78" i="80"/>
  <c r="J78" i="80" s="1"/>
  <c r="N77" i="80"/>
  <c r="M77" i="80"/>
  <c r="K77" i="80"/>
  <c r="J77" i="80" s="1"/>
  <c r="D77" i="80" s="1"/>
  <c r="B77" i="80"/>
  <c r="M76" i="80"/>
  <c r="N76" i="80" s="1"/>
  <c r="K76" i="80"/>
  <c r="J76" i="80" s="1"/>
  <c r="D76" i="80"/>
  <c r="B76" i="80"/>
  <c r="N75" i="80"/>
  <c r="M75" i="80"/>
  <c r="K75" i="80"/>
  <c r="J75" i="80" s="1"/>
  <c r="D75" i="80"/>
  <c r="B75" i="80"/>
  <c r="N74" i="80"/>
  <c r="M74" i="80"/>
  <c r="K74" i="80"/>
  <c r="D74" i="80" s="1"/>
  <c r="J74" i="80"/>
  <c r="B74" i="80"/>
  <c r="N73" i="80"/>
  <c r="M73" i="80"/>
  <c r="K73" i="80"/>
  <c r="J73" i="80" s="1"/>
  <c r="D73" i="80"/>
  <c r="B73" i="80"/>
  <c r="M72" i="80"/>
  <c r="N72" i="80" s="1"/>
  <c r="K72" i="80"/>
  <c r="J72" i="80" s="1"/>
  <c r="B72" i="80"/>
  <c r="B69" i="80"/>
  <c r="B68" i="80"/>
  <c r="B67" i="80"/>
  <c r="D65" i="80"/>
  <c r="B65" i="80"/>
  <c r="B63" i="80"/>
  <c r="B62" i="80"/>
  <c r="B61" i="80"/>
  <c r="M58" i="80"/>
  <c r="N58" i="80" s="1"/>
  <c r="K58" i="80"/>
  <c r="J58" i="80"/>
  <c r="D58" i="80"/>
  <c r="B58" i="80"/>
  <c r="N57" i="80"/>
  <c r="M57" i="80"/>
  <c r="K57" i="80"/>
  <c r="J57" i="80"/>
  <c r="D57" i="80"/>
  <c r="B57" i="80"/>
  <c r="M56" i="80"/>
  <c r="N56" i="80" s="1"/>
  <c r="K56" i="80"/>
  <c r="J56" i="80" s="1"/>
  <c r="D56" i="80"/>
  <c r="B56" i="80"/>
  <c r="M55" i="80"/>
  <c r="N55" i="80" s="1"/>
  <c r="K55" i="80"/>
  <c r="J55" i="80" s="1"/>
  <c r="D55" i="80"/>
  <c r="N54" i="80"/>
  <c r="M54" i="80"/>
  <c r="K54" i="80"/>
  <c r="J54" i="80"/>
  <c r="D54" i="80"/>
  <c r="B54" i="80"/>
  <c r="M53" i="80"/>
  <c r="N53" i="80" s="1"/>
  <c r="K53" i="80"/>
  <c r="J53" i="80" s="1"/>
  <c r="D53" i="80"/>
  <c r="N52" i="80"/>
  <c r="M52" i="80"/>
  <c r="K52" i="80"/>
  <c r="J52" i="80"/>
  <c r="D52" i="80"/>
  <c r="B52" i="80"/>
  <c r="N51" i="80"/>
  <c r="M51" i="80"/>
  <c r="K51" i="80"/>
  <c r="J51" i="80"/>
  <c r="D51" i="80"/>
  <c r="B51" i="80"/>
  <c r="M50" i="80"/>
  <c r="N50" i="80" s="1"/>
  <c r="K50" i="80"/>
  <c r="J50" i="80" s="1"/>
  <c r="F50" i="80"/>
  <c r="H56" i="80" s="1"/>
  <c r="E50" i="80"/>
  <c r="D50" i="80"/>
  <c r="B50" i="80"/>
  <c r="B48" i="80"/>
  <c r="H42" i="80"/>
  <c r="H41" i="80"/>
  <c r="H40" i="80"/>
  <c r="H39" i="80"/>
  <c r="H38" i="80"/>
  <c r="H37" i="80"/>
  <c r="P28" i="80"/>
  <c r="P26" i="80"/>
  <c r="M24" i="80"/>
  <c r="J24" i="80"/>
  <c r="I24" i="80"/>
  <c r="G24" i="80"/>
  <c r="G18" i="80" s="1"/>
  <c r="E24" i="80"/>
  <c r="Q32" i="80" s="1"/>
  <c r="M23" i="80"/>
  <c r="I23" i="80"/>
  <c r="G23" i="80"/>
  <c r="P29" i="80" s="1"/>
  <c r="C23" i="80"/>
  <c r="C22" i="80"/>
  <c r="C20" i="80"/>
  <c r="G17" i="80"/>
  <c r="C17" i="80"/>
  <c r="C13" i="80"/>
  <c r="AI10" i="80"/>
  <c r="AE10" i="80"/>
  <c r="AA10" i="80"/>
  <c r="Y10" i="80"/>
  <c r="C10" i="80"/>
  <c r="C11" i="80" s="1"/>
  <c r="AJ9" i="80"/>
  <c r="AJ10" i="80" s="1"/>
  <c r="AI9" i="80"/>
  <c r="AH9" i="80"/>
  <c r="AH10" i="80" s="1"/>
  <c r="AG9" i="80"/>
  <c r="AG10" i="80" s="1"/>
  <c r="AF9" i="80"/>
  <c r="AF10" i="80" s="1"/>
  <c r="AE9" i="80"/>
  <c r="AD9" i="80"/>
  <c r="AD10" i="80" s="1"/>
  <c r="AC9" i="80"/>
  <c r="AC10" i="80" s="1"/>
  <c r="AB9" i="80"/>
  <c r="AB10" i="80" s="1"/>
  <c r="AA9" i="80"/>
  <c r="Z9" i="80"/>
  <c r="Z10" i="80" s="1"/>
  <c r="C9" i="80"/>
  <c r="F26" i="80"/>
  <c r="I2" i="80"/>
  <c r="N12" i="80" s="1"/>
  <c r="G2" i="80"/>
  <c r="F41" i="80" s="1"/>
  <c r="D1" i="80"/>
  <c r="D33" i="43"/>
  <c r="G62" i="43"/>
  <c r="G63" i="43"/>
  <c r="G64" i="43"/>
  <c r="G65" i="43"/>
  <c r="G66" i="43"/>
  <c r="G67" i="43"/>
  <c r="G68" i="43"/>
  <c r="G69" i="43"/>
  <c r="G61" i="43"/>
  <c r="Y7" i="1"/>
  <c r="Y6" i="1"/>
  <c r="N7" i="1"/>
  <c r="N6" i="1"/>
  <c r="N21" i="1"/>
  <c r="N19" i="1"/>
  <c r="L7" i="1"/>
  <c r="B21" i="1"/>
  <c r="F20" i="6"/>
  <c r="F19" i="6"/>
  <c r="D34" i="83"/>
  <c r="D35" i="83"/>
  <c r="D34" i="82"/>
  <c r="D35" i="82"/>
  <c r="C76" i="81"/>
  <c r="D121" i="83" l="1"/>
  <c r="K120" i="83"/>
  <c r="C92" i="83"/>
  <c r="C94" i="83"/>
  <c r="L63" i="83"/>
  <c r="M63" i="83" s="1"/>
  <c r="M69" i="83" s="1"/>
  <c r="N69" i="83" s="1"/>
  <c r="L65" i="83"/>
  <c r="M65" i="83" s="1"/>
  <c r="H111" i="83"/>
  <c r="D126" i="83" s="1"/>
  <c r="D127" i="83" s="1"/>
  <c r="A126" i="83"/>
  <c r="L67" i="83"/>
  <c r="M67" i="83" s="1"/>
  <c r="L68" i="83"/>
  <c r="M68" i="83" s="1"/>
  <c r="L64" i="83"/>
  <c r="M64" i="83" s="1"/>
  <c r="H110" i="83"/>
  <c r="D121" i="82"/>
  <c r="K120" i="82"/>
  <c r="C94" i="82"/>
  <c r="H109" i="82"/>
  <c r="Q71" i="81"/>
  <c r="D22" i="81"/>
  <c r="D23" i="81"/>
  <c r="M1" i="80"/>
  <c r="H95" i="80"/>
  <c r="E10" i="80"/>
  <c r="E9" i="80"/>
  <c r="E11" i="80"/>
  <c r="E8" i="80"/>
  <c r="C7" i="80" s="1"/>
  <c r="M11" i="80"/>
  <c r="N2" i="80"/>
  <c r="F72" i="80" s="1"/>
  <c r="S3" i="80"/>
  <c r="N4" i="80"/>
  <c r="S5" i="80"/>
  <c r="M6" i="80"/>
  <c r="N9" i="80"/>
  <c r="M10" i="80"/>
  <c r="D21" i="80"/>
  <c r="K21" i="80"/>
  <c r="H116" i="80"/>
  <c r="C27" i="80"/>
  <c r="F61" i="80"/>
  <c r="F42" i="80"/>
  <c r="F40" i="80"/>
  <c r="F38" i="80"/>
  <c r="F37" i="80"/>
  <c r="N21" i="80"/>
  <c r="J21" i="80"/>
  <c r="E21" i="80"/>
  <c r="S2" i="80"/>
  <c r="G26" i="80"/>
  <c r="B116" i="80"/>
  <c r="H26" i="80"/>
  <c r="S4" i="80"/>
  <c r="N6" i="80"/>
  <c r="M8" i="80"/>
  <c r="N10" i="80"/>
  <c r="L21" i="80"/>
  <c r="N32" i="80"/>
  <c r="O32" i="80"/>
  <c r="J26" i="80"/>
  <c r="F39" i="80"/>
  <c r="E44" i="80"/>
  <c r="C44" i="80" s="1"/>
  <c r="C24" i="80"/>
  <c r="I18" i="80"/>
  <c r="E17" i="80" s="1"/>
  <c r="M32" i="80"/>
  <c r="M3" i="80"/>
  <c r="M5" i="80"/>
  <c r="S6" i="80"/>
  <c r="M7" i="80"/>
  <c r="X7" i="80"/>
  <c r="N8" i="80"/>
  <c r="M12" i="80"/>
  <c r="H21" i="80"/>
  <c r="M21" i="80"/>
  <c r="N1" i="80"/>
  <c r="M2" i="80"/>
  <c r="N3" i="80"/>
  <c r="M4" i="80"/>
  <c r="N5" i="80"/>
  <c r="C6" i="80"/>
  <c r="N7" i="80"/>
  <c r="Z7" i="80"/>
  <c r="M9" i="80"/>
  <c r="N11" i="80"/>
  <c r="C21" i="80"/>
  <c r="I21" i="80"/>
  <c r="O21" i="80"/>
  <c r="E26" i="80"/>
  <c r="P32" i="80"/>
  <c r="P27" i="80"/>
  <c r="H55" i="80"/>
  <c r="D78" i="80"/>
  <c r="H83" i="80"/>
  <c r="H87" i="80"/>
  <c r="H90" i="80"/>
  <c r="H94" i="80"/>
  <c r="H97" i="80"/>
  <c r="H100" i="80"/>
  <c r="H52" i="80"/>
  <c r="H58" i="80"/>
  <c r="D72" i="80"/>
  <c r="H86" i="80"/>
  <c r="H89" i="80"/>
  <c r="H93" i="80"/>
  <c r="H96" i="80"/>
  <c r="H99" i="80"/>
  <c r="H51" i="80"/>
  <c r="H54" i="80"/>
  <c r="H57" i="80"/>
  <c r="H85" i="80"/>
  <c r="H98" i="80"/>
  <c r="O23" i="80"/>
  <c r="P25" i="80"/>
  <c r="H50" i="80"/>
  <c r="H53" i="80"/>
  <c r="H84" i="80"/>
  <c r="I7" i="79"/>
  <c r="F38" i="81"/>
  <c r="J15" i="81"/>
  <c r="L48" i="81"/>
  <c r="F36" i="81"/>
  <c r="M22" i="81"/>
  <c r="F6" i="81"/>
  <c r="F40" i="81"/>
  <c r="F13" i="81"/>
  <c r="M28" i="81"/>
  <c r="M8" i="81"/>
  <c r="M9" i="81"/>
  <c r="M23" i="81"/>
  <c r="F37" i="81"/>
  <c r="F8" i="81"/>
  <c r="F43" i="81"/>
  <c r="F16" i="81"/>
  <c r="F7" i="81"/>
  <c r="F42" i="81"/>
  <c r="M26" i="81"/>
  <c r="C14" i="81"/>
  <c r="F26" i="81"/>
  <c r="M24" i="81"/>
  <c r="L47" i="81"/>
  <c r="M29" i="81"/>
  <c r="M6" i="81"/>
  <c r="F9" i="81"/>
  <c r="D124" i="82" l="1"/>
  <c r="D125" i="82" s="1"/>
  <c r="H110" i="82"/>
  <c r="M49" i="82"/>
  <c r="I54" i="81"/>
  <c r="N59" i="81"/>
  <c r="L58" i="81"/>
  <c r="M59" i="81"/>
  <c r="L59" i="81"/>
  <c r="C27" i="81"/>
  <c r="C15" i="81"/>
  <c r="C18" i="81"/>
  <c r="F50" i="81"/>
  <c r="M7" i="81"/>
  <c r="M17" i="81" s="1"/>
  <c r="F71" i="81"/>
  <c r="F51" i="81"/>
  <c r="F65" i="81"/>
  <c r="F68" i="81"/>
  <c r="C6" i="81"/>
  <c r="F31" i="81"/>
  <c r="F64" i="81"/>
  <c r="L60" i="81"/>
  <c r="J53" i="81"/>
  <c r="L56" i="81" s="1"/>
  <c r="J57" i="81"/>
  <c r="J55" i="81" s="1"/>
  <c r="J58" i="81" s="1"/>
  <c r="Q50" i="81" s="1"/>
  <c r="F66" i="81"/>
  <c r="D26" i="80"/>
  <c r="C25" i="80" s="1"/>
  <c r="H77" i="80"/>
  <c r="H78" i="80"/>
  <c r="H79" i="80"/>
  <c r="H74" i="80"/>
  <c r="H73" i="80"/>
  <c r="H72" i="80"/>
  <c r="H76" i="80"/>
  <c r="H75" i="80"/>
  <c r="H80" i="80"/>
  <c r="I122" i="80"/>
  <c r="J122" i="80" s="1"/>
  <c r="K122" i="80" s="1"/>
  <c r="L122" i="80" s="1"/>
  <c r="M122" i="80" s="1"/>
  <c r="I121" i="80"/>
  <c r="J121" i="80" s="1"/>
  <c r="K121" i="80" s="1"/>
  <c r="L121" i="80" s="1"/>
  <c r="M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D121" i="80"/>
  <c r="E121" i="80" s="1"/>
  <c r="F121" i="80" s="1"/>
  <c r="D120" i="80"/>
  <c r="E120" i="80" s="1"/>
  <c r="F120" i="80" s="1"/>
  <c r="G120" i="80" s="1"/>
  <c r="H120" i="80" s="1"/>
  <c r="D119" i="80"/>
  <c r="E119" i="80" s="1"/>
  <c r="F119" i="80" s="1"/>
  <c r="G119" i="80" s="1"/>
  <c r="H119" i="80" s="1"/>
  <c r="D118" i="80"/>
  <c r="E118" i="80" s="1"/>
  <c r="F118" i="80" s="1"/>
  <c r="G118" i="80" s="1"/>
  <c r="H118" i="80" s="1"/>
  <c r="G121" i="80"/>
  <c r="H121" i="80" s="1"/>
  <c r="B122" i="80"/>
  <c r="C122" i="80" s="1"/>
  <c r="B121" i="80"/>
  <c r="C121" i="80" s="1"/>
  <c r="B120" i="80"/>
  <c r="C120" i="80" s="1"/>
  <c r="B119" i="80"/>
  <c r="C119" i="80" s="1"/>
  <c r="B118" i="80"/>
  <c r="E72" i="80"/>
  <c r="B70" i="80" s="1"/>
  <c r="G21" i="80"/>
  <c r="D5" i="80"/>
  <c r="C5" i="80"/>
  <c r="H65" i="80"/>
  <c r="G65" i="80" s="1"/>
  <c r="H64" i="80"/>
  <c r="G64" i="80" s="1"/>
  <c r="H69" i="80"/>
  <c r="G69" i="80" s="1"/>
  <c r="H68" i="80"/>
  <c r="G68" i="80" s="1"/>
  <c r="H67" i="80"/>
  <c r="G67" i="80" s="1"/>
  <c r="H66" i="80"/>
  <c r="G66" i="80" s="1"/>
  <c r="H63" i="80"/>
  <c r="G63" i="80" s="1"/>
  <c r="H62" i="80"/>
  <c r="G62" i="80" s="1"/>
  <c r="H61" i="80"/>
  <c r="G61" i="80" s="1"/>
  <c r="I29" i="79"/>
  <c r="I28" i="79"/>
  <c r="N28" i="79"/>
  <c r="M28" i="79"/>
  <c r="P28" i="79" s="1"/>
  <c r="L28" i="79"/>
  <c r="N29" i="79"/>
  <c r="M29" i="79"/>
  <c r="L29" i="79"/>
  <c r="P6" i="79"/>
  <c r="O6" i="79"/>
  <c r="N6" i="79"/>
  <c r="M6" i="79"/>
  <c r="L6" i="79"/>
  <c r="K6" i="79"/>
  <c r="O7" i="79"/>
  <c r="N7" i="79"/>
  <c r="M7" i="79"/>
  <c r="P7" i="79" s="1"/>
  <c r="L7" i="79"/>
  <c r="K7" i="79"/>
  <c r="C16" i="81"/>
  <c r="C17" i="81"/>
  <c r="L64" i="82" l="1"/>
  <c r="M64" i="82" s="1"/>
  <c r="L68" i="82"/>
  <c r="M68" i="82" s="1"/>
  <c r="L67" i="82"/>
  <c r="M67" i="82" s="1"/>
  <c r="L65" i="82"/>
  <c r="M65" i="82" s="1"/>
  <c r="L63" i="82"/>
  <c r="M63" i="82" s="1"/>
  <c r="M69" i="82" s="1"/>
  <c r="N69" i="82" s="1"/>
  <c r="L66" i="82"/>
  <c r="M66" i="82" s="1"/>
  <c r="C49" i="81"/>
  <c r="C61" i="81" s="1"/>
  <c r="F59" i="81"/>
  <c r="C19" i="81"/>
  <c r="Q66" i="81"/>
  <c r="Q57" i="81"/>
  <c r="Q73" i="81"/>
  <c r="Q60" i="81"/>
  <c r="C32" i="81"/>
  <c r="C33" i="81"/>
  <c r="Q61" i="81"/>
  <c r="Q74" i="81"/>
  <c r="J6" i="81"/>
  <c r="F1" i="81"/>
  <c r="Q52" i="81"/>
  <c r="M69" i="80"/>
  <c r="N69" i="80" s="1"/>
  <c r="K69" i="80"/>
  <c r="M64" i="80"/>
  <c r="N64" i="80" s="1"/>
  <c r="K64" i="80"/>
  <c r="M61" i="80"/>
  <c r="N61" i="80" s="1"/>
  <c r="K61" i="80"/>
  <c r="M65" i="80"/>
  <c r="N65" i="80" s="1"/>
  <c r="K65" i="80"/>
  <c r="J65" i="80" s="1"/>
  <c r="M62" i="80"/>
  <c r="N62" i="80" s="1"/>
  <c r="K62" i="80"/>
  <c r="M68" i="80"/>
  <c r="N68" i="80" s="1"/>
  <c r="K68" i="80"/>
  <c r="J68" i="80" s="1"/>
  <c r="D68" i="80" s="1"/>
  <c r="C118" i="80"/>
  <c r="D116" i="80"/>
  <c r="M63" i="80"/>
  <c r="N63" i="80" s="1"/>
  <c r="K63" i="80"/>
  <c r="M66" i="80"/>
  <c r="N66" i="80" s="1"/>
  <c r="K66" i="80"/>
  <c r="M67" i="80"/>
  <c r="N67" i="80" s="1"/>
  <c r="K67" i="80"/>
  <c r="P29" i="79"/>
  <c r="J18" i="81" l="1"/>
  <c r="J19" i="81"/>
  <c r="C20" i="81"/>
  <c r="C26" i="81" s="1"/>
  <c r="D62" i="80"/>
  <c r="J62" i="80"/>
  <c r="J69" i="80"/>
  <c r="D69" i="80"/>
  <c r="D63" i="80"/>
  <c r="J63" i="80"/>
  <c r="D64" i="80"/>
  <c r="J64" i="80"/>
  <c r="J67" i="80"/>
  <c r="D67" i="80"/>
  <c r="J66" i="80"/>
  <c r="D66" i="80"/>
  <c r="J61" i="80"/>
  <c r="D61" i="80"/>
  <c r="G14" i="73"/>
  <c r="F14" i="73"/>
  <c r="E14" i="73"/>
  <c r="E61" i="80" l="1"/>
  <c r="B59" i="80" s="1"/>
  <c r="C28" i="80" s="1"/>
  <c r="E8" i="1"/>
  <c r="E9" i="1"/>
  <c r="E10" i="1"/>
  <c r="E11" i="1"/>
  <c r="E12" i="1"/>
  <c r="E13" i="1"/>
  <c r="C33" i="80" l="1"/>
  <c r="T6" i="80"/>
  <c r="V6" i="80" s="1"/>
  <c r="T9" i="80"/>
  <c r="V9" i="80" s="1"/>
  <c r="T12" i="80"/>
  <c r="V12" i="80" s="1"/>
  <c r="C39" i="80"/>
  <c r="C37" i="80"/>
  <c r="T13" i="80"/>
  <c r="V13" i="80" s="1"/>
  <c r="T2" i="80"/>
  <c r="V2" i="80" s="1"/>
  <c r="T3" i="80"/>
  <c r="V3" i="80" s="1"/>
  <c r="T7" i="80"/>
  <c r="V7" i="80" s="1"/>
  <c r="C38" i="80"/>
  <c r="C42" i="80"/>
  <c r="T8" i="80"/>
  <c r="V8" i="80" s="1"/>
  <c r="T14" i="80"/>
  <c r="V14" i="80" s="1"/>
  <c r="T16" i="80"/>
  <c r="V16" i="80" s="1"/>
  <c r="T10" i="80"/>
  <c r="V10" i="80" s="1"/>
  <c r="C41" i="80"/>
  <c r="C40" i="80"/>
  <c r="T15" i="80"/>
  <c r="V15" i="80" s="1"/>
  <c r="T4" i="80"/>
  <c r="V4" i="80" s="1"/>
  <c r="T5" i="80"/>
  <c r="V5" i="80" s="1"/>
  <c r="T11" i="80"/>
  <c r="V11" i="80"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E40" i="80" l="1"/>
  <c r="G40" i="80"/>
  <c r="I40" i="80" s="1"/>
  <c r="E37" i="80"/>
  <c r="G37" i="80"/>
  <c r="I37" i="80" s="1"/>
  <c r="G39" i="80"/>
  <c r="I39" i="80" s="1"/>
  <c r="E39" i="80"/>
  <c r="C34" i="80"/>
  <c r="E34" i="80" s="1"/>
  <c r="E33" i="80"/>
  <c r="E42" i="80"/>
  <c r="G42" i="80"/>
  <c r="I42" i="80" s="1"/>
  <c r="G41" i="80"/>
  <c r="I41" i="80" s="1"/>
  <c r="E41" i="80"/>
  <c r="E38" i="80"/>
  <c r="G38" i="80"/>
  <c r="I38" i="80" s="1"/>
  <c r="P32" i="79"/>
  <c r="B10" i="74"/>
  <c r="C30" i="80" l="1"/>
  <c r="B2" i="80" s="1"/>
  <c r="B3" i="80" s="1"/>
  <c r="C31" i="80"/>
  <c r="C8"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K1" i="12"/>
  <c r="E19" i="69"/>
  <c r="E1" i="73"/>
  <c r="G22" i="69"/>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7" i="76"/>
  <c r="AO13" i="1"/>
  <c r="B10" i="76"/>
  <c r="B8" i="76"/>
  <c r="E2" i="69"/>
  <c r="D4" i="73"/>
  <c r="B13" i="76"/>
  <c r="E8" i="76"/>
  <c r="D3" i="73"/>
  <c r="F7" i="73"/>
  <c r="B12" i="76"/>
  <c r="E10" i="76"/>
  <c r="D7" i="73"/>
  <c r="F3" i="73"/>
  <c r="B7" i="76"/>
  <c r="E2" i="68"/>
  <c r="F20" i="31"/>
  <c r="E12" i="76"/>
  <c r="E9" i="76"/>
  <c r="F5" i="73"/>
  <c r="D6" i="73"/>
  <c r="E11" i="76"/>
  <c r="B9" i="76"/>
  <c r="D35" i="9"/>
  <c r="E13" i="76"/>
  <c r="F6" i="73"/>
  <c r="F4" i="73"/>
  <c r="D34" i="9"/>
  <c r="B11" i="76"/>
  <c r="U34" i="34" l="1"/>
  <c r="S37" i="21"/>
  <c r="H67" i="43"/>
  <c r="H69" i="43"/>
  <c r="H50" i="43"/>
  <c r="B41" i="1"/>
  <c r="D93" i="9"/>
  <c r="C40" i="69"/>
  <c r="C40" i="11"/>
  <c r="C21" i="68"/>
  <c r="E19" i="11"/>
  <c r="G26" i="12"/>
  <c r="G22" i="68"/>
  <c r="G1" i="15"/>
  <c r="G1" i="68"/>
  <c r="K7" i="1"/>
  <c r="M7" i="1" s="1"/>
  <c r="O7" i="1" s="1"/>
  <c r="P7" i="1" s="1"/>
  <c r="G1" i="67"/>
  <c r="G28" i="6"/>
  <c r="G5" i="3"/>
  <c r="B3" i="3" s="1"/>
  <c r="E13"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568" i="3"/>
  <c r="E181" i="3"/>
  <c r="E545" i="3"/>
  <c r="AK6" i="3"/>
  <c r="E228" i="3"/>
  <c r="E277" i="3"/>
  <c r="E133" i="3"/>
  <c r="K6" i="3"/>
  <c r="E560" i="3"/>
  <c r="E472" i="3"/>
  <c r="E406" i="3"/>
  <c r="E465" i="3"/>
  <c r="E587" i="3"/>
  <c r="E577" i="3"/>
  <c r="E468" i="3"/>
  <c r="E454" i="3"/>
  <c r="E106" i="3"/>
  <c r="E146" i="3"/>
  <c r="E171" i="3"/>
  <c r="E214" i="3"/>
  <c r="E315" i="3"/>
  <c r="E357" i="3"/>
  <c r="E362" i="3"/>
  <c r="E14" i="3"/>
  <c r="E74" i="3"/>
  <c r="E93" i="3"/>
  <c r="E227" i="3"/>
  <c r="E397" i="3"/>
  <c r="E368" i="3"/>
  <c r="E196" i="3"/>
  <c r="E236" i="3"/>
  <c r="E89" i="3"/>
  <c r="E207" i="3"/>
  <c r="E252" i="3"/>
  <c r="E204" i="3"/>
  <c r="E145" i="3"/>
  <c r="E164" i="3"/>
  <c r="E327" i="3"/>
  <c r="E379" i="3"/>
  <c r="E576" i="3"/>
  <c r="Z6" i="3"/>
  <c r="U6" i="3"/>
  <c r="AG6" i="3"/>
  <c r="AO6" i="3"/>
  <c r="E411" i="3"/>
  <c r="E448" i="3"/>
  <c r="E485" i="3"/>
  <c r="E548" i="3"/>
  <c r="P6" i="3"/>
  <c r="E400" i="3"/>
  <c r="E432" i="3"/>
  <c r="E443" i="3"/>
  <c r="E345" i="3"/>
  <c r="E367" i="3"/>
  <c r="E558" i="3"/>
  <c r="E557" i="3"/>
  <c r="E547" i="3"/>
  <c r="E581" i="3"/>
  <c r="E531" i="3"/>
  <c r="E403" i="3"/>
  <c r="E444" i="3"/>
  <c r="E489" i="3"/>
  <c r="E546" i="3"/>
  <c r="E404" i="3"/>
  <c r="E28" i="3"/>
  <c r="E71" i="3"/>
  <c r="E88" i="3"/>
  <c r="E70" i="3"/>
  <c r="E92" i="3"/>
  <c r="E121" i="3"/>
  <c r="E182" i="3"/>
  <c r="E126" i="3"/>
  <c r="E166" i="3"/>
  <c r="E211" i="3"/>
  <c r="E272" i="3"/>
  <c r="E295" i="3"/>
  <c r="E273" i="3"/>
  <c r="E291" i="3"/>
  <c r="E316" i="3"/>
  <c r="E377" i="3"/>
  <c r="E317" i="3"/>
  <c r="E334" i="3"/>
  <c r="E572" i="3"/>
  <c r="AM6" i="3"/>
  <c r="E30" i="3"/>
  <c r="E109" i="3"/>
  <c r="E29" i="3"/>
  <c r="E480"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C24" i="43"/>
  <c r="F26" i="43"/>
  <c r="J26"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43" i="15"/>
  <c r="F6" i="15"/>
  <c r="F42" i="15"/>
  <c r="L47" i="15"/>
  <c r="M23" i="15"/>
  <c r="C76" i="15"/>
  <c r="M6" i="15"/>
  <c r="F9" i="15"/>
  <c r="L48" i="15"/>
  <c r="M22" i="15"/>
  <c r="F36" i="15"/>
  <c r="M29" i="15"/>
  <c r="F13" i="15"/>
  <c r="M9" i="15"/>
  <c r="F8" i="15"/>
  <c r="M8" i="15"/>
  <c r="F40" i="15"/>
  <c r="F26" i="15"/>
  <c r="J15" i="15"/>
  <c r="M28" i="15"/>
  <c r="M26" i="15"/>
  <c r="F16" i="15"/>
  <c r="F38" i="15"/>
  <c r="F37" i="15"/>
  <c r="M24" i="15"/>
  <c r="F7" i="15"/>
  <c r="F43" i="67"/>
  <c r="M29" i="67"/>
  <c r="F42" i="67"/>
  <c r="F26" i="67"/>
  <c r="M24" i="67"/>
  <c r="F9" i="67"/>
  <c r="M8" i="67"/>
  <c r="L48" i="67"/>
  <c r="J15" i="67"/>
  <c r="M23" i="67"/>
  <c r="F16" i="67"/>
  <c r="F36" i="67"/>
  <c r="F13" i="67"/>
  <c r="C76" i="67"/>
  <c r="F7" i="67"/>
  <c r="L47" i="67"/>
  <c r="M9" i="67"/>
  <c r="F38" i="67"/>
  <c r="F6" i="67"/>
  <c r="M6" i="67"/>
  <c r="F8" i="67"/>
  <c r="M26" i="67"/>
  <c r="M28" i="67"/>
  <c r="F40" i="67"/>
  <c r="F37" i="67"/>
  <c r="M22" i="67"/>
  <c r="C16" i="67"/>
  <c r="C16" i="15"/>
  <c r="G1" i="73"/>
  <c r="F11" i="81" l="1"/>
  <c r="M11" i="81"/>
  <c r="J10" i="81" s="1"/>
  <c r="J5" i="81" s="1"/>
  <c r="N94" i="46"/>
  <c r="N370" i="46"/>
  <c r="F48" i="9"/>
  <c r="O52" i="9" s="1"/>
  <c r="F30" i="11"/>
  <c r="M18" i="67"/>
  <c r="M18" i="15"/>
  <c r="F28" i="67"/>
  <c r="C28" i="67" s="1"/>
  <c r="F32" i="67"/>
  <c r="F60" i="67" s="1"/>
  <c r="F28" i="15"/>
  <c r="C28" i="15" s="1"/>
  <c r="F30" i="69"/>
  <c r="D68" i="9"/>
  <c r="F30" i="68"/>
  <c r="F31" i="12"/>
  <c r="C31" i="12" s="1"/>
  <c r="F52" i="9"/>
  <c r="F32" i="15"/>
  <c r="F60" i="15" s="1"/>
  <c r="F54" i="9"/>
  <c r="G16" i="1"/>
  <c r="F10" i="39" s="1"/>
  <c r="E26" i="43"/>
  <c r="H26" i="43"/>
  <c r="Q16" i="1"/>
  <c r="F27" i="69" s="1"/>
  <c r="C47" i="69" s="1"/>
  <c r="D45" i="69" s="1"/>
  <c r="K16" i="1"/>
  <c r="F65" i="67"/>
  <c r="F68" i="67"/>
  <c r="F51" i="67"/>
  <c r="F31" i="67"/>
  <c r="C6" i="67"/>
  <c r="C32" i="67" s="1"/>
  <c r="F66" i="67"/>
  <c r="L58" i="67"/>
  <c r="Q73" i="67" s="1"/>
  <c r="M59" i="67"/>
  <c r="N59" i="67"/>
  <c r="L59" i="67"/>
  <c r="Q74" i="67" s="1"/>
  <c r="F50" i="67"/>
  <c r="F59" i="67" s="1"/>
  <c r="M7" i="67"/>
  <c r="J6" i="67" s="1"/>
  <c r="J18" i="67" s="1"/>
  <c r="Q71" i="67"/>
  <c r="F64" i="67"/>
  <c r="L56" i="67"/>
  <c r="I54" i="67"/>
  <c r="J53" i="67"/>
  <c r="Q52" i="67" s="1"/>
  <c r="J57" i="67"/>
  <c r="J55" i="67" s="1"/>
  <c r="J58" i="67" s="1"/>
  <c r="Q50" i="67" s="1"/>
  <c r="C27" i="67"/>
  <c r="F71" i="67"/>
  <c r="M7" i="15"/>
  <c r="J6" i="15" s="1"/>
  <c r="J18" i="15" s="1"/>
  <c r="F50" i="15"/>
  <c r="F65" i="15"/>
  <c r="F66" i="15"/>
  <c r="C27" i="15"/>
  <c r="F68" i="15"/>
  <c r="F51" i="15"/>
  <c r="F64" i="15"/>
  <c r="I54" i="15"/>
  <c r="J53" i="15"/>
  <c r="L56" i="15" s="1"/>
  <c r="J57" i="15"/>
  <c r="J55" i="15" s="1"/>
  <c r="J58" i="15" s="1"/>
  <c r="Q50" i="15" s="1"/>
  <c r="Q71" i="15"/>
  <c r="L59" i="15"/>
  <c r="Q61" i="15" s="1"/>
  <c r="N59" i="15"/>
  <c r="L58" i="15"/>
  <c r="Q60" i="15" s="1"/>
  <c r="M59" i="15"/>
  <c r="F31" i="15"/>
  <c r="C6" i="15"/>
  <c r="C32" i="15" s="1"/>
  <c r="F71" i="15"/>
  <c r="H16" i="1"/>
  <c r="P6" i="1"/>
  <c r="C13" i="12" s="1"/>
  <c r="E59" i="40"/>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I6" i="3"/>
  <c r="E32" i="3"/>
  <c r="E580" i="3"/>
  <c r="E394" i="3"/>
  <c r="E274" i="3"/>
  <c r="E256" i="3"/>
  <c r="E203" i="3"/>
  <c r="E73" i="3"/>
  <c r="E55" i="3"/>
  <c r="E496" i="3"/>
  <c r="E429" i="3"/>
  <c r="AE6" i="3"/>
  <c r="E344" i="3"/>
  <c r="E424" i="3"/>
  <c r="E481" i="3"/>
  <c r="E437" i="3"/>
  <c r="Q6" i="3"/>
  <c r="E330" i="3"/>
  <c r="E177" i="3"/>
  <c r="E120" i="3"/>
  <c r="E262" i="3"/>
  <c r="E128" i="3"/>
  <c r="E434" i="3"/>
  <c r="E238" i="3"/>
  <c r="E156" i="3"/>
  <c r="E257" i="3"/>
  <c r="E208" i="3"/>
  <c r="E168" i="3"/>
  <c r="E54" i="3"/>
  <c r="E475" i="3"/>
  <c r="E471" i="3"/>
  <c r="E537" i="3"/>
  <c r="W6" i="3"/>
  <c r="E288" i="3"/>
  <c r="E438" i="3"/>
  <c r="E474" i="3"/>
  <c r="E529" i="3"/>
  <c r="E532" i="3"/>
  <c r="E313" i="3"/>
  <c r="E224" i="3"/>
  <c r="E157" i="3"/>
  <c r="E306" i="3"/>
  <c r="E352" i="3"/>
  <c r="E136" i="3"/>
  <c r="E461" i="3"/>
  <c r="E122"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41" i="3"/>
  <c r="E421" i="3"/>
  <c r="E487" i="3"/>
  <c r="E416" i="3"/>
  <c r="E374" i="3"/>
  <c r="E500" i="3"/>
  <c r="E413" i="3"/>
  <c r="E520" i="3"/>
  <c r="E39" i="3"/>
  <c r="E90" i="3"/>
  <c r="E131" i="3"/>
  <c r="E155" i="3"/>
  <c r="E165" i="3"/>
  <c r="E244" i="3"/>
  <c r="E149" i="3"/>
  <c r="E167" i="3"/>
  <c r="E312" i="3"/>
  <c r="AD6" i="3"/>
  <c r="E542" i="3"/>
  <c r="E552" i="3"/>
  <c r="E464" i="3"/>
  <c r="E398" i="3"/>
  <c r="E459" i="3"/>
  <c r="E566" i="3"/>
  <c r="E582" i="3"/>
  <c r="E460" i="3"/>
  <c r="E436" i="3"/>
  <c r="E57" i="3"/>
  <c r="E187" i="3"/>
  <c r="E24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42" i="3"/>
  <c r="E449" i="3"/>
  <c r="E554" i="3"/>
  <c r="E417" i="3"/>
  <c r="E95" i="3"/>
  <c r="E258" i="3"/>
  <c r="E292" i="3"/>
  <c r="E349" i="3"/>
  <c r="E544" i="3"/>
  <c r="E59" i="3"/>
  <c r="E484" i="3"/>
  <c r="E467" i="3"/>
  <c r="E46" i="3"/>
  <c r="E160" i="3"/>
  <c r="E200" i="3"/>
  <c r="E249" i="3"/>
  <c r="E371" i="3"/>
  <c r="E492" i="3"/>
  <c r="E84" i="3"/>
  <c r="E33" i="3"/>
  <c r="E184" i="3"/>
  <c r="E355" i="3"/>
  <c r="E68" i="3"/>
  <c r="E81" i="3"/>
  <c r="E264" i="3"/>
  <c r="E309" i="3"/>
  <c r="E21" i="3"/>
  <c r="E199" i="3"/>
  <c r="R6" i="3"/>
  <c r="I3" i="6"/>
  <c r="E241" i="3"/>
  <c r="E363" i="3"/>
  <c r="E76" i="3"/>
  <c r="E425" i="3"/>
  <c r="E103" i="3"/>
  <c r="E300" i="3"/>
  <c r="E23" i="3"/>
  <c r="E144" i="3"/>
  <c r="E381" i="3"/>
  <c r="E63" i="3"/>
  <c r="E283" i="3"/>
  <c r="E536" i="3"/>
  <c r="E286" i="3"/>
  <c r="E502" i="3"/>
  <c r="E430" i="3"/>
  <c r="AP6" i="3"/>
  <c r="E491" i="3"/>
  <c r="E37" i="3"/>
  <c r="E192" i="3"/>
  <c r="E259" i="3"/>
  <c r="E378" i="3"/>
  <c r="E504" i="3"/>
  <c r="E110" i="3"/>
  <c r="E462" i="3"/>
  <c r="E446" i="3"/>
  <c r="E98" i="3"/>
  <c r="E138" i="3"/>
  <c r="E163" i="3"/>
  <c r="E209" i="3"/>
  <c r="E307" i="3"/>
  <c r="E354" i="3"/>
  <c r="E66" i="3"/>
  <c r="E48" i="3"/>
  <c r="E127" i="3"/>
  <c r="E284" i="3"/>
  <c r="Y6" i="3"/>
  <c r="E19" i="3"/>
  <c r="E179" i="3"/>
  <c r="E323" i="3"/>
  <c r="E82" i="3"/>
  <c r="E212" i="3"/>
  <c r="E499" i="3"/>
  <c r="E466" i="3"/>
  <c r="E255" i="3"/>
  <c r="E517" i="3"/>
  <c r="E479" i="3"/>
  <c r="E152" i="3"/>
  <c r="E297" i="3"/>
  <c r="E348" i="3"/>
  <c r="E375" i="3"/>
  <c r="E58" i="3"/>
  <c r="E488" i="3"/>
  <c r="E521" i="3"/>
  <c r="E47" i="3"/>
  <c r="E65" i="3"/>
  <c r="E195" i="3"/>
  <c r="E248" i="3"/>
  <c r="E266" i="3"/>
  <c r="E386" i="3"/>
  <c r="E584" i="3"/>
  <c r="E24" i="3"/>
  <c r="E87" i="3"/>
  <c r="E250" i="3"/>
  <c r="E341" i="3"/>
  <c r="E51" i="3"/>
  <c r="E154" i="3"/>
  <c r="E222" i="3"/>
  <c r="E373" i="3"/>
  <c r="E539" i="3"/>
  <c r="E541" i="3"/>
  <c r="E435" i="3"/>
  <c r="E56" i="3"/>
  <c r="E132" i="3"/>
  <c r="E389" i="3"/>
  <c r="E409" i="3"/>
  <c r="E64" i="3"/>
  <c r="E142" i="3"/>
  <c r="E267" i="3"/>
  <c r="E310" i="3"/>
  <c r="E67" i="3"/>
  <c r="E233" i="3"/>
  <c r="E1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AE8" i="1"/>
  <c r="AE12" i="1"/>
  <c r="AE10" i="1"/>
  <c r="AE7" i="1"/>
  <c r="F41" i="67"/>
  <c r="J24" i="81" l="1"/>
  <c r="C24" i="81"/>
  <c r="C23" i="81"/>
  <c r="C53" i="81"/>
  <c r="C48" i="81" s="1"/>
  <c r="C10" i="81"/>
  <c r="C5" i="81" s="1"/>
  <c r="L36" i="43"/>
  <c r="Q36" i="43" s="1"/>
  <c r="L36" i="80"/>
  <c r="Q61" i="67"/>
  <c r="M17" i="67"/>
  <c r="M17" i="15"/>
  <c r="F27" i="11"/>
  <c r="C29" i="11" s="1"/>
  <c r="D27" i="11" s="1"/>
  <c r="F48" i="68"/>
  <c r="C30" i="68"/>
  <c r="C48" i="68"/>
  <c r="C48" i="11"/>
  <c r="C30" i="11"/>
  <c r="F48" i="69"/>
  <c r="C30" i="69"/>
  <c r="C48" i="69"/>
  <c r="F1" i="15"/>
  <c r="Q74" i="15"/>
  <c r="F1" i="67"/>
  <c r="C49" i="15"/>
  <c r="J5" i="15"/>
  <c r="J24" i="15" s="1"/>
  <c r="F59" i="15"/>
  <c r="C49" i="67"/>
  <c r="F27" i="68"/>
  <c r="C47" i="68" s="1"/>
  <c r="D45" i="68" s="1"/>
  <c r="F45" i="69"/>
  <c r="Q60" i="67"/>
  <c r="C29" i="69"/>
  <c r="D27" i="69" s="1"/>
  <c r="Q73" i="15"/>
  <c r="Q52" i="15"/>
  <c r="F28" i="12"/>
  <c r="C29" i="12" s="1"/>
  <c r="D28" i="12" s="1"/>
  <c r="J5" i="67"/>
  <c r="J24" i="67" s="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81"/>
  <c r="AE6" i="1"/>
  <c r="F41" i="81" s="1"/>
  <c r="M27" i="67"/>
  <c r="F41" i="15"/>
  <c r="M27" i="15"/>
  <c r="R50" i="34" l="1"/>
  <c r="C50" i="34" s="1"/>
  <c r="G54" i="34"/>
  <c r="H54" i="34" s="1"/>
  <c r="C29" i="81"/>
  <c r="J59" i="81" s="1"/>
  <c r="J60" i="81" s="1"/>
  <c r="L46" i="81" s="1"/>
  <c r="F69" i="81"/>
  <c r="C38" i="81"/>
  <c r="C66" i="81"/>
  <c r="C60" i="81"/>
  <c r="N36" i="43"/>
  <c r="M36" i="43"/>
  <c r="P36" i="43"/>
  <c r="O36" i="43"/>
  <c r="L37" i="43"/>
  <c r="P37" i="43" s="1"/>
  <c r="O36" i="80"/>
  <c r="L37" i="80"/>
  <c r="P36" i="80"/>
  <c r="Q36" i="80"/>
  <c r="N36" i="80"/>
  <c r="M36" i="80"/>
  <c r="C47" i="11"/>
  <c r="D45" i="11" s="1"/>
  <c r="F45" i="68"/>
  <c r="C48" i="15"/>
  <c r="C66" i="15" s="1"/>
  <c r="C29" i="68"/>
  <c r="D27" i="68" s="1"/>
  <c r="C48" i="67"/>
  <c r="C60"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67"/>
  <c r="C17" i="15"/>
  <c r="C14" i="67"/>
  <c r="Q49" i="81" l="1"/>
  <c r="C36" i="81"/>
  <c r="Q48" i="81"/>
  <c r="C57" i="81"/>
  <c r="C64" i="81" s="1"/>
  <c r="J14" i="81"/>
  <c r="J22" i="81" s="1"/>
  <c r="C13" i="81"/>
  <c r="C75" i="81" s="1"/>
  <c r="O37" i="43"/>
  <c r="Q37" i="43"/>
  <c r="M37" i="43"/>
  <c r="N37" i="43"/>
  <c r="O37" i="80"/>
  <c r="P37" i="80"/>
  <c r="N37" i="80"/>
  <c r="M37" i="80"/>
  <c r="Q37" i="80"/>
  <c r="C66" i="67"/>
  <c r="C25" i="11"/>
  <c r="C60" i="15"/>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C56" i="81"/>
  <c r="C65" i="81" s="1"/>
  <c r="J13" i="81"/>
  <c r="J23" i="81" s="1"/>
  <c r="C37" i="81"/>
  <c r="Q70" i="8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C5" i="68" s="1"/>
  <c r="C23" i="68" s="1"/>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81"/>
  <c r="M21" i="81"/>
  <c r="M21" i="67"/>
  <c r="M21" i="15"/>
  <c r="F35" i="67"/>
  <c r="F35" i="15"/>
  <c r="J20" i="81" l="1"/>
  <c r="J17" i="81" s="1"/>
  <c r="J16" i="81" s="1"/>
  <c r="J25" i="81" s="1"/>
  <c r="J26" i="81" s="1"/>
  <c r="J29" i="81" s="1"/>
  <c r="F63" i="81"/>
  <c r="C62" i="81" s="1"/>
  <c r="C59" i="81" s="1"/>
  <c r="C58" i="81" s="1"/>
  <c r="C67" i="81" s="1"/>
  <c r="C68" i="81" s="1"/>
  <c r="C34" i="81"/>
  <c r="C31" i="81" s="1"/>
  <c r="C30" i="81" s="1"/>
  <c r="C39" i="8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C19" i="9"/>
  <c r="C102" i="82" l="1"/>
  <c r="C21" i="82"/>
  <c r="Q69" i="81"/>
  <c r="Q68" i="81" s="1"/>
  <c r="C40" i="81"/>
  <c r="C80" i="81"/>
  <c r="C79" i="81" s="1"/>
  <c r="C71" i="8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2"/>
  <c r="L51" i="81"/>
  <c r="C20" i="9"/>
  <c r="D2" i="21"/>
  <c r="C103" i="82" l="1"/>
  <c r="Q67" i="81"/>
  <c r="L57" i="81"/>
  <c r="Q47" i="81"/>
  <c r="Q53" i="81" s="1"/>
  <c r="B2" i="81"/>
  <c r="B3" i="81" s="1"/>
  <c r="Q65" i="81"/>
  <c r="Q75" i="81" s="1"/>
  <c r="Q56" i="81"/>
  <c r="Q62" i="81" s="1"/>
  <c r="C43" i="81"/>
  <c r="C83" i="81"/>
  <c r="C82" i="81" s="1"/>
  <c r="C46" i="8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83"/>
  <c r="AO7" i="1"/>
  <c r="AO9" i="1"/>
  <c r="AO6" i="1"/>
  <c r="AO10" i="1"/>
  <c r="AO11" i="1"/>
  <c r="AO8" i="1"/>
  <c r="AO12" i="1"/>
  <c r="C102" i="83" l="1"/>
  <c r="C21" i="83"/>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103" i="83"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83"/>
  <c r="D19" i="82"/>
  <c r="D19" i="9"/>
  <c r="D102" i="83" l="1"/>
  <c r="D21" i="83"/>
  <c r="D22" i="83"/>
  <c r="G19" i="83"/>
  <c r="D21" i="82"/>
  <c r="D102" i="82"/>
  <c r="D22" i="82"/>
  <c r="G19" i="82"/>
  <c r="D102" i="9"/>
  <c r="D21" i="9"/>
  <c r="G19" i="9"/>
  <c r="G21" i="9" s="1"/>
  <c r="D22" i="9"/>
  <c r="B3" i="70"/>
  <c r="C42" i="40"/>
  <c r="C43" i="40"/>
  <c r="E47" i="40"/>
  <c r="F47" i="40" s="1"/>
  <c r="E46" i="40"/>
  <c r="F46" i="40" s="1"/>
  <c r="I47" i="40"/>
  <c r="J47" i="40" s="1"/>
  <c r="D20" i="83"/>
  <c r="D20" i="82"/>
  <c r="D20" i="9"/>
  <c r="G21" i="83" l="1"/>
  <c r="D15" i="74"/>
  <c r="G21" i="82"/>
  <c r="D14" i="74"/>
  <c r="D103" i="83"/>
  <c r="G20" i="83"/>
  <c r="C32" i="83" s="1"/>
  <c r="D103" i="82"/>
  <c r="G20" i="82"/>
  <c r="C32" i="82"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F15" i="74"/>
  <c r="C35" i="83"/>
  <c r="C34" i="83" s="1"/>
  <c r="C35" i="82"/>
  <c r="C34" i="82" s="1"/>
  <c r="E14" i="74"/>
  <c r="F14" i="74"/>
  <c r="B5" i="74"/>
  <c r="D5" i="74" s="1"/>
  <c r="B6" i="74" l="1"/>
  <c r="D6" i="74" s="1"/>
  <c r="C5" i="74" l="1"/>
  <c r="D53" i="9"/>
  <c r="D52" i="9"/>
  <c r="D53" i="82"/>
  <c r="D52" i="82"/>
  <c r="H4" i="52"/>
  <c r="C104" i="9"/>
  <c r="B30" i="72"/>
  <c r="C104" i="83"/>
  <c r="H119" i="83"/>
  <c r="C105" i="9"/>
  <c r="I4" i="52"/>
  <c r="N58" i="82"/>
  <c r="P57" i="82"/>
  <c r="C81" i="83"/>
  <c r="D54" i="83"/>
  <c r="D9" i="52"/>
  <c r="C78" i="9"/>
  <c r="C73" i="9"/>
  <c r="C104" i="82"/>
  <c r="H119" i="82"/>
  <c r="M54" i="82"/>
  <c r="N60" i="9"/>
  <c r="N61" i="9"/>
  <c r="C93" i="82"/>
  <c r="C86" i="82"/>
  <c r="B52" i="72"/>
  <c r="N58" i="83"/>
  <c r="P57" i="83"/>
  <c r="P57" i="9"/>
  <c r="N58" i="9"/>
  <c r="N59" i="9"/>
  <c r="D54" i="9"/>
  <c r="B31" i="72"/>
  <c r="B20" i="72"/>
  <c r="D54" i="82"/>
  <c r="F119" i="83"/>
  <c r="H108" i="83"/>
  <c r="M48" i="82"/>
  <c r="D52" i="83"/>
  <c r="D53" i="83"/>
  <c r="E97" i="83"/>
  <c r="C105" i="83"/>
  <c r="H102" i="83"/>
  <c r="M48" i="9"/>
  <c r="E96" i="83"/>
  <c r="N61" i="83"/>
  <c r="N59" i="83"/>
  <c r="N60" i="83"/>
  <c r="D14" i="53"/>
  <c r="B32" i="72"/>
  <c r="F119" i="82"/>
  <c r="C105" i="82"/>
  <c r="H102" i="82"/>
  <c r="D122" i="83"/>
  <c r="D123" i="83"/>
  <c r="E97" i="9"/>
  <c r="F4" i="52"/>
  <c r="B51" i="72"/>
  <c r="N61" i="82"/>
  <c r="N59" i="82"/>
  <c r="N60" i="82"/>
  <c r="E118" i="82"/>
  <c r="D118" i="82"/>
  <c r="D119" i="82"/>
  <c r="C81" i="9"/>
  <c r="D5" i="53"/>
  <c r="D6" i="53"/>
  <c r="B22" i="72"/>
  <c r="C80" i="9"/>
  <c r="E80" i="9"/>
  <c r="E81" i="9"/>
  <c r="C68" i="83"/>
  <c r="G118" i="83"/>
  <c r="F118" i="83"/>
  <c r="C96" i="82"/>
  <c r="E96" i="82"/>
  <c r="E97" i="82"/>
  <c r="H108" i="82"/>
  <c r="H119" i="9"/>
  <c r="H5" i="52"/>
  <c r="M48" i="83"/>
  <c r="H107" i="83"/>
  <c r="H107" i="82"/>
  <c r="D122" i="82"/>
  <c r="D123" i="82"/>
  <c r="C68" i="82"/>
  <c r="C96" i="83"/>
  <c r="H102" i="9"/>
  <c r="D7" i="53"/>
  <c r="B21" i="72"/>
  <c r="C96" i="9"/>
  <c r="E96" i="9"/>
  <c r="B49" i="72"/>
  <c r="D55" i="82"/>
  <c r="M53" i="82"/>
  <c r="N57" i="82"/>
  <c r="C80" i="83"/>
  <c r="E80" i="83"/>
  <c r="E81" i="83"/>
  <c r="C6" i="74"/>
  <c r="D15" i="53"/>
  <c r="D8" i="52"/>
  <c r="D123" i="9"/>
  <c r="D4" i="52"/>
  <c r="B47" i="72"/>
  <c r="D122" i="9"/>
  <c r="H108" i="9"/>
  <c r="H107" i="9"/>
  <c r="D13" i="53"/>
  <c r="F119" i="9"/>
  <c r="F5" i="52"/>
  <c r="B53" i="72"/>
  <c r="G118" i="82"/>
  <c r="F118" i="82"/>
  <c r="C93" i="83"/>
  <c r="C86" i="83"/>
  <c r="C81" i="82"/>
  <c r="C78" i="82"/>
  <c r="C73" i="82"/>
  <c r="F118" i="9"/>
  <c r="G118" i="9"/>
  <c r="G4" i="52"/>
  <c r="N57" i="83"/>
  <c r="C85" i="83"/>
  <c r="C95" i="83"/>
  <c r="C97" i="83"/>
  <c r="D58" i="83"/>
  <c r="D56" i="83"/>
  <c r="M54" i="83"/>
  <c r="C93" i="9"/>
  <c r="C86" i="9"/>
  <c r="C72" i="82"/>
  <c r="C79" i="82"/>
  <c r="C80" i="82"/>
  <c r="E80" i="82"/>
  <c r="E81" i="82"/>
  <c r="C72" i="9"/>
  <c r="C79" i="9"/>
  <c r="C67" i="83"/>
  <c r="D59" i="83"/>
  <c r="M55" i="83"/>
  <c r="D118" i="9"/>
  <c r="D119" i="9"/>
  <c r="D5" i="52"/>
  <c r="C68" i="9"/>
  <c r="C64" i="82"/>
  <c r="C63" i="82"/>
  <c r="C67" i="82"/>
  <c r="D59" i="82"/>
  <c r="M55" i="82"/>
  <c r="C85" i="9"/>
  <c r="C95" i="9"/>
  <c r="C97" i="9"/>
  <c r="D58" i="9"/>
  <c r="D56" i="9"/>
  <c r="M54" i="9"/>
  <c r="C78" i="83"/>
  <c r="C73" i="83"/>
  <c r="C64" i="9"/>
  <c r="C63" i="9"/>
  <c r="C67" i="9"/>
  <c r="D59" i="9"/>
  <c r="M55" i="9"/>
  <c r="E118" i="83"/>
  <c r="D118" i="83"/>
  <c r="D119" i="83"/>
  <c r="D56" i="82"/>
  <c r="C64" i="83"/>
  <c r="C63" i="83"/>
  <c r="C72" i="83"/>
  <c r="C79" i="83"/>
  <c r="I118" i="83"/>
  <c r="H118" i="83"/>
  <c r="H101" i="83"/>
  <c r="D45" i="83"/>
  <c r="D55" i="83"/>
  <c r="M53" i="83"/>
  <c r="E118" i="9"/>
  <c r="E4" i="52"/>
  <c r="B48" i="72"/>
  <c r="I118" i="9"/>
  <c r="H118" i="9"/>
  <c r="H101" i="9"/>
  <c r="D45" i="9"/>
  <c r="D55" i="9"/>
  <c r="M53" i="9"/>
  <c r="N57" i="9"/>
  <c r="I118" i="82"/>
  <c r="H118" i="82"/>
  <c r="H101" i="82"/>
  <c r="D45" i="82"/>
  <c r="C85" i="82"/>
  <c r="C95" i="82"/>
  <c r="C97" i="82"/>
  <c r="D58"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<sst xmlns="http://schemas.openxmlformats.org/spreadsheetml/2006/main" count="9219" uniqueCount="3420">
  <si>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</si>
  <si>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</si>
  <si>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</si>
  <si>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</si>
  <si>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</si>
  <si>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</si>
  <si>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</si>
  <si>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</si>
  <si>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</si>
  <si>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</si>
  <si>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</si>
  <si>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</si>
  <si>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</si>
  <si>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</si>
  <si>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</si>
  <si>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</si>
  <si>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</si>
  <si>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</si>
  <si>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</si>
  <si>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</si>
  <si>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</si>
  <si>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</si>
  <si>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</si>
  <si>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</si>
  <si>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</si>
  <si>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</si>
  <si>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</si>
  <si>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</si>
  <si>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</si>
  <si>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</si>
  <si>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</si>
  <si>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</si>
  <si>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</si>
  <si>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</si>
  <si>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</si>
  <si>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</si>
  <si>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</si>
  <si>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</si>
  <si>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</si>
  <si>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</si>
  <si>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</si>
  <si>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</si>
  <si>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</si>
  <si>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</si>
  <si>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</si>
  <si>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</si>
  <si>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</si>
  <si>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</si>
  <si>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</si>
  <si>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</si>
  <si>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</si>
  <si>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</si>
  <si>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</si>
  <si>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</si>
  <si>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</si>
  <si>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</si>
  <si>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</si>
  <si>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</si>
  <si>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</si>
  <si>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</si>
  <si>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</si>
  <si>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</si>
  <si>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</si>
  <si>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</si>
  <si>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</si>
  <si>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</si>
  <si>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</si>
  <si>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</si>
  <si>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</si>
  <si>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</si>
  <si>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</si>
  <si>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</si>
  <si>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</si>
  <si>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</si>
  <si>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</si>
  <si>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</si>
  <si>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</si>
  <si>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</si>
  <si>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</si>
  <si>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</si>
  <si>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</si>
  <si>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</si>
  <si>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</si>
  <si>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</si>
  <si>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</si>
  <si>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</si>
  <si>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</si>
  <si>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</si>
  <si>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</si>
  <si>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</si>
  <si>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</si>
  <si>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</si>
  <si>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</si>
  <si>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</si>
  <si>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</si>
  <si>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</si>
  <si>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</si>
  <si>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</si>
  <si>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</si>
  <si>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</si>
  <si>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</si>
  <si>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</si>
  <si>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</si>
  <si>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</si>
  <si>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</si>
  <si>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</si>
  <si>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</si>
  <si>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</si>
  <si>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</si>
  <si>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</si>
  <si>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</si>
  <si>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</si>
  <si>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</si>
  <si>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</si>
  <si>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</si>
  <si>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</si>
  <si>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</si>
  <si>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</si>
  <si>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</si>
  <si>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</si>
  <si>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</si>
  <si>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</si>
  <si>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</si>
  <si>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</si>
  <si>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</si>
  <si>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</si>
  <si>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</si>
  <si>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</si>
  <si>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</si>
  <si>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</si>
  <si>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</si>
  <si>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</si>
  <si>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</si>
  <si>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</si>
  <si>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</si>
  <si>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</si>
  <si>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</si>
  <si>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</si>
  <si>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</si>
  <si>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</si>
  <si>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</si>
  <si>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</si>
  <si>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</si>
  <si>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</si>
  <si>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</si>
  <si>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</si>
  <si>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</si>
  <si>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</si>
  <si>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</si>
  <si>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</si>
  <si>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</si>
  <si>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</si>
  <si>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</si>
  <si>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</si>
  <si>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</si>
  <si>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</si>
  <si>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</si>
  <si>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</si>
  <si>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</si>
  <si>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</si>
  <si>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</si>
  <si>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</si>
  <si>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</si>
  <si>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</si>
  <si>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</si>
  <si>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</si>
  <si>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</si>
  <si>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</si>
  <si>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</si>
  <si>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</si>
  <si>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</si>
  <si>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</si>
  <si>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</si>
  <si>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</si>
  <si>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</si>
  <si>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</si>
  <si>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</si>
  <si>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</si>
  <si>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</si>
  <si>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</si>
  <si>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</si>
  <si>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</si>
  <si>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</si>
  <si>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</si>
  <si>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</si>
  <si>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</si>
  <si>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</si>
  <si>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</si>
  <si>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</si>
  <si>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</si>
  <si>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</si>
  <si>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</si>
  <si>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</si>
  <si>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</si>
  <si>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</si>
  <si>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</si>
  <si>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</si>
  <si>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</si>
  <si>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</si>
  <si>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</si>
  <si>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</si>
  <si>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</si>
  <si>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</si>
  <si>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</si>
  <si>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</si>
  <si>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</si>
  <si>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</si>
  <si>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</si>
  <si>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</si>
  <si>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</si>
  <si>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</si>
  <si>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</si>
  <si>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</si>
  <si>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</si>
  <si>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</si>
  <si>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</si>
  <si>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</si>
  <si>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</si>
  <si>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</si>
  <si>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</si>
  <si>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</si>
  <si>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</si>
  <si>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</si>
  <si>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</si>
  <si>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</si>
  <si>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</si>
  <si>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</si>
  <si>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</si>
  <si>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</si>
  <si>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</si>
  <si>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</si>
  <si>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</si>
  <si>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</si>
  <si>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</si>
  <si>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</si>
  <si>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</si>
  <si>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</si>
  <si>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</si>
  <si>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</si>
  <si>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</si>
  <si>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</si>
  <si>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</si>
  <si>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</si>
  <si>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</si>
  <si>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</si>
  <si>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</si>
  <si>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</si>
  <si>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</si>
  <si>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</si>
  <si>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</si>
  <si>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</si>
  <si>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</si>
  <si>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</si>
  <si>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</si>
  <si>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</si>
  <si>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</si>
  <si>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</si>
  <si>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</si>
  <si>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</si>
  <si>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</si>
  <si>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</si>
  <si>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</si>
  <si>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</si>
  <si>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</si>
  <si>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</si>
  <si>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</si>
  <si>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</si>
  <si>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</si>
  <si>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</si>
  <si>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</si>
  <si>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</si>
  <si>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</si>
  <si>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</si>
  <si>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</si>
  <si>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</si>
  <si>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</si>
  <si>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</si>
  <si>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</si>
  <si>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</si>
  <si>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</si>
  <si>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</si>
  <si>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</si>
  <si>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</si>
  <si>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</si>
  <si>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</si>
  <si>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</si>
  <si>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</si>
  <si>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</si>
  <si>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</si>
  <si>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</si>
  <si>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</si>
  <si>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</si>
  <si>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</si>
  <si>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</si>
  <si>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</si>
  <si>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</si>
  <si>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</si>
  <si>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</si>
  <si>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</si>
  <si>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</si>
  <si>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</si>
  <si>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</si>
  <si>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</si>
  <si>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</si>
  <si>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</si>
  <si>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</si>
  <si>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</si>
  <si>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</si>
  <si>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</si>
  <si>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</si>
  <si>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</si>
  <si>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</si>
  <si>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</si>
  <si>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</si>
  <si>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</si>
  <si>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</si>
  <si>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</si>
  <si>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</si>
  <si>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</si>
  <si>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</si>
  <si>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</si>
  <si>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</si>
  <si>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</si>
  <si>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</si>
  <si>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</si>
  <si>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</si>
  <si>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</si>
  <si>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</si>
  <si>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</si>
  <si>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</si>
  <si>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</si>
  <si>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</si>
  <si>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</si>
  <si>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</si>
  <si>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</si>
  <si>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</si>
  <si>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</si>
  <si>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</si>
  <si>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</si>
  <si>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</si>
  <si>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</si>
  <si>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</si>
  <si>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</si>
  <si>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</si>
  <si>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</si>
  <si>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</si>
  <si>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</si>
  <si>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</si>
  <si>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</si>
  <si>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</si>
  <si>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</si>
  <si>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</si>
  <si>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</si>
  <si>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</si>
  <si>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</si>
  <si>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</si>
  <si>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</si>
  <si>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</si>
  <si>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</si>
  <si>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</si>
  <si>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</si>
  <si>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</si>
  <si>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</si>
  <si>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</si>
  <si>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</si>
  <si>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</si>
  <si>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</si>
  <si>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</si>
  <si>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</si>
  <si>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</si>
  <si>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</si>
  <si>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</si>
  <si>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</si>
  <si>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</si>
  <si>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</si>
  <si>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</si>
  <si>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</si>
  <si>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</si>
  <si>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</si>
  <si>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</si>
  <si>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</si>
  <si>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</si>
  <si>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</si>
  <si>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</si>
  <si>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</si>
  <si>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</si>
  <si>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</si>
  <si>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</si>
  <si>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</si>
  <si>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</si>
  <si>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</si>
  <si>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</si>
  <si>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</si>
  <si>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</si>
  <si>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</si>
  <si>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</si>
  <si>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</si>
  <si>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</si>
  <si>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</si>
  <si>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</si>
  <si>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</si>
  <si>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</si>
  <si>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</si>
  <si>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</si>
  <si>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</si>
  <si>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</si>
  <si>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</si>
  <si>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</si>
  <si>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</si>
  <si>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</si>
  <si>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</si>
  <si>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</si>
  <si>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</si>
  <si>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</si>
  <si>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</si>
  <si>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</si>
  <si>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</si>
  <si>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</si>
  <si>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</si>
  <si>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</si>
  <si>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</si>
  <si>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</si>
  <si>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</si>
  <si>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</si>
  <si>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</si>
  <si>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</si>
  <si>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</si>
  <si>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</si>
  <si>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</si>
  <si>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</si>
  <si>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</si>
  <si>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</si>
  <si>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</si>
  <si>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</si>
  <si>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</si>
  <si>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</si>
  <si>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</si>
  <si>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</si>
  <si>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</si>
  <si>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</si>
  <si>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</si>
  <si>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</si>
  <si>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</si>
  <si>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</si>
  <si>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</si>
  <si>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</si>
  <si>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</si>
  <si>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</si>
  <si>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</si>
  <si>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</si>
  <si>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</si>
  <si>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</si>
  <si>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</si>
  <si>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</si>
  <si>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</si>
  <si>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</si>
  <si>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</si>
  <si>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</si>
  <si>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</si>
  <si>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</si>
  <si>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</si>
  <si>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</si>
  <si>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</si>
  <si>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</si>
  <si>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</si>
  <si>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</si>
  <si>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</si>
  <si>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</si>
  <si>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</si>
  <si>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</si>
  <si>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</si>
  <si>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</si>
  <si>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</si>
  <si>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</si>
  <si>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</si>
  <si>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</si>
  <si>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</si>
  <si>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</si>
  <si>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</si>
  <si>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</si>
  <si>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</si>
  <si>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</si>
  <si>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</si>
  <si>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</si>
  <si>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</si>
  <si>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</si>
  <si>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</si>
  <si>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</si>
  <si>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</si>
  <si>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</si>
  <si>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</si>
  <si>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</si>
  <si>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</si>
  <si>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</si>
  <si>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</si>
  <si>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</si>
  <si>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</si>
  <si>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</si>
  <si>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</si>
  <si>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</si>
  <si>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</si>
  <si>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</si>
  <si>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</si>
  <si>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</si>
  <si>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</si>
  <si>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</si>
  <si>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</si>
  <si>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</si>
  <si>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</si>
  <si>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</si>
  <si>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</si>
  <si>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</si>
  <si>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</si>
  <si>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</si>
  <si>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</si>
  <si>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</si>
  <si>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</si>
  <si>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</si>
  <si>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</si>
  <si>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</si>
  <si>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</si>
  <si>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</si>
  <si>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</si>
  <si>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</si>
  <si>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</si>
  <si>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</si>
  <si>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</si>
  <si>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</si>
  <si>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</si>
  <si>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</si>
  <si>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</si>
  <si>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</si>
  <si>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</si>
  <si>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</si>
  <si>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</si>
  <si>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</si>
  <si>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</si>
  <si>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</si>
  <si>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</si>
  <si>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</si>
  <si>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</si>
  <si>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</si>
  <si>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</si>
  <si>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</si>
  <si>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</si>
  <si>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</si>
  <si>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</si>
  <si>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</si>
  <si>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</si>
  <si>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</si>
  <si>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</si>
  <si>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</si>
  <si>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</si>
  <si>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</si>
  <si>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</si>
  <si>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</si>
  <si>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</si>
  <si>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</si>
  <si>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</si>
  <si>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</si>
  <si>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</si>
  <si>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</si>
  <si>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</si>
  <si>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</si>
  <si>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</si>
  <si>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</si>
  <si>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</si>
  <si>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</si>
  <si>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</si>
  <si>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</si>
  <si>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</si>
  <si>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</si>
  <si>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</si>
  <si>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</si>
  <si>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</si>
  <si>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</si>
  <si>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</si>
  <si>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</si>
  <si>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</si>
  <si>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</si>
  <si>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</si>
  <si>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</si>
  <si>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</si>
  <si>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</si>
  <si>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</si>
  <si>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</si>
  <si>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</si>
  <si>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</si>
  <si>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</si>
  <si>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</si>
  <si>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</si>
  <si>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</si>
  <si>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</si>
  <si>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</si>
  <si>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</si>
  <si>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</si>
  <si>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</si>
  <si>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</si>
  <si>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</si>
  <si>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</si>
  <si>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</si>
  <si>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</si>
  <si>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</si>
  <si>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</si>
  <si>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</si>
  <si>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</si>
  <si>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</si>
  <si>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</si>
  <si>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</si>
  <si>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</si>
  <si>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</si>
  <si>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</si>
  <si>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</si>
  <si>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</si>
  <si>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</si>
  <si>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</si>
  <si>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</si>
  <si>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</si>
  <si>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</si>
  <si>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</si>
  <si>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</si>
  <si>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</si>
  <si>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</si>
  <si>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</si>
  <si>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</si>
  <si>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</si>
  <si>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</si>
  <si>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</si>
  <si>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</si>
  <si>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</si>
  <si>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</si>
  <si>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</si>
  <si>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</si>
  <si>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</si>
  <si>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</si>
  <si>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</si>
  <si>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</si>
  <si>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</si>
  <si>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</si>
  <si>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</si>
  <si>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</si>
  <si>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</si>
  <si>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</si>
  <si>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</si>
  <si>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</si>
  <si>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</si>
  <si>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</si>
  <si>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</si>
  <si>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</si>
  <si>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</si>
  <si>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</si>
  <si>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</si>
  <si>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</si>
  <si>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</si>
  <si>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</si>
  <si>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</si>
  <si>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</si>
  <si>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</si>
  <si>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</si>
  <si>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</si>
  <si>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</si>
  <si>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</si>
  <si>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</si>
  <si>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</si>
  <si>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</si>
  <si>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</si>
  <si>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</si>
  <si>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</si>
  <si>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</si>
  <si>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</si>
  <si>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</si>
  <si>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</si>
  <si>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</si>
  <si>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</si>
  <si>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</si>
  <si>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</si>
  <si>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</si>
  <si>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</si>
  <si>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</si>
  <si>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</si>
  <si>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</si>
  <si>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</si>
  <si>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</si>
  <si>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</si>
  <si>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</si>
  <si>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</si>
  <si>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</si>
  <si>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</si>
  <si>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</si>
  <si>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</si>
  <si>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</si>
  <si>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</si>
  <si>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</si>
  <si>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</si>
  <si>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</si>
  <si>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</si>
  <si>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</si>
  <si>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</si>
  <si>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</si>
  <si>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</si>
  <si>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</si>
  <si>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</si>
  <si>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</si>
  <si>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</si>
  <si>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</si>
  <si>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</si>
  <si>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</si>
  <si>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</si>
  <si>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</si>
  <si>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</si>
  <si>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</si>
  <si>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</si>
  <si>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</si>
  <si>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</si>
  <si>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</si>
  <si>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</si>
  <si>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</si>
  <si>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</si>
  <si>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</si>
  <si>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</si>
  <si>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</si>
  <si>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</si>
  <si>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</si>
  <si>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</si>
  <si>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</si>
  <si>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</si>
  <si>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</si>
  <si>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</si>
  <si>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</si>
  <si>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</si>
  <si>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</si>
  <si>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</si>
  <si>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</si>
  <si>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</si>
  <si>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</si>
  <si>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</si>
  <si>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</si>
  <si>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</si>
  <si>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</si>
  <si>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</si>
  <si>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</si>
  <si>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</si>
  <si>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</si>
  <si>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</si>
  <si>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</si>
  <si>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</si>
  <si>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</si>
  <si>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</si>
  <si>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</si>
  <si>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</si>
  <si>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</si>
  <si>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</si>
  <si>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</si>
  <si>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</si>
  <si>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</si>
  <si>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</si>
  <si>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</si>
  <si>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</si>
  <si>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</si>
  <si>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</si>
  <si>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</si>
  <si>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</si>
  <si>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</si>
  <si>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</si>
  <si>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</si>
  <si>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</si>
  <si>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</si>
  <si>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</si>
  <si>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</si>
  <si>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</si>
  <si>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</si>
  <si>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</si>
  <si>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</si>
  <si>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</si>
  <si>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</si>
  <si>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</si>
  <si>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</si>
  <si>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</si>
  <si>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</si>
  <si>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</si>
  <si>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</si>
  <si>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</si>
  <si>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</si>
  <si>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</si>
  <si>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</si>
  <si>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</si>
  <si>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</si>
  <si>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</si>
  <si>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</si>
  <si>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</si>
  <si>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</si>
  <si>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</si>
  <si>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</si>
  <si>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</si>
  <si>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</si>
  <si>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</si>
  <si>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</si>
  <si>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</si>
  <si>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</si>
  <si>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</si>
  <si>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</si>
  <si>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</si>
  <si>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</si>
  <si>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</si>
  <si>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</si>
  <si>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</si>
  <si>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</si>
  <si>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</si>
  <si>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</si>
  <si>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</si>
  <si>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</si>
  <si>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</si>
  <si>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</si>
  <si>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</si>
  <si>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</si>
  <si>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</si>
  <si>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</si>
  <si>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</si>
  <si>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</si>
  <si>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</si>
  <si>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</si>
  <si>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</si>
  <si>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</si>
  <si>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</si>
  <si>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</si>
  <si>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</si>
  <si>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</si>
  <si>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</si>
  <si>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</si>
  <si>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</si>
  <si>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</si>
  <si>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</si>
  <si>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</si>
  <si>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</si>
  <si>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</si>
  <si>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</si>
  <si>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</si>
  <si>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</si>
  <si>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</si>
  <si>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</si>
  <si>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</si>
  <si>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</si>
  <si>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</si>
  <si>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</si>
  <si>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</si>
  <si>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</si>
  <si>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</si>
  <si>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</si>
  <si>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</si>
  <si>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</si>
  <si>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</si>
  <si>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</si>
  <si>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</si>
  <si>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</si>
  <si>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</si>
  <si>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</si>
  <si>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</si>
  <si>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</si>
  <si>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</si>
  <si>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</si>
  <si>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</si>
  <si>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</si>
  <si>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</si>
  <si>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</si>
  <si>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</si>
  <si>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</si>
  <si>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</si>
  <si>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</si>
  <si>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</si>
  <si>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</si>
  <si>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</si>
  <si>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</si>
  <si>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</si>
  <si>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</si>
  <si>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</si>
  <si>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</si>
  <si>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</si>
  <si>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</si>
  <si>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</si>
  <si>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</si>
  <si>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</si>
  <si>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</si>
  <si>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</si>
  <si>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</si>
  <si>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</si>
  <si>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</si>
  <si>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</si>
  <si>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</si>
  <si>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</si>
  <si>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</si>
  <si>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</si>
  <si>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</si>
  <si>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</si>
  <si>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</si>
  <si>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</si>
  <si>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</si>
  <si>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</si>
  <si>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</si>
  <si>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</si>
  <si>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</si>
  <si>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</si>
  <si>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</si>
  <si>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</si>
  <si>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</si>
  <si>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</si>
  <si>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</si>
  <si>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</si>
  <si>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</si>
  <si>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</si>
  <si>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</si>
  <si>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</si>
  <si>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</si>
  <si>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</si>
  <si>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</si>
  <si>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</si>
  <si>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</si>
  <si>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</si>
  <si>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</si>
  <si>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</si>
  <si>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</si>
  <si>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</si>
  <si>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</si>
  <si>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</si>
  <si>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</si>
  <si>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</si>
  <si>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</si>
  <si>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</si>
  <si>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</si>
  <si>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</si>
  <si>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</si>
  <si>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</si>
  <si>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</si>
  <si>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</si>
  <si>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</si>
  <si>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</si>
  <si>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</si>
  <si>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</si>
  <si>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</si>
  <si>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</si>
  <si>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</si>
  <si>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</si>
  <si>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</si>
  <si>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</si>
  <si>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</si>
  <si>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</si>
  <si>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</si>
  <si>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</si>
  <si>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</si>
  <si>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</si>
  <si>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</si>
  <si>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</si>
  <si>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</si>
  <si>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</si>
  <si>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</si>
  <si>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</si>
  <si>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</si>
  <si>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</si>
  <si>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</si>
  <si>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</si>
  <si>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</si>
  <si>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</si>
  <si>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</si>
  <si>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</si>
  <si>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</si>
  <si>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</si>
  <si>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</si>
  <si>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</si>
  <si>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</si>
  <si>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</si>
  <si>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</si>
  <si>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</si>
  <si>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</si>
  <si>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</si>
  <si>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</si>
  <si>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</si>
  <si>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</si>
  <si>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</si>
  <si>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</si>
  <si>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</si>
  <si>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</si>
  <si>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</si>
  <si>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</si>
  <si>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</si>
  <si>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</si>
  <si>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</si>
  <si>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</si>
  <si>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</si>
  <si>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</si>
  <si>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</si>
  <si>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</si>
  <si>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</si>
  <si>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</si>
  <si>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</si>
  <si>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</si>
  <si>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</si>
  <si>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</si>
  <si>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</si>
  <si>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</si>
  <si>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</si>
  <si>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</si>
  <si>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</si>
  <si>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</si>
  <si>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</si>
  <si>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</si>
  <si>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</si>
  <si>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</si>
  <si>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</si>
  <si>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</si>
  <si>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</si>
  <si>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</si>
  <si>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</si>
  <si>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</si>
  <si>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</si>
  <si>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</si>
  <si>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</si>
  <si>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</si>
  <si>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</si>
  <si>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</si>
  <si>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</si>
  <si>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</si>
  <si>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</si>
  <si>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</si>
  <si>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</si>
  <si>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</si>
  <si>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</si>
  <si>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</si>
  <si>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</si>
  <si>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</si>
  <si>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</si>
  <si>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</si>
  <si>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</si>
  <si>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</si>
  <si>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</si>
  <si>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</si>
  <si>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</si>
  <si>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</si>
  <si>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</si>
  <si>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</si>
  <si>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</si>
  <si>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</si>
  <si>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</si>
  <si>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</si>
  <si>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</si>
  <si>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</si>
  <si>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</si>
  <si>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</si>
  <si>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</si>
  <si>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</si>
  <si>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</si>
  <si>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</si>
  <si>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</si>
  <si>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</si>
  <si>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</si>
  <si>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</si>
  <si>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</si>
  <si>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</si>
  <si>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</si>
  <si>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</si>
  <si>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</si>
  <si>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</si>
  <si>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</si>
  <si>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</si>
  <si>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</si>
  <si>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</si>
  <si>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</si>
  <si>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</si>
  <si>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</si>
  <si>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</si>
  <si>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</si>
  <si>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</si>
  <si>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</si>
  <si>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</si>
  <si>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</si>
  <si>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</si>
  <si>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</si>
  <si>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</si>
  <si>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</si>
  <si>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</si>
  <si>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</si>
  <si>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</si>
  <si>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</si>
  <si>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</si>
  <si>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</si>
  <si>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</si>
  <si>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</si>
  <si>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</si>
  <si>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</si>
  <si>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</si>
  <si>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</si>
  <si>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</si>
  <si>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</si>
  <si>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</si>
  <si>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</si>
  <si>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</si>
  <si>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</si>
  <si>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</si>
  <si>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</si>
  <si>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</si>
  <si>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</si>
  <si>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</si>
  <si>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</si>
  <si>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</si>
  <si>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</si>
  <si>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</si>
  <si>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</si>
  <si>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</si>
  <si>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</si>
  <si>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</si>
  <si>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</si>
  <si>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</si>
  <si>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</si>
  <si>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</si>
  <si>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</si>
  <si>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</si>
  <si>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</si>
  <si>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</si>
  <si>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</si>
  <si>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</si>
  <si>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</si>
  <si>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</si>
  <si>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</si>
  <si>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</si>
  <si>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</si>
  <si>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</si>
  <si>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</si>
  <si>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</si>
  <si>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</si>
  <si>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</si>
  <si>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</si>
  <si>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</si>
  <si>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</si>
  <si>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</si>
  <si>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</si>
  <si>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</si>
  <si>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</si>
  <si>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</si>
  <si>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</si>
  <si>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</si>
  <si>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</si>
  <si>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</si>
  <si>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</si>
  <si>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</si>
  <si>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</si>
  <si>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</si>
  <si>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</si>
  <si>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</si>
  <si>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</si>
  <si>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</si>
  <si>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</si>
  <si>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</si>
  <si>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</si>
  <si>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</si>
  <si>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</si>
  <si>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</si>
  <si>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</si>
  <si>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</si>
  <si>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</si>
  <si>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</si>
  <si>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</si>
  <si>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</si>
  <si>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</si>
  <si>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</si>
  <si>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</si>
  <si>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</si>
  <si>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</si>
  <si>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</si>
  <si>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</si>
  <si>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</si>
  <si>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</si>
  <si>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</si>
  <si>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</si>
  <si>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</si>
  <si>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</si>
  <si>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</si>
  <si>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</si>
  <si>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</si>
  <si>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</si>
  <si>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</si>
  <si>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</si>
  <si>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</si>
  <si>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</si>
  <si>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</si>
  <si>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</si>
  <si>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</si>
  <si>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</si>
  <si>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</si>
  <si>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</si>
  <si>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</si>
  <si>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</si>
  <si>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</si>
  <si>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</si>
  <si>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</si>
  <si>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</si>
  <si>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</si>
  <si>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</si>
  <si>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</si>
  <si>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</si>
  <si>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</si>
  <si>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</si>
  <si>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</si>
  <si>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</si>
  <si>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</si>
  <si>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</si>
  <si>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</si>
  <si>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</si>
  <si>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</si>
  <si>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</si>
  <si>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</si>
  <si>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</si>
  <si>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</si>
  <si>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</si>
  <si>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</si>
  <si>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</si>
  <si>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</si>
  <si>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</si>
  <si>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</si>
  <si>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</si>
  <si>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</si>
  <si>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</si>
  <si>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</si>
  <si>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</si>
  <si>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</si>
  <si>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</si>
  <si>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</si>
  <si>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</si>
  <si>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</si>
  <si>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</si>
  <si>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</si>
  <si>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</si>
  <si>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</si>
  <si>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</si>
  <si>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</si>
  <si>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</si>
  <si>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</si>
  <si>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</si>
  <si>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</si>
  <si>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</si>
  <si>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</si>
  <si>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</si>
  <si>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</si>
  <si>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</si>
  <si>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</si>
  <si>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</si>
  <si>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</si>
  <si>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</si>
  <si>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</si>
  <si>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</si>
  <si>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</si>
  <si>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</si>
  <si>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</si>
  <si>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</si>
  <si>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</si>
  <si>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</si>
  <si>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</si>
  <si>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</si>
  <si>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</si>
  <si>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</si>
  <si>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</si>
  <si>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</si>
  <si>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</si>
  <si>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</si>
  <si>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</si>
  <si>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</si>
  <si>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</si>
  <si>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</si>
  <si>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</si>
  <si>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</si>
  <si>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</si>
  <si>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</si>
  <si>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</si>
  <si>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</si>
  <si>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</si>
  <si>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</si>
  <si>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</si>
  <si>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</si>
  <si>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</si>
  <si>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</si>
  <si>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</si>
  <si>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</si>
  <si>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</si>
  <si>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</si>
  <si>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</si>
  <si>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</si>
  <si>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</si>
  <si>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</si>
  <si>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</si>
  <si>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</si>
  <si>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</si>
  <si>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</si>
  <si>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</si>
  <si>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</si>
  <si>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</si>
  <si>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</si>
  <si>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</si>
  <si>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</si>
  <si>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</si>
  <si>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</si>
  <si>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</si>
  <si>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</si>
  <si>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</si>
  <si>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</si>
  <si>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</si>
  <si>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</si>
  <si>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</si>
  <si>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</si>
  <si>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</si>
  <si>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</si>
  <si>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</si>
  <si>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</si>
  <si>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</si>
  <si>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</si>
  <si>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</si>
  <si>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</si>
  <si>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</si>
  <si>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</si>
  <si>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</si>
  <si>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</si>
  <si>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</si>
  <si>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</si>
  <si>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</si>
  <si>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</si>
  <si>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</si>
  <si>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</si>
  <si>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</si>
  <si>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</si>
  <si>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</si>
  <si>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</si>
  <si>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</si>
  <si>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</si>
  <si>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</si>
  <si>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</si>
  <si>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</si>
  <si>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</si>
  <si>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</si>
  <si>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</si>
  <si>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</si>
  <si>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</si>
  <si>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</si>
  <si>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</si>
  <si>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</si>
  <si>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</si>
  <si>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</si>
  <si>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</si>
  <si>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</si>
  <si>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</si>
  <si>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</si>
  <si>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</si>
  <si>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</si>
  <si>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</si>
  <si>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</si>
  <si>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</si>
  <si>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</si>
  <si>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</si>
  <si>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</si>
  <si>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</si>
  <si>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</si>
  <si>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</si>
  <si>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</si>
  <si>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</si>
  <si>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</si>
  <si>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</si>
  <si>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</si>
  <si>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</si>
  <si>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</si>
  <si>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</si>
  <si>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</si>
  <si>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</si>
  <si>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</si>
  <si>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</si>
  <si>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</si>
  <si>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</si>
  <si>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</si>
  <si>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</si>
  <si>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</si>
  <si>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</si>
  <si>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</si>
  <si>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</si>
  <si>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</si>
  <si>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</si>
  <si>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</si>
  <si>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</si>
  <si>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</si>
  <si>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</si>
  <si>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</si>
  <si>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</si>
  <si>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</si>
  <si>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</si>
  <si>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</si>
  <si>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</si>
  <si>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</si>
  <si>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</si>
  <si>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</si>
  <si>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</si>
  <si>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</si>
  <si>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</si>
  <si>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</si>
  <si>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</si>
  <si>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</si>
  <si>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</si>
  <si>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</si>
  <si>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</si>
  <si>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</si>
  <si>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</si>
  <si>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</si>
  <si>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</si>
  <si>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</si>
  <si>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</si>
  <si>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</si>
  <si>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</si>
  <si>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</si>
  <si>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</si>
  <si>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</si>
  <si>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</si>
  <si>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</si>
  <si>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</si>
  <si>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</si>
  <si>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</si>
  <si>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</si>
  <si>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</si>
  <si>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</si>
  <si>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</si>
  <si>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</si>
  <si>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</si>
  <si>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</si>
  <si>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</si>
  <si>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</si>
  <si>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</si>
  <si>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</si>
  <si>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</si>
  <si>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</si>
  <si>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</si>
  <si>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</si>
  <si>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</si>
  <si>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</si>
  <si>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</si>
  <si>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</si>
  <si>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</si>
  <si>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</si>
  <si>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</si>
  <si>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</si>
  <si>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</si>
  <si>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</si>
  <si>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</si>
  <si>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</si>
  <si>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</si>
  <si>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</si>
  <si>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</si>
  <si>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</si>
  <si>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</si>
  <si>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</si>
  <si>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</si>
  <si>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</si>
  <si>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</si>
  <si>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</si>
  <si>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</si>
  <si>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</si>
  <si>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</si>
  <si>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</si>
  <si>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</si>
  <si>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</si>
  <si>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</si>
  <si>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</si>
  <si>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</si>
  <si>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</si>
  <si>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</si>
  <si>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</si>
  <si>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</si>
  <si>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</si>
  <si>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</si>
  <si>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</si>
  <si>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</si>
  <si>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</si>
  <si>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</si>
  <si>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</si>
  <si>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</si>
  <si>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</si>
  <si>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</si>
  <si>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</si>
  <si>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</si>
  <si>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</si>
  <si>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</si>
  <si>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</si>
  <si>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</si>
  <si>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</si>
  <si>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</si>
  <si>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</si>
  <si>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</si>
  <si>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</si>
  <si>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</si>
  <si>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</si>
  <si>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</si>
  <si>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</si>
  <si>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</si>
  <si>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</si>
  <si>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</si>
  <si>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</si>
  <si>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</si>
  <si>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</si>
  <si>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</si>
  <si>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</si>
  <si>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</si>
  <si>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</si>
  <si>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</si>
  <si>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</si>
  <si>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</si>
  <si>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</si>
  <si>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</si>
  <si>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</si>
  <si>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</si>
  <si>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</si>
  <si>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</si>
  <si>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</si>
  <si>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</si>
  <si>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</si>
  <si>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</si>
  <si>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</si>
  <si>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</si>
  <si>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</si>
  <si>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</si>
  <si>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</si>
  <si>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</si>
  <si>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</si>
  <si>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</si>
  <si>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</si>
  <si>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</si>
  <si>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</si>
  <si>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</si>
  <si>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</si>
  <si>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</si>
  <si>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</si>
  <si>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</si>
  <si>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</si>
  <si>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</si>
  <si>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</si>
  <si>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</si>
  <si>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</si>
  <si>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</si>
  <si>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</si>
  <si>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</si>
  <si>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</si>
  <si>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</si>
  <si>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</si>
  <si>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</si>
  <si>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</si>
  <si>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</si>
  <si>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</si>
  <si>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</si>
  <si>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</si>
  <si>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</si>
  <si>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</si>
  <si>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</si>
  <si>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</si>
  <si>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</si>
  <si>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</si>
  <si>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</si>
  <si>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</si>
  <si>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</si>
  <si>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</si>
  <si>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</si>
  <si>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</si>
  <si>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</si>
  <si>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</si>
  <si>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</si>
  <si>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</si>
  <si>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</si>
  <si>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</si>
  <si>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</si>
  <si>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</si>
  <si>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</si>
  <si>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</si>
  <si>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</si>
  <si>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</si>
  <si>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</si>
  <si>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</si>
  <si>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</si>
  <si>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</si>
  <si>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</si>
  <si>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</si>
  <si>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</si>
  <si>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</si>
  <si>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</si>
  <si>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</si>
  <si>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</si>
  <si>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</si>
  <si>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</si>
  <si>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</si>
  <si>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</si>
  <si>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</si>
  <si>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</si>
  <si>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</si>
  <si>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</si>
  <si>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</si>
  <si>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</si>
  <si>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</si>
  <si>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</si>
  <si>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</si>
  <si>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</si>
  <si>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</si>
  <si>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</si>
  <si>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</si>
  <si>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</si>
  <si>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</si>
  <si>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</si>
  <si>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</si>
  <si>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</si>
  <si>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</si>
  <si>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</si>
  <si>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</si>
  <si>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</si>
  <si>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</si>
  <si>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</si>
  <si>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</si>
  <si>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</si>
  <si>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</si>
  <si>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</si>
  <si>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</si>
  <si>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</si>
  <si>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</si>
  <si>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</si>
  <si>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</si>
  <si>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</si>
  <si>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</si>
  <si>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</si>
  <si>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</si>
  <si>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</si>
  <si>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</si>
  <si>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</si>
  <si>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</si>
  <si>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</si>
  <si>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</si>
  <si>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</si>
  <si>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</si>
  <si>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</si>
  <si>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</si>
  <si>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</si>
  <si>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</si>
  <si>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</si>
  <si>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</si>
  <si>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</si>
  <si>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</si>
  <si>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</si>
  <si>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</si>
  <si>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</si>
  <si>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</si>
  <si>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</si>
  <si>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</si>
  <si>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</si>
  <si>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</si>
  <si>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</si>
  <si>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</si>
  <si>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</si>
  <si>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</si>
  <si>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</si>
  <si>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</si>
  <si>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</si>
  <si>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</si>
  <si>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</si>
  <si>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</si>
  <si>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</si>
  <si>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</si>
  <si>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</si>
  <si>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</si>
  <si>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</si>
  <si>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</si>
  <si>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</si>
  <si>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</si>
  <si>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</si>
  <si>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</si>
  <si>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</si>
  <si>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</si>
  <si>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</si>
  <si>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</si>
  <si>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</si>
  <si>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</si>
  <si>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</si>
  <si>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</si>
  <si>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</si>
  <si>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</si>
  <si>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</si>
  <si>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</si>
  <si>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</si>
  <si>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</si>
  <si>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</si>
  <si>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</si>
  <si>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</si>
  <si>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</si>
  <si>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</si>
  <si>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</si>
  <si>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</si>
  <si>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</si>
  <si>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</si>
  <si>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</si>
  <si>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</si>
  <si>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</si>
  <si>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</si>
  <si>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</si>
  <si>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</si>
  <si>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</si>
  <si>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</si>
  <si>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</si>
  <si>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</si>
  <si>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</si>
  <si>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</si>
  <si>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</si>
  <si>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</si>
  <si>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</si>
  <si>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</si>
  <si>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</si>
  <si>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</si>
  <si>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</si>
  <si>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</si>
  <si>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</si>
  <si>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</si>
  <si>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</si>
  <si>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</si>
  <si>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</si>
  <si>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</si>
  <si>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</si>
  <si>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</si>
  <si>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</si>
  <si>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</si>
  <si>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</si>
  <si>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</si>
  <si>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</si>
  <si>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</si>
  <si>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</si>
  <si>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</si>
  <si>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</si>
  <si>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</si>
  <si>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</si>
  <si>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</si>
  <si>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</si>
  <si>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</si>
  <si>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</si>
  <si>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</si>
  <si>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</si>
  <si>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</si>
  <si>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</si>
  <si>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</si>
  <si>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</si>
  <si>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</si>
  <si>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</si>
  <si>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</si>
  <si>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</si>
  <si>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</si>
  <si>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</si>
  <si>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</si>
  <si>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</si>
  <si>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</si>
  <si>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</si>
  <si>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</si>
  <si>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</si>
  <si>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</si>
  <si>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</si>
  <si>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</si>
  <si>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</si>
  <si>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</si>
  <si>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</si>
  <si>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</si>
  <si>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</si>
  <si>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</si>
  <si>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</si>
  <si>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</si>
  <si>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</si>
  <si>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</si>
  <si>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</si>
  <si>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</si>
  <si>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</si>
  <si>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</si>
  <si>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</si>
  <si>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</si>
  <si>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</si>
  <si>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</si>
  <si>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</si>
  <si>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</si>
  <si>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</si>
  <si>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</si>
  <si>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</si>
  <si>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</si>
  <si>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</si>
  <si>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</si>
  <si>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</si>
  <si>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</si>
  <si>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</si>
  <si>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</si>
  <si>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</si>
  <si>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</si>
  <si>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</si>
  <si>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</si>
  <si>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</si>
  <si>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</si>
  <si>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</si>
  <si>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</si>
  <si>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</si>
  <si>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</si>
  <si>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</si>
  <si>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</si>
  <si>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</si>
  <si>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</si>
  <si>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</si>
  <si>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</si>
  <si>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</si>
  <si>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</si>
  <si>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</si>
  <si>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</si>
  <si>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</si>
  <si>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</si>
  <si>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</si>
  <si>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</si>
  <si>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</si>
  <si>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</si>
  <si>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</si>
  <si>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</si>
  <si>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</si>
  <si>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</si>
  <si>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</si>
  <si>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</si>
  <si>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</si>
  <si>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</si>
  <si>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</si>
  <si>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</si>
  <si>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</si>
  <si>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</si>
  <si>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</si>
  <si>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</si>
  <si>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</si>
  <si>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</si>
  <si>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</si>
  <si>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</si>
  <si>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</si>
  <si>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</si>
  <si>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</si>
  <si>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</si>
  <si>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</si>
  <si>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</si>
  <si>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</si>
  <si>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</si>
  <si>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</si>
  <si>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</si>
  <si>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</si>
  <si>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</si>
  <si>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</si>
  <si>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</si>
  <si>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</si>
  <si>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</si>
  <si>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</si>
  <si>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</si>
  <si>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</si>
  <si>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</si>
  <si>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</si>
  <si>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</si>
  <si>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</si>
  <si>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</si>
  <si>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</si>
  <si>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</si>
  <si>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</si>
  <si>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</si>
  <si>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</si>
  <si>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</si>
  <si>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</si>
  <si>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</si>
  <si>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</si>
  <si>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</si>
  <si>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</si>
  <si>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</si>
  <si>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</si>
  <si>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</si>
  <si>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</si>
  <si>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</si>
  <si>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</si>
  <si>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</si>
  <si>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</si>
  <si>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</si>
  <si>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</si>
  <si>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</si>
  <si>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</si>
  <si>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</si>
  <si>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</si>
  <si>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</si>
  <si>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</si>
  <si>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</si>
  <si>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</si>
  <si>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</si>
  <si>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</si>
  <si>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</si>
  <si>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</si>
  <si>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</si>
  <si>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</si>
  <si>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</si>
  <si>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</si>
  <si>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</si>
  <si>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</si>
  <si>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</si>
  <si>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</si>
  <si>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</si>
  <si>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</si>
  <si>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</si>
  <si>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</si>
  <si>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</si>
  <si>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</si>
  <si>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</si>
  <si>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</si>
  <si>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</si>
  <si>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</si>
  <si>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</si>
  <si>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</si>
  <si>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</si>
  <si>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</si>
  <si>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</si>
  <si>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</si>
  <si>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</si>
  <si>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</si>
  <si>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</si>
  <si>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</si>
  <si>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</si>
  <si>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</si>
  <si>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</si>
  <si>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</si>
  <si>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</si>
  <si>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</si>
  <si>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</si>
  <si>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</si>
  <si>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</si>
  <si>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</si>
  <si>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</si>
  <si>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</si>
  <si>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</si>
  <si>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</si>
  <si>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</si>
  <si>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</si>
  <si>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</si>
  <si>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</si>
  <si>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</si>
  <si>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</si>
  <si>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</si>
  <si>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</si>
  <si>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</si>
  <si>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</si>
  <si>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</si>
  <si>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</si>
  <si>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</si>
  <si>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</si>
  <si>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</si>
  <si>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</si>
  <si>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</si>
  <si>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</si>
  <si>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</si>
  <si>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</si>
  <si>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</si>
  <si>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</si>
  <si>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</si>
  <si>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</si>
  <si>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</si>
  <si>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</si>
  <si>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</si>
  <si>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</si>
  <si>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</si>
  <si>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</si>
  <si>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</si>
  <si>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</si>
  <si>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</si>
  <si>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</si>
  <si>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</si>
  <si>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</si>
  <si>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</si>
  <si>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</si>
  <si>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</si>
  <si>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</si>
  <si>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</si>
  <si>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</si>
  <si>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</si>
  <si>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</si>
  <si>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</si>
  <si>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</si>
  <si>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</si>
  <si>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</si>
  <si>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</si>
  <si>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</si>
  <si>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</si>
  <si>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</si>
  <si>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</si>
  <si>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</si>
  <si>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</si>
  <si>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</si>
  <si>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</si>
  <si>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</si>
  <si>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</si>
  <si>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</si>
  <si>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</si>
  <si>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</si>
  <si>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</si>
  <si>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</si>
  <si>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</si>
  <si>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</si>
  <si>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</si>
  <si>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</si>
  <si>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</si>
  <si>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</si>
  <si>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</si>
  <si>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</si>
  <si>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</si>
  <si>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</si>
  <si>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</si>
  <si>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</si>
  <si>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</si>
  <si>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</si>
  <si>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</si>
  <si>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</si>
  <si>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</si>
  <si>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</si>
  <si>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</si>
  <si>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</si>
  <si>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</si>
  <si>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</si>
  <si>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</si>
  <si>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</si>
  <si>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</si>
  <si>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</si>
  <si>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</si>
  <si>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</si>
  <si>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</si>
  <si>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</si>
  <si>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</si>
  <si>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</si>
  <si>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</si>
  <si>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</si>
  <si>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</si>
  <si>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</si>
  <si>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</si>
  <si>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</si>
  <si>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</si>
  <si>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</si>
  <si>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</si>
  <si>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</si>
  <si>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</si>
  <si>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</si>
  <si>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</si>
  <si>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</si>
  <si>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</si>
  <si>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</si>
  <si>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</si>
  <si>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</si>
  <si>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</si>
  <si>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</si>
  <si>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</si>
  <si>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</si>
  <si>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</si>
  <si>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</si>
  <si>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</si>
  <si>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</si>
  <si>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</si>
  <si>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</si>
  <si>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</si>
  <si>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</si>
  <si>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</si>
  <si>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</si>
  <si>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</si>
  <si>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</si>
  <si>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</si>
  <si>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</si>
  <si>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</si>
  <si>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</si>
  <si>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</si>
  <si>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</si>
  <si>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</si>
  <si>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</si>
  <si>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</si>
  <si>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</si>
  <si>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</si>
  <si>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</si>
  <si>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</si>
  <si>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</si>
  <si>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</si>
  <si>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</si>
  <si>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</si>
  <si>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</si>
  <si>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</si>
  <si>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</si>
  <si>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</si>
  <si>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</si>
  <si>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</si>
  <si>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</si>
  <si>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</si>
  <si>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</si>
  <si>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</si>
  <si>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</si>
  <si>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</si>
  <si>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</si>
  <si>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</si>
  <si>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</si>
  <si>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</si>
  <si>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</si>
  <si>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</si>
  <si>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</si>
  <si>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</si>
  <si>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</si>
  <si>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</si>
  <si>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</si>
  <si>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</si>
  <si>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</si>
  <si>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</si>
  <si>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</si>
  <si>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</si>
  <si>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</si>
  <si>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</si>
  <si>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</si>
  <si>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</si>
  <si>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</si>
  <si>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</si>
  <si>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</si>
  <si>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</si>
  <si>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</si>
  <si>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</si>
  <si>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</si>
  <si>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</si>
  <si>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</si>
  <si>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</si>
  <si>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</si>
  <si>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</si>
  <si>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</si>
  <si>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</si>
  <si>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</si>
  <si>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</si>
  <si>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</si>
  <si>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</si>
  <si>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</si>
  <si>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</si>
  <si>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</si>
  <si>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</si>
  <si>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</si>
  <si>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</si>
  <si>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</si>
  <si>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</si>
  <si>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</si>
  <si>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</si>
  <si>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</si>
  <si>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</si>
  <si>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</si>
  <si>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</si>
  <si>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</si>
  <si>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</si>
  <si>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</si>
  <si>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</si>
  <si>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</si>
  <si>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</si>
  <si>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</si>
  <si>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</si>
  <si>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</si>
  <si>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</si>
  <si>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</si>
  <si>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</si>
  <si>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</si>
  <si>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</si>
  <si>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</si>
  <si>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</si>
  <si>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</si>
  <si>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</si>
  <si>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</si>
  <si>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</si>
  <si>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</si>
  <si>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</si>
  <si>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</si>
  <si>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</si>
  <si>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</si>
  <si>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</si>
  <si>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</si>
  <si>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</si>
  <si>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</si>
  <si>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</si>
  <si>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</si>
  <si>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</si>
  <si>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</si>
  <si>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</si>
  <si>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</si>
  <si>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</si>
  <si>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</si>
  <si>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</si>
  <si>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</si>
  <si>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</si>
  <si>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</si>
  <si>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</si>
  <si>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</si>
  <si>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</si>
  <si>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</si>
  <si>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</si>
  <si>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</si>
  <si>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</si>
  <si>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</si>
  <si>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</si>
  <si>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</si>
  <si>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</si>
  <si>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</si>
  <si>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</si>
  <si>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</si>
  <si>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</si>
  <si>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</si>
  <si>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</si>
  <si>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</si>
  <si>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</si>
  <si>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</si>
  <si>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</si>
  <si>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</si>
  <si>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</si>
  <si>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</si>
  <si>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</si>
  <si>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</si>
  <si>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</si>
  <si>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</si>
  <si>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</si>
  <si>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</si>
  <si>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</si>
  <si>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</si>
  <si>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</si>
  <si>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</si>
  <si>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</si>
  <si>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</si>
  <si>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</si>
  <si>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</si>
  <si>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</si>
  <si>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</si>
  <si>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</si>
  <si>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</si>
  <si>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</si>
  <si>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</si>
  <si>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</si>
  <si>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</si>
  <si>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</si>
  <si>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</si>
  <si>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</si>
  <si>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</si>
  <si>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</si>
  <si>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</si>
  <si>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</si>
  <si>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</si>
  <si>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</si>
  <si>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</si>
  <si>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</si>
  <si>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</si>
  <si>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</si>
  <si>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</si>
  <si>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</si>
  <si>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</si>
  <si>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</si>
  <si>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</si>
  <si>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</si>
  <si>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</si>
  <si>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</si>
  <si>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</si>
  <si>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</si>
  <si>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</si>
  <si>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</si>
  <si>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</si>
  <si>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</si>
  <si>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</si>
  <si>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</si>
  <si>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</si>
  <si>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</si>
  <si>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</si>
  <si>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</si>
  <si>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</si>
  <si>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</si>
  <si>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</si>
  <si>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</si>
  <si>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</si>
  <si>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</si>
  <si>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</si>
  <si>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</si>
  <si>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</si>
  <si>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</si>
  <si>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</si>
  <si>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</si>
  <si>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</si>
  <si>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</si>
  <si>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</si>
  <si>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</si>
  <si>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</si>
  <si>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</si>
  <si>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</si>
  <si>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</si>
  <si>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</si>
  <si>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</si>
  <si>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</si>
  <si>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</si>
  <si>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</si>
  <si>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</si>
  <si>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</si>
  <si>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</si>
  <si>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</si>
  <si>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</si>
  <si>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</si>
  <si>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</si>
  <si>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</si>
  <si>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</si>
  <si>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</si>
  <si>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</si>
  <si>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</si>
  <si>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</si>
  <si>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</si>
  <si>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</si>
  <si>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</si>
  <si>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</si>
  <si>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</si>
  <si>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</si>
  <si>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</si>
  <si>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</si>
  <si>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</si>
  <si>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</si>
  <si>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</si>
  <si>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</si>
  <si>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</si>
  <si>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</si>
  <si>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</si>
  <si>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</si>
  <si>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</si>
  <si>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</si>
  <si>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</si>
  <si>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</si>
  <si>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</si>
  <si>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</si>
  <si>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</si>
  <si>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</si>
  <si>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</si>
  <si>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</si>
  <si>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</si>
  <si>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</si>
  <si>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</si>
  <si>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</si>
  <si>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</si>
  <si>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</si>
  <si>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</si>
  <si>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</si>
  <si>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</si>
  <si>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</si>
  <si>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</si>
  <si>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</si>
  <si>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</si>
  <si>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</si>
  <si>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</si>
  <si>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</si>
  <si>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</si>
  <si>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</si>
  <si>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</si>
  <si>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</si>
  <si>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</si>
  <si>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</si>
  <si>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</si>
  <si>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</si>
  <si>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</si>
  <si>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</si>
  <si>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</si>
  <si>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</si>
  <si>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</si>
  <si>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</si>
  <si>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</si>
  <si>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</si>
  <si>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</si>
  <si>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</si>
  <si>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</si>
  <si>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</si>
  <si>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</si>
  <si>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</si>
  <si>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</si>
  <si>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</si>
  <si>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</si>
  <si>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</si>
  <si>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</si>
  <si>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</si>
  <si>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</si>
  <si>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</si>
  <si>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</si>
  <si>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</si>
  <si>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</si>
  <si>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</si>
  <si>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</si>
  <si>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</si>
  <si>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</si>
  <si>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</si>
  <si>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</si>
  <si>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</si>
  <si>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</si>
  <si>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</si>
  <si>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</si>
  <si>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</si>
  <si>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</si>
  <si>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</si>
  <si>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</si>
  <si>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</si>
  <si>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</si>
  <si>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</si>
  <si>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</si>
  <si>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</si>
  <si>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</si>
  <si>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</si>
  <si>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</si>
  <si>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</si>
  <si>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</si>
  <si>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</si>
  <si>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</si>
  <si>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</si>
  <si>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</si>
  <si>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</si>
  <si>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</si>
  <si>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</si>
  <si>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</si>
  <si>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</si>
  <si>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</si>
  <si>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</si>
  <si>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</si>
  <si>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</si>
  <si>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</si>
  <si>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</si>
  <si>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</si>
  <si>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</si>
  <si>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</si>
  <si>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</si>
  <si>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</si>
  <si>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</si>
  <si>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</si>
  <si>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</si>
  <si>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</si>
  <si>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</si>
  <si>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</si>
  <si>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</si>
  <si>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</si>
  <si>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</si>
  <si>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</si>
  <si>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</si>
  <si>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</si>
  <si>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</si>
  <si>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</si>
  <si>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</si>
  <si>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</si>
  <si>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</si>
  <si>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</si>
  <si>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</si>
  <si>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</si>
  <si>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</si>
  <si>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</si>
  <si>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</si>
  <si>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</si>
  <si>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</si>
  <si>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</si>
  <si>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</si>
  <si>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</si>
  <si>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</si>
  <si>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</si>
  <si>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</si>
  <si>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</si>
  <si>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</si>
  <si>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</si>
  <si>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</si>
  <si>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</si>
  <si>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</si>
  <si>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</si>
  <si>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</si>
  <si>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</si>
  <si>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</si>
  <si>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</si>
  <si>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</si>
  <si>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</si>
  <si>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</si>
  <si>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</si>
  <si>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</si>
  <si>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</si>
  <si>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</si>
  <si>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</si>
  <si>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</si>
  <si>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</si>
  <si>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</si>
  <si>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</si>
  <si>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</si>
  <si>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</si>
  <si>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</si>
  <si>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</si>
  <si>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</si>
  <si>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</si>
  <si>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</si>
  <si>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</si>
  <si>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</si>
  <si>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</si>
  <si>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</si>
  <si>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</si>
  <si>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</si>
  <si>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</si>
  <si>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</si>
  <si>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</si>
  <si>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</si>
  <si>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</si>
  <si>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</si>
  <si>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</si>
  <si>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</si>
  <si>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</si>
  <si>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</si>
  <si>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</si>
  <si>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</si>
  <si>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</si>
  <si>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</si>
  <si>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</si>
  <si>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</si>
  <si>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</si>
  <si>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</si>
  <si>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</si>
  <si>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</si>
  <si>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</si>
  <si>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</si>
  <si>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</si>
  <si>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</si>
  <si>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</si>
  <si>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</si>
  <si>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</si>
  <si>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</si>
  <si>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</si>
  <si>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</si>
  <si>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</si>
  <si>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</si>
  <si>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</si>
  <si>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</si>
  <si>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</si>
  <si>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</si>
  <si>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</si>
  <si>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</si>
  <si>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</si>
  <si>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</si>
  <si>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</si>
  <si>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</si>
  <si>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</si>
  <si>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</si>
  <si>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</si>
  <si>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</si>
  <si>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</si>
  <si>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</si>
  <si>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</si>
  <si>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</si>
  <si>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</si>
  <si>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</si>
  <si>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</si>
  <si>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</si>
  <si>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</si>
  <si>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</si>
  <si>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</si>
  <si>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</si>
  <si>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</si>
  <si>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</si>
  <si>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</si>
  <si>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</si>
  <si>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</si>
  <si>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</si>
  <si>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</si>
  <si>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</si>
  <si>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</si>
  <si>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</si>
  <si>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</si>
  <si>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</si>
  <si>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</si>
  <si>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</si>
  <si>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</si>
  <si>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</si>
  <si>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</si>
  <si>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</si>
  <si>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</si>
  <si>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</si>
  <si>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</si>
  <si>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</si>
  <si>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</si>
  <si>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</si>
  <si>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</si>
  <si>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</si>
  <si>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</si>
  <si>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</si>
  <si>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</si>
  <si>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</si>
  <si>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</si>
  <si>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</si>
  <si>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</si>
  <si>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</si>
  <si>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</si>
  <si>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</si>
  <si>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</si>
  <si>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</si>
  <si>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</si>
  <si>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</si>
  <si>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</si>
  <si>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</si>
  <si>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</si>
  <si>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</si>
  <si>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</si>
  <si>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</si>
  <si>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</si>
  <si>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</si>
  <si>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</si>
  <si>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</si>
  <si>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</si>
  <si>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</si>
  <si>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</si>
  <si>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</si>
  <si>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</si>
  <si>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</si>
  <si>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</si>
  <si>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</si>
  <si>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</si>
  <si>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</si>
  <si>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</si>
  <si>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</si>
  <si>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</si>
  <si>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</si>
  <si>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</si>
  <si>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</si>
  <si>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</si>
  <si>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</si>
  <si>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</si>
  <si>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</si>
  <si>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</si>
  <si>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</si>
  <si>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</si>
  <si>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</si>
  <si>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</si>
  <si>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</si>
  <si>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</si>
  <si>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</si>
  <si>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</si>
  <si>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</si>
  <si>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</si>
  <si>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</si>
  <si>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</si>
  <si>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</si>
  <si>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</si>
  <si>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</si>
  <si>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</si>
  <si>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</si>
  <si>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</si>
  <si>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</si>
  <si>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</si>
  <si>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</si>
  <si>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</si>
  <si>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</si>
  <si>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</si>
  <si>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</si>
  <si>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</si>
  <si>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</si>
  <si>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</si>
  <si>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</si>
  <si>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</si>
  <si>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</si>
  <si>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</si>
  <si>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</si>
  <si>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</si>
  <si>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</si>
  <si>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</si>
  <si>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</si>
  <si>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</si>
  <si>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</si>
  <si>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</si>
  <si>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</si>
  <si>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</si>
  <si>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</si>
  <si>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</si>
  <si>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</si>
  <si>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</si>
  <si>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</si>
  <si>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</si>
  <si>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</si>
  <si>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</si>
  <si>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</si>
  <si>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</si>
  <si>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</si>
  <si>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</si>
  <si>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</si>
  <si>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</si>
  <si>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</si>
  <si>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</si>
  <si>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</si>
  <si>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</si>
  <si>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</si>
  <si>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</si>
  <si>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</si>
  <si>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</si>
  <si>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</si>
  <si>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</si>
  <si>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</si>
  <si>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</si>
  <si>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</si>
  <si>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</si>
  <si>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</si>
  <si>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</si>
  <si>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</si>
  <si>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</si>
  <si>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</si>
  <si>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</si>
  <si>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</si>
  <si>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</si>
  <si>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</si>
  <si>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</si>
  <si>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</si>
  <si>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</si>
  <si>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</si>
  <si>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</si>
  <si>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</si>
  <si>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</si>
  <si>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</si>
  <si>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</si>
  <si>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</si>
  <si>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</si>
  <si>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</si>
  <si>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</si>
  <si>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</si>
  <si>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</si>
  <si>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</si>
  <si>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</si>
  <si>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</si>
  <si>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</si>
  <si>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</si>
  <si>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</si>
  <si>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</si>
  <si>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</si>
  <si>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</si>
  <si>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</si>
  <si>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</si>
  <si>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</si>
  <si>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</si>
  <si>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</si>
  <si>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</si>
  <si>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</si>
  <si>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</si>
  <si>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</si>
  <si>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</si>
  <si>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</si>
  <si>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</si>
  <si>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</si>
  <si>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</si>
  <si>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</si>
  <si>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</si>
  <si>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</si>
  <si>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</si>
  <si>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</si>
  <si>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</si>
  <si>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</si>
  <si>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</si>
  <si>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</si>
  <si>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</si>
  <si>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</si>
  <si>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</si>
  <si>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</si>
  <si>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</si>
  <si>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</si>
  <si>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</si>
  <si>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</si>
  <si>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</si>
  <si>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</si>
  <si>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</si>
  <si>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</si>
  <si>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</si>
  <si>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</si>
  <si>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</si>
  <si>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</si>
  <si>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</si>
  <si>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</si>
  <si>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</si>
  <si>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</si>
  <si>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</si>
  <si>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</si>
  <si>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</si>
  <si>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</si>
  <si>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</si>
  <si>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</si>
  <si>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</si>
  <si>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</si>
  <si>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</si>
  <si>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</si>
  <si>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</si>
  <si>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</si>
  <si>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</si>
  <si>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</si>
  <si>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</si>
  <si>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</si>
  <si>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</si>
  <si>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</si>
  <si>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</si>
  <si>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</si>
  <si>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</si>
  <si>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</si>
  <si>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</si>
  <si>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</si>
  <si>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</si>
  <si>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</si>
  <si>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</si>
  <si>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</si>
  <si>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</si>
  <si>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</si>
  <si>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</si>
  <si>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</si>
  <si>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</si>
  <si>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</si>
  <si>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</si>
  <si>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</si>
  <si>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</si>
  <si>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</si>
  <si>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</si>
  <si>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</si>
  <si>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</si>
  <si>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</si>
  <si>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</si>
  <si>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</si>
  <si>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</si>
  <si>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</si>
  <si>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</si>
  <si>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</si>
  <si>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</si>
  <si>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</si>
  <si>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</si>
  <si>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</si>
  <si>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</si>
  <si>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</si>
  <si>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</si>
  <si>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</si>
  <si>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</si>
  <si>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</si>
  <si>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</si>
  <si>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</si>
  <si>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</si>
  <si>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</si>
  <si>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</si>
  <si>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</si>
  <si>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</si>
  <si>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</si>
  <si>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</si>
  <si>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</si>
  <si>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</si>
  <si>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</si>
  <si>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</si>
  <si>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</si>
  <si>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</si>
  <si>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</si>
  <si>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</si>
  <si>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</si>
  <si>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</si>
  <si>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</si>
  <si>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</si>
  <si>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</si>
  <si>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</si>
  <si>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</si>
  <si>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</si>
  <si>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</si>
  <si>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</si>
  <si>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</si>
  <si>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</si>
  <si>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</si>
  <si>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</si>
  <si>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</si>
  <si>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</si>
  <si>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</si>
  <si>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</si>
  <si>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</si>
  <si>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</si>
  <si>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</si>
  <si>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</si>
  <si>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</si>
  <si>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</si>
  <si>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</si>
  <si>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</si>
  <si>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</si>
  <si>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</si>
  <si>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</si>
  <si>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</si>
  <si>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</si>
  <si>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</si>
  <si>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</si>
  <si>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</si>
  <si>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</si>
  <si>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</si>
  <si>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</si>
  <si>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</si>
  <si>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</si>
  <si>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</si>
  <si>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</si>
  <si>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</si>
  <si>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</si>
  <si>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</si>
  <si>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</si>
  <si>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</si>
  <si>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</si>
  <si>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</si>
  <si>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</si>
  <si>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</si>
  <si>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</si>
  <si>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</si>
  <si>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</si>
  <si>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</si>
  <si>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</si>
  <si>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</si>
  <si>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</si>
  <si>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</si>
  <si>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</si>
  <si>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</si>
  <si>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</si>
  <si>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</si>
  <si>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</si>
  <si>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</si>
  <si>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</si>
  <si>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</si>
  <si>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</si>
  <si>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</si>
  <si>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</si>
  <si>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</si>
  <si>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</si>
  <si>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</si>
  <si>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</si>
  <si>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</si>
  <si>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</si>
  <si>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</si>
  <si>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</si>
  <si>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</si>
  <si>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</si>
  <si>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</si>
  <si>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</si>
  <si>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</si>
  <si>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</si>
  <si>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</si>
  <si>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</si>
  <si>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</si>
  <si>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</si>
  <si>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</si>
  <si>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</si>
  <si>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</si>
  <si>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</si>
  <si>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</si>
  <si>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</si>
  <si>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</si>
  <si>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</si>
  <si>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</si>
  <si>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</si>
  <si>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</si>
  <si>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</si>
  <si>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</si>
  <si>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</si>
  <si>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</si>
  <si>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</si>
  <si>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</si>
  <si>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</si>
  <si>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</si>
  <si>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</si>
  <si>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</si>
  <si>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</si>
  <si>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</si>
  <si>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</si>
  <si>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</si>
  <si>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</si>
  <si>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</si>
  <si>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</si>
  <si>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</si>
  <si>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</si>
  <si>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</si>
  <si>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</si>
  <si>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</si>
  <si>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</si>
  <si>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</si>
  <si>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</si>
  <si>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</si>
  <si>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</si>
  <si>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</si>
  <si>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</si>
  <si>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</si>
  <si>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</si>
  <si>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</si>
  <si>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</si>
  <si>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</si>
  <si>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</si>
  <si>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</si>
  <si>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</si>
  <si>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</si>
  <si>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</si>
  <si>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</si>
  <si>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</si>
  <si>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</si>
  <si>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</si>
  <si>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</si>
  <si>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</si>
  <si>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</si>
  <si>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</si>
  <si>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</si>
  <si>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</si>
  <si>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</si>
  <si>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</si>
  <si>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</si>
  <si>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</si>
  <si>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</si>
  <si>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</si>
  <si>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</si>
  <si>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</si>
  <si>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</si>
  <si>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</si>
  <si>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</si>
  <si>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</si>
  <si>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</si>
  <si>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</si>
  <si>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</si>
  <si>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</si>
  <si>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</si>
  <si>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</si>
  <si>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</si>
  <si>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</si>
  <si>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</si>
  <si>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</si>
  <si>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</si>
  <si>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</si>
  <si>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</si>
  <si>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</si>
  <si>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</si>
  <si>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</si>
  <si>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</si>
  <si>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</si>
  <si>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</si>
  <si>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</si>
  <si>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</si>
  <si>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</si>
  <si>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</si>
  <si>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</si>
  <si>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</si>
  <si>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</si>
  <si>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</si>
  <si>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</si>
  <si>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</si>
  <si>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</si>
  <si>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</si>
  <si>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</si>
  <si>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</si>
  <si>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</si>
  <si>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</si>
  <si>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</si>
  <si>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</si>
  <si>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</si>
  <si>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</si>
  <si>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</si>
  <si>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</si>
  <si>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</si>
  <si>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</si>
  <si>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</si>
  <si>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</si>
  <si>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</si>
  <si>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</si>
  <si>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</si>
  <si>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</si>
  <si>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</si>
  <si>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</si>
  <si>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</si>
  <si>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</si>
  <si>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</si>
  <si>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</si>
  <si>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</si>
  <si>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</si>
  <si>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</si>
  <si>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</si>
  <si>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</si>
  <si>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</si>
  <si>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</si>
  <si>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</si>
  <si>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</si>
  <si>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</si>
  <si>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</si>
  <si>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</si>
  <si>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</si>
  <si>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</si>
  <si>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</si>
  <si>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</si>
  <si>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</si>
  <si>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</si>
  <si>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</si>
  <si>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</si>
  <si>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</si>
  <si>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</si>
  <si>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</si>
  <si>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</si>
  <si>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</si>
  <si>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</si>
  <si>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</si>
  <si>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</si>
  <si>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</si>
  <si>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</si>
  <si>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</si>
  <si>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</si>
  <si>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</si>
  <si>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</si>
  <si>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</si>
  <si>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</si>
  <si>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</si>
  <si>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</si>
  <si>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</si>
  <si>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</si>
  <si>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</si>
  <si>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</si>
  <si>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</si>
  <si>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</si>
  <si>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</si>
  <si>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</si>
  <si>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</si>
  <si>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</si>
  <si>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</si>
  <si>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</si>
  <si>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</si>
  <si>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</si>
  <si>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</si>
  <si>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</si>
  <si>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</si>
  <si>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</si>
  <si>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</si>
  <si>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</si>
  <si>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</si>
  <si>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</si>
  <si>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</si>
  <si>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</si>
  <si>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</si>
  <si>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</si>
  <si>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</si>
  <si>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</si>
  <si>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</si>
  <si>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</si>
  <si>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</si>
  <si>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</si>
  <si>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</si>
  <si>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</si>
  <si>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</si>
  <si>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</si>
  <si>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</si>
  <si>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</si>
  <si>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</si>
  <si>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</si>
  <si>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</si>
  <si>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</si>
  <si>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</si>
  <si>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</si>
  <si>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</si>
  <si>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</si>
  <si>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</si>
  <si>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</si>
  <si>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</si>
  <si>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</si>
  <si>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</si>
  <si>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</si>
  <si>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</si>
  <si>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</si>
  <si>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</si>
  <si>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</si>
  <si>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</si>
  <si>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</si>
  <si>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</si>
  <si>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</si>
  <si>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</si>
  <si>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</si>
  <si>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</si>
  <si>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</si>
  <si>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</si>
  <si>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</si>
  <si>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</si>
  <si>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</si>
  <si>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</si>
  <si>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</si>
  <si>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</si>
  <si>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</si>
  <si>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</si>
  <si>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</si>
  <si>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</si>
  <si>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</si>
  <si>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</si>
  <si>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</si>
  <si>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</si>
  <si>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</si>
  <si>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</si>
  <si>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</si>
  <si>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</si>
  <si>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</si>
  <si>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</si>
  <si>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</si>
  <si>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</si>
  <si>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</si>
  <si>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</si>
  <si>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</si>
  <si>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</si>
  <si>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</si>
  <si>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</si>
  <si>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</si>
  <si>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</si>
  <si>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</si>
  <si>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</si>
  <si>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</si>
  <si>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</si>
  <si>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</si>
  <si>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</si>
  <si>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</si>
  <si>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</si>
  <si>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</si>
  <si>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</si>
  <si>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</si>
  <si>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</si>
  <si>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</si>
  <si>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</si>
  <si>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</si>
  <si>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</si>
  <si>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</si>
  <si>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</si>
  <si>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</si>
  <si>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</si>
  <si>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</si>
  <si>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</si>
  <si>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</si>
  <si>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</si>
  <si>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</si>
  <si>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</si>
  <si>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</si>
  <si>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</si>
  <si>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</si>
  <si>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</si>
  <si>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</si>
  <si>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</si>
  <si>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</si>
  <si>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</si>
  <si>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</si>
  <si>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</si>
  <si>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</si>
  <si>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</si>
  <si>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</si>
  <si>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</si>
  <si>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</si>
  <si>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</si>
  <si>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</si>
  <si>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</si>
  <si>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</si>
  <si>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</si>
  <si>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</si>
  <si>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</si>
  <si>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</si>
  <si>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</si>
  <si>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</si>
  <si>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</si>
  <si>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</si>
  <si>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</si>
  <si>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</si>
  <si>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</si>
  <si>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</si>
  <si>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</si>
  <si>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</si>
  <si>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</si>
  <si>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</si>
  <si>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</si>
  <si>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</si>
  <si>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</si>
  <si>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</si>
  <si>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</si>
  <si>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</si>
  <si>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</si>
  <si>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</si>
  <si>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</si>
  <si>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</si>
  <si>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</si>
  <si>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</si>
  <si>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</si>
  <si>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</si>
  <si>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</si>
  <si>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</si>
  <si>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</si>
  <si>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</si>
  <si>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</si>
  <si>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</si>
  <si>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</si>
  <si>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</si>
  <si>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</si>
  <si>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</si>
  <si>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</si>
  <si>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</si>
  <si>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</si>
  <si>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</si>
  <si>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</si>
  <si>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</si>
  <si>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</si>
  <si>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</si>
  <si>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</si>
  <si>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</si>
  <si>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</si>
  <si>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</si>
  <si>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</si>
  <si>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</si>
  <si>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</si>
  <si>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</si>
  <si>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</si>
  <si>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</si>
  <si>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</si>
  <si>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</si>
  <si>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</si>
  <si>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</si>
  <si>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</si>
  <si>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</si>
  <si>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</si>
  <si>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</si>
  <si>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</si>
  <si>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</si>
  <si>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</si>
  <si>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</si>
  <si>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</si>
  <si>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</si>
  <si>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</si>
  <si>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</si>
  <si>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</si>
  <si>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</si>
  <si>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</si>
  <si>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</si>
  <si>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</si>
  <si>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</si>
  <si>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</si>
  <si>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</si>
  <si>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</si>
  <si>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</si>
  <si>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</si>
  <si>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</si>
  <si>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</si>
  <si>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</si>
  <si>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</si>
  <si>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</si>
  <si>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</si>
  <si>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</si>
  <si>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</si>
  <si>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</si>
  <si>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</si>
  <si>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</si>
  <si>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</si>
  <si>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</si>
  <si>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</si>
  <si>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</si>
  <si>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</si>
  <si>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</si>
  <si>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</si>
  <si>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</si>
  <si>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</si>
  <si>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</si>
  <si>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</si>
  <si>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</si>
  <si>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</si>
  <si>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</si>
  <si>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</si>
  <si>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</si>
  <si>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</si>
  <si>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</si>
  <si>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</si>
  <si>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</si>
  <si>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</si>
  <si>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</si>
  <si>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</si>
  <si>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</si>
  <si>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</si>
  <si>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</si>
  <si>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</si>
  <si>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</si>
  <si>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</si>
  <si>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</si>
  <si>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</si>
  <si>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</si>
  <si>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</si>
  <si>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</si>
  <si>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</si>
  <si>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</si>
  <si>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</si>
  <si>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</si>
  <si>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</si>
  <si>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</si>
  <si>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</si>
  <si>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</si>
  <si>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</si>
  <si>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</si>
  <si>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</si>
  <si>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</si>
  <si>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</si>
  <si>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</si>
  <si>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</si>
  <si>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</si>
  <si>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</si>
  <si>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</si>
  <si>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</si>
  <si>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</si>
  <si>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</si>
  <si>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</si>
  <si>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</si>
  <si>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</si>
  <si>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</si>
  <si>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</si>
  <si>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</si>
  <si>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</si>
  <si>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</si>
  <si>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住宅</t>
  </si>
  <si>
    <t>是</t>
  </si>
  <si>
    <t>住宅</t>
    <phoneticPr fontId="7" type="noConversion"/>
  </si>
  <si>
    <t>办公</t>
    <phoneticPr fontId="7" type="noConversion"/>
  </si>
  <si>
    <t>直线</t>
    <phoneticPr fontId="3" type="noConversion"/>
  </si>
  <si>
    <t>观察</t>
    <phoneticPr fontId="3" type="noConversion"/>
  </si>
  <si>
    <t>成新度</t>
  </si>
  <si>
    <t>商务金融用地</t>
  </si>
  <si>
    <t>自定义容积率</t>
  </si>
  <si>
    <t>与级别开发程度一致</t>
  </si>
  <si>
    <t>较好</t>
  </si>
  <si>
    <t>一般</t>
  </si>
  <si>
    <t>好</t>
  </si>
  <si>
    <t>不临65条商业街</t>
  </si>
  <si>
    <t>城镇住宅用地</t>
  </si>
  <si>
    <t>500米范围内</t>
  </si>
  <si>
    <t>无</t>
  </si>
  <si>
    <t>基准地价修正</t>
  </si>
  <si>
    <t>基准地价修正(住宅)</t>
  </si>
  <si>
    <t>基准地价修正(住宅)</t>
    <phoneticPr fontId="16" type="noConversion"/>
  </si>
  <si>
    <t>未包含在土地购买价格中</t>
  </si>
  <si>
    <t>全部缴纳</t>
  </si>
  <si>
    <t>已包含在土地取得成本中</t>
  </si>
  <si>
    <t>成本法</t>
  </si>
  <si>
    <t>押一</t>
  </si>
  <si>
    <t>钢混</t>
  </si>
  <si>
    <t>非生产用房</t>
  </si>
  <si>
    <t>否</t>
  </si>
  <si>
    <t>收益法</t>
  </si>
  <si>
    <t>收益法（办）</t>
  </si>
  <si>
    <t>收益法（办）</t>
    <phoneticPr fontId="16" type="noConversion"/>
  </si>
  <si>
    <t>收益法（汇总）</t>
  </si>
  <si>
    <t>售价</t>
  </si>
  <si>
    <t>项目模式</t>
  </si>
  <si>
    <t>比较法-住宅</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</si>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</sst>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179" fontId="51" fillId="16" borderId="1"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估价对象为房地产，为所有。根据《国有土地使用证》[]，估价对象（分摊）出让国有建设用地使用权面积为0平方米，建筑面积为8275.47平方米。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估价对象为房地产,属开发建设的，该项目尚在开发建设中。根据《国有土地使用证》[]，估价对象（分摊）出让国有建设用地使用权面积为0平方米，规划建筑面积为8275.47平方米。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2024年3月11日</v>
      </c>
    </row>
    <row r="13" spans="1:2" s="1203" customFormat="1">
      <c r="A13" s="1201" t="s">
        <v>529</v>
      </c>
      <c r="B13" s="1202"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8275.4700000000012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3403</v>
      </c>
      <c r="C19" s="1547"/>
    </row>
    <row r="20" spans="1:3">
      <c r="A20" s="1546" t="s">
        <v>1048</v>
      </c>
      <c r="B20" s="1546" t="s">
        <v>3414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2" t="s">
        <v>2583</v>
      </c>
      <c r="J2" s="3522"/>
      <c r="K2" s="3522"/>
      <c r="L2" s="3522"/>
      <c r="M2" s="3522"/>
      <c r="N2" s="3522"/>
      <c r="O2" s="3522"/>
      <c r="P2" s="3522"/>
      <c r="Q2" s="3522"/>
      <c r="R2" s="3522"/>
    </row>
    <row r="3" spans="1:18">
      <c r="A3" s="3020" t="s">
        <v>2504</v>
      </c>
      <c r="B3" s="3021">
        <f>项目基本情况!D3</f>
        <v>45362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2.77</v>
      </c>
      <c r="D5" s="3025">
        <f>IF(ISERROR(ROUND(POWER(1+E5,A5-C5)*(POWER(1+E5,C5)-1)/(POWER(1+E5,A5)-1),3)),0,ROUND(POWER(1+E5,A5-C5)*(POWER(1+E5,C5)-1)/(POWER(1+E5,A5)-1),4))</f>
        <v>0.13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12.78</v>
      </c>
      <c r="D6" s="3025">
        <f>IF(ISERROR(ROUND(POWER(1+E6,A6-C6)*(POWER(1+E6,C6)-1)/(POWER(1+E6,A6)-1),3)),0,ROUND(POWER(1+E6,A6-C6)*(POWER(1+E6,C6)-1)/(POWER(1+E6,A6)-1),4))</f>
        <v>0.45879999999999999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32.79</v>
      </c>
      <c r="D7" s="3025">
        <f>IF(ISERROR(ROUND(POWER(1+E7,A7-C7)*(POWER(1+E7,C7)-1)/(POWER(1+E7,A7)-1),3)),0,ROUND(POWER(1+E7,A7-C7)*(POWER(1+E7,C7)-1)/(POWER(1+E7,A7)-1),4))</f>
        <v>0.77329999999999999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3" t="str">
        <f>IF(B10="北京市","北京市",C10)&amp;F10&amp;IF(结果表!G1="在建","出让国有建设用地使用权及在建建筑物",IF(结果表!G1="土地","出让国有建设用地使用权",))&amp;B9&amp;"预评估"</f>
        <v>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45362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26" t="s">
        <v>2176</v>
      </c>
      <c r="E8" s="2391"/>
      <c r="F8" s="2392"/>
      <c r="G8" s="2663"/>
      <c r="H8" s="2663"/>
      <c r="I8" s="2663"/>
      <c r="J8" s="2439"/>
      <c r="K8" s="2614"/>
      <c r="L8" s="2613"/>
      <c r="M8" s="2613"/>
      <c r="N8" s="2439"/>
      <c r="O8" s="2450"/>
      <c r="P8" s="2439"/>
      <c r="Q8" s="2439"/>
      <c r="R8" s="2439"/>
    </row>
    <row r="9" spans="1:30" ht="13.5" thickBot="1">
      <c r="A9" s="2393" t="s">
        <v>2177</v>
      </c>
      <c r="B9" s="2394"/>
      <c r="C9" s="2395"/>
      <c r="D9" s="3527"/>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v>62384</v>
      </c>
      <c r="D13" s="856"/>
      <c r="E13" s="856">
        <v>55079</v>
      </c>
      <c r="F13" s="856"/>
      <c r="G13" s="856"/>
      <c r="H13" s="856"/>
      <c r="I13" s="856"/>
      <c r="J13" s="3062"/>
      <c r="K13" s="2613"/>
      <c r="L13" s="2613"/>
      <c r="M13" s="2439"/>
      <c r="N13" s="2450"/>
      <c r="O13" s="2439"/>
      <c r="P13" s="2439"/>
      <c r="Q13" s="2439"/>
      <c r="AD13" s="1745"/>
    </row>
    <row r="14" spans="1:30">
      <c r="A14" s="1081"/>
      <c r="B14" s="2407" t="s">
        <v>2190</v>
      </c>
      <c r="C14" s="2408">
        <v>70</v>
      </c>
      <c r="D14" s="2408"/>
      <c r="E14" s="2408">
        <v>50</v>
      </c>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46.63</v>
      </c>
      <c r="D15" s="2410" t="str">
        <f>IF(A13="出让",IF(D13="","",ROUNDDOWN(MIN((D13-$D$3)/365,D14),2)),D14)</f>
        <v/>
      </c>
      <c r="E15" s="2410">
        <f>IF(A13="出让",IF(E13="","",ROUNDDOWN(MIN((E13-$D$3)/365,E14),2)),E14)</f>
        <v>26.62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3"/>
      <c r="C16" s="3534"/>
      <c r="D16" s="3535"/>
      <c r="E16" s="2413" t="s">
        <v>2193</v>
      </c>
      <c r="F16" s="3536"/>
      <c r="G16" s="3537"/>
      <c r="H16" s="3537"/>
      <c r="I16" s="3538"/>
      <c r="J16" s="2439"/>
      <c r="K16" s="2617"/>
      <c r="L16" s="2451"/>
      <c r="M16" s="2451"/>
      <c r="N16" s="2509"/>
      <c r="O16" s="2451"/>
      <c r="P16" s="2509"/>
      <c r="Q16" s="2439"/>
      <c r="R16" s="2439"/>
    </row>
    <row r="17" spans="1:28">
      <c r="A17" s="313" t="s">
        <v>2194</v>
      </c>
      <c r="B17" s="302" t="s">
        <v>2195</v>
      </c>
      <c r="C17" s="8">
        <f>'数据-汇总表'!E3</f>
        <v>8275.4700000000012</v>
      </c>
      <c r="D17" s="2322" t="s">
        <v>2196</v>
      </c>
      <c r="E17" s="3539" t="s">
        <v>2197</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2" t="s">
        <v>2201</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7"/>
      <c r="B30" s="302" t="s">
        <v>2217</v>
      </c>
      <c r="C30" s="3548"/>
      <c r="D30" s="3549"/>
      <c r="E30" s="2664"/>
      <c r="F30" s="2664"/>
      <c r="G30" s="2664"/>
      <c r="H30" s="2664"/>
      <c r="I30" s="2664"/>
      <c r="J30" s="2439"/>
      <c r="K30" s="2616"/>
      <c r="L30" s="2613"/>
      <c r="M30" s="2613"/>
      <c r="N30" s="2439"/>
      <c r="O30" s="2450"/>
      <c r="P30" s="2439"/>
      <c r="Q30" s="2439"/>
      <c r="R30" s="2439"/>
      <c r="S30" s="2439"/>
      <c r="T30" s="2439"/>
      <c r="U30" s="2439"/>
      <c r="V30" s="2439"/>
    </row>
    <row r="31" spans="1:28">
      <c r="A31" s="355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5" t="s">
        <v>2227</v>
      </c>
      <c r="T34" s="2428" t="str">
        <f>NUMBERSTRING(7-K34,1)&amp;"通"</f>
        <v>七通</v>
      </c>
      <c r="U34" s="2439"/>
      <c r="V34" s="2439"/>
    </row>
    <row r="35" spans="1:30">
      <c r="A35" s="2429"/>
      <c r="B35" s="3552" t="s">
        <v>2228</v>
      </c>
      <c r="C35" s="3552"/>
      <c r="D35" s="3552"/>
      <c r="E35" s="355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184</v>
      </c>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146</v>
      </c>
      <c r="D38" s="2432" t="s">
        <v>146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8275.4700000000012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8275.4700000000012</v>
      </c>
      <c r="H5" s="13">
        <f t="shared" ref="H5:AT5" si="0">SUM(H13:H656)</f>
        <v>8275.4700000000012</v>
      </c>
      <c r="I5" s="13">
        <f t="shared" si="0"/>
        <v>3083.37</v>
      </c>
      <c r="J5" s="13">
        <f t="shared" si="0"/>
        <v>0</v>
      </c>
      <c r="K5" s="13">
        <f t="shared" si="0"/>
        <v>5192.1000000000004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8275.4700000000012</v>
      </c>
      <c r="BA5" s="15">
        <f t="shared" si="1"/>
        <v>8275.4700000000012</v>
      </c>
      <c r="BB5" s="15">
        <f t="shared" si="1"/>
        <v>3083.37</v>
      </c>
      <c r="BC5" s="15">
        <f t="shared" si="1"/>
        <v>5192.1000000000004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8275.4700000000012</v>
      </c>
      <c r="H13" s="17">
        <f>SUMIF(I$12:AB$12,"总值",I13:AB13)</f>
        <v>8275.4700000000012</v>
      </c>
      <c r="I13" s="1626">
        <v>3083.37</v>
      </c>
      <c r="J13" s="1626"/>
      <c r="K13" s="1626">
        <v>5192.1000000000004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8275.4700000000012</v>
      </c>
      <c r="BA13" s="13">
        <f>SUM(BB13:BK13)</f>
        <v>8275.4700000000012</v>
      </c>
      <c r="BB13" s="13">
        <f>IF($D13="是",I13-J13,0)</f>
        <v>3083.37</v>
      </c>
      <c r="BC13" s="13">
        <f>IF($D13="是",K13-L13,0)</f>
        <v>5192.1000000000004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9"/>
      <c r="G2" s="2650"/>
      <c r="H2" s="2651"/>
      <c r="I2" s="2325" t="s">
        <v>1132</v>
      </c>
      <c r="J2" s="2659"/>
      <c r="K2" s="2659"/>
      <c r="L2" s="2659"/>
      <c r="M2" s="2659"/>
      <c r="N2" s="2661"/>
      <c r="O2" s="2659"/>
      <c r="P2" s="2659"/>
    </row>
    <row r="3" spans="1:16" ht="15.75" thickBot="1">
      <c r="A3" s="3563" t="s">
        <v>1105</v>
      </c>
      <c r="B3" s="3563"/>
      <c r="C3" s="3563"/>
      <c r="D3" s="43">
        <f>'数据-基础表'!AY6</f>
        <v>0</v>
      </c>
      <c r="E3" s="43">
        <f>'数据-基础表'!AZ5</f>
        <v>8275.4700000000012</v>
      </c>
      <c r="F3" s="2659"/>
      <c r="G3" s="1145"/>
      <c r="H3" s="1026" t="s">
        <v>1106</v>
      </c>
      <c r="I3" s="855" t="e">
        <f>ROUND('数据-基础表'!B3/'数据-基础表'!A3,2)</f>
        <v>#DIV/0!</v>
      </c>
      <c r="J3" s="2659"/>
      <c r="K3" s="2659"/>
      <c r="L3" s="2659"/>
      <c r="M3" s="2659"/>
      <c r="N3" s="2661"/>
      <c r="O3" s="2659"/>
      <c r="P3" s="2659"/>
    </row>
    <row r="4" spans="1:16" ht="15">
      <c r="A4" s="3564"/>
      <c r="B4" s="3565"/>
      <c r="C4" s="356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7" t="s">
        <v>1110</v>
      </c>
      <c r="C5" s="3567"/>
      <c r="D5" s="45">
        <f>ROUND($D$3*E5/$E$3,2)</f>
        <v>0</v>
      </c>
      <c r="E5" s="46">
        <f>SUMIF('数据-基础表'!$11:$11,"住宅",'数据-基础表'!$5:$5)</f>
        <v>3083.37</v>
      </c>
      <c r="F5" s="2659"/>
      <c r="G5" s="1145"/>
      <c r="H5" s="1026" t="s">
        <v>1106</v>
      </c>
      <c r="I5" s="855" t="e">
        <f>ROUND(E31/D31,2)</f>
        <v>#DIV/0!</v>
      </c>
      <c r="J5" s="2659"/>
      <c r="K5" s="2659"/>
      <c r="L5" s="2659"/>
      <c r="M5" s="2659"/>
      <c r="N5" s="2659"/>
      <c r="O5" s="2659"/>
      <c r="P5" s="2659"/>
    </row>
    <row r="6" spans="1:16" ht="15" thickBot="1">
      <c r="A6" s="1644"/>
      <c r="B6" s="3567" t="s">
        <v>1111</v>
      </c>
      <c r="C6" s="3567"/>
      <c r="D6" s="45">
        <f>ROUND($D$3*E6/$E$3,2)</f>
        <v>0</v>
      </c>
      <c r="E6" s="46">
        <f>E3-E5</f>
        <v>5192.1000000000013</v>
      </c>
      <c r="F6" s="2659"/>
      <c r="G6" s="2653" t="s">
        <v>1112</v>
      </c>
      <c r="H6" s="1146" t="s">
        <v>1113</v>
      </c>
      <c r="I6" s="2654" t="e">
        <f>ROUND(F31/D31,2)</f>
        <v>#DIV/0!</v>
      </c>
      <c r="J6" s="2659"/>
      <c r="K6" s="2659"/>
      <c r="L6" s="2659"/>
      <c r="M6" s="2659"/>
      <c r="N6" s="2659"/>
      <c r="O6" s="2659"/>
      <c r="P6" s="2659"/>
    </row>
    <row r="7" spans="1:16" ht="15.75" thickBot="1">
      <c r="A7" s="3559"/>
      <c r="B7" s="3560"/>
      <c r="C7" s="3561"/>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8275.4700000000012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8275.4700000000012</v>
      </c>
      <c r="F16" s="2659"/>
      <c r="G16" s="2660"/>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3083.37</v>
      </c>
      <c r="F19" s="2795">
        <f>'数据-基础表'!I13</f>
        <v>3083.37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3083.37</v>
      </c>
    </row>
    <row r="20" spans="1:19">
      <c r="A20" s="1670"/>
      <c r="B20" s="47" t="s">
        <v>1153</v>
      </c>
      <c r="C20" s="3417" t="s">
        <v>3387</v>
      </c>
      <c r="D20" s="45">
        <f t="shared" ref="D20:D26" si="6">ROUND($D$3*E20/$E$3,2)</f>
        <v>0</v>
      </c>
      <c r="E20" s="53">
        <f t="shared" si="1"/>
        <v>5192.1000000000004</v>
      </c>
      <c r="F20" s="2795">
        <f>'数据-基础表'!K13</f>
        <v>5192.1000000000004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5192.1000000000004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8275.4700000000012</v>
      </c>
      <c r="F27" s="1140">
        <f>IF(SUM(F19:F26)=E8,SUM(F19:F26),"地上面积有误")</f>
        <v>8275.4700000000012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8275.4700000000012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8275.4700000000012</v>
      </c>
      <c r="F31" s="677">
        <f>F27+F30</f>
        <v>8275.4700000000012</v>
      </c>
      <c r="G31" s="678">
        <f>G27+G30</f>
        <v>0</v>
      </c>
      <c r="H31" s="2659"/>
      <c r="I31" s="2659"/>
      <c r="J31" s="2659"/>
      <c r="K31" s="2659"/>
      <c r="L31" s="2659"/>
      <c r="M31" s="2659"/>
      <c r="N31" s="2659"/>
      <c r="O31" s="2659"/>
      <c r="P31" s="2659"/>
    </row>
    <row r="32" spans="1:19">
      <c r="A32" s="1643"/>
      <c r="B32" s="1643" t="s">
        <v>1159</v>
      </c>
      <c r="C32" s="1643"/>
      <c r="D32" s="1643"/>
      <c r="E32" s="1053">
        <f>SUMIF(C19:C26,"*住宅*",E19:E26)</f>
        <v>3083.37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62384</v>
      </c>
      <c r="F6" s="64">
        <f>SUMIF(项目基本情况!C$12:I$12,C6,项目基本情况!C$15:I$15)</f>
        <v>46.63</v>
      </c>
      <c r="G6" s="65">
        <f>IF(ISERROR(ROUND(POWER(1+H6,D6-F6)*(POWER(1+H6,F6)-1)/(POWER(1+H6,D6)-1),3)),0,ROUND(POWER(1+H6,D6-F6)*(POWER(1+H6,F6)-1)/(POWER(1+H6,D6)-1),3))</f>
        <v>0.91400000000000003</v>
      </c>
      <c r="H6" s="732">
        <v>4.4999999999999998E-2</v>
      </c>
      <c r="I6" s="732">
        <v>0.05</v>
      </c>
      <c r="J6" s="66">
        <v>7.0000000000000007E-2</v>
      </c>
      <c r="K6" s="1030">
        <f>SUMIF('数据-汇总表'!C$19:C$33,A6,'数据-汇总表'!E$19:E$33)</f>
        <v>3083.37</v>
      </c>
      <c r="L6" s="733">
        <v>4000</v>
      </c>
      <c r="M6" s="67">
        <f t="shared" ref="M6:M14" si="0">ROUND(K6*L6/10000,0)</f>
        <v>1233</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v>
      </c>
      <c r="Z6" s="72"/>
      <c r="AA6" s="66"/>
      <c r="AB6" s="66"/>
      <c r="AC6" s="1040"/>
      <c r="AD6" s="73"/>
      <c r="AE6" s="1041">
        <f ca="1">IF(AN6="",0,SUMIF(INDIRECT("'"&amp;AN6&amp;"'"&amp;"!E:E"),$AE$5,INDIRECT("'"&amp;AN6&amp;"'"&amp;"!F:F")))</f>
        <v>46.63</v>
      </c>
      <c r="AF6" s="1348"/>
      <c r="AG6" s="138">
        <f>IF(AF6="",0,AE6-AF6)</f>
        <v>0</v>
      </c>
      <c r="AH6" s="74"/>
      <c r="AI6" s="76">
        <v>365</v>
      </c>
      <c r="AJ6" s="77"/>
      <c r="AK6" s="78">
        <v>0.01</v>
      </c>
      <c r="AL6" s="79">
        <v>1E-3</v>
      </c>
      <c r="AM6" s="80">
        <v>0.01</v>
      </c>
      <c r="AN6" s="1715" t="s">
        <v>3412</v>
      </c>
      <c r="AO6" s="52">
        <f ca="1">SUMIF(INDIRECT("'"&amp;AN6&amp;"'"&amp;"!A:A"),"总价",INDIRECT("'"&amp;AN6&amp;"'"&amp;"!B:B"))</f>
        <v>10745</v>
      </c>
      <c r="AP6" s="1716">
        <f>IF(C6="住宅",K6*L6,0)</f>
        <v>12333480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55079</v>
      </c>
      <c r="F7" s="64">
        <f>SUMIF(项目基本情况!C$12:I$12,C7,项目基本情况!C$15:I$15)</f>
        <v>26.62</v>
      </c>
      <c r="G7" s="65">
        <f t="shared" ref="G7:G11" si="2">IF(ISERROR(ROUND(POWER(1+H7,D7-F7)*(POWER(1+H7,F7)-1)/(POWER(1+H7,D7)-1),3)),0,ROUND(POWER(1+H7,D7-F7)*(POWER(1+H7,F7)-1)/(POWER(1+H7,D7)-1),3))</f>
        <v>0.79700000000000004</v>
      </c>
      <c r="H7" s="732">
        <v>0.05</v>
      </c>
      <c r="I7" s="732">
        <v>5.5E-2</v>
      </c>
      <c r="J7" s="66">
        <v>7.0000000000000007E-2</v>
      </c>
      <c r="K7" s="1030">
        <f>SUMIF('数据-汇总表'!C$19:C$33,A7,'数据-汇总表'!E$19:E$33)</f>
        <v>5192.1000000000004</v>
      </c>
      <c r="L7" s="733">
        <f>L6</f>
        <v>4000</v>
      </c>
      <c r="M7" s="67">
        <f t="shared" si="0"/>
        <v>2077</v>
      </c>
      <c r="N7" s="731">
        <f>N6</f>
        <v>0.7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6</v>
      </c>
      <c r="V7" s="70">
        <v>2.5000000000000001E-2</v>
      </c>
      <c r="W7" s="70">
        <v>0.1</v>
      </c>
      <c r="X7" s="1040"/>
      <c r="Y7" s="71">
        <f>N7</f>
        <v>0.7</v>
      </c>
      <c r="Z7" s="72">
        <f>ROUND(7*(1+V7)^AF7,1)</f>
        <v>8.1</v>
      </c>
      <c r="AA7" s="66">
        <v>2.5000000000000001E-2</v>
      </c>
      <c r="AB7" s="66">
        <v>0.1</v>
      </c>
      <c r="AC7" s="1040"/>
      <c r="AD7" s="73">
        <v>0.65</v>
      </c>
      <c r="AE7" s="1041">
        <f t="shared" ref="AE7:AE13" ca="1" si="6">IF(AN7="",0,SUMIF(INDIRECT("'"&amp;AN7&amp;"'"&amp;"!E:E"),$AE$5,INDIRECT("'"&amp;AN7&amp;"'"&amp;"!F:F")))</f>
        <v>26.62</v>
      </c>
      <c r="AF7" s="1348">
        <v>6</v>
      </c>
      <c r="AG7" s="138">
        <f t="shared" ref="AG7:AG13" ca="1" si="7">IF(AF7="",0,AE7-AF7)</f>
        <v>20.62</v>
      </c>
      <c r="AH7" s="74"/>
      <c r="AI7" s="76">
        <v>365</v>
      </c>
      <c r="AJ7" s="77"/>
      <c r="AK7" s="78">
        <v>0.01</v>
      </c>
      <c r="AL7" s="79">
        <v>1E-3</v>
      </c>
      <c r="AM7" s="80">
        <v>0.01</v>
      </c>
      <c r="AN7" s="1715" t="s">
        <v>3413</v>
      </c>
      <c r="AO7" s="52">
        <f t="shared" ref="AO7:AO13" ca="1" si="8">SUMIF(INDIRECT("'"&amp;AN7&amp;"'"&amp;"!A:A"),"总价",INDIRECT("'"&amp;AN7&amp;"'"&amp;"!B:B"))</f>
        <v>16463</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0.84099999999999997</v>
      </c>
      <c r="H16" s="90">
        <f>ROUND(SUMPRODUCT(H6:H13,K6:K13)/SUMPRODUCT((H6:H13&gt;0)*(K6:K13)),3)</f>
        <v>4.8000000000000001E-2</v>
      </c>
      <c r="I16" s="91"/>
      <c r="J16" s="91"/>
      <c r="K16" s="92">
        <f>SUM(K6:K15)</f>
        <v>8275.4700000000012</v>
      </c>
      <c r="L16" s="93">
        <f>ROUND(M16*10000/SUM(K6:K14),0)</f>
        <v>4000</v>
      </c>
      <c r="M16" s="93">
        <f>SUM(M6:M14)</f>
        <v>3310</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3820" t="s">
        <v>3388</v>
      </c>
      <c r="N19" s="2671">
        <f>ROUND(1-(2024-2000)/60,2)</f>
        <v>0.6</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3820" t="s">
        <v>3389</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8" t="s">
        <v>2285</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45362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36002</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f ca="1">'结果表(住宅)'!G19</f>
        <v>15398</v>
      </c>
      <c r="E14" s="2518" t="e">
        <f ca="1">ROUND(D14*10000/B14,0)</f>
        <v>#DIV/0!</v>
      </c>
      <c r="F14" s="2518" t="e">
        <f ca="1">ROUND(D14*10000/C14,0)</f>
        <v>#DIV/0!</v>
      </c>
      <c r="G14" s="2518"/>
      <c r="H14" s="2518"/>
      <c r="I14" s="2518"/>
      <c r="J14" s="2687"/>
      <c r="K14" s="2688"/>
    </row>
    <row r="15" spans="1:11" ht="16.5">
      <c r="A15" s="2517" t="s">
        <v>649</v>
      </c>
      <c r="B15" s="2519"/>
      <c r="C15" s="2519"/>
      <c r="D15" s="2519">
        <f ca="1">'结果表(办公)'!G19</f>
        <v>20604</v>
      </c>
      <c r="E15" s="2518" t="e">
        <f t="shared" ref="E15:E23" ca="1" si="0">ROUND(D15*10000/B15,0)</f>
        <v>#DIV/0!</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3"/>
    <col min="3" max="3" width="12.625" style="1753" customWidth="1"/>
    <col min="4" max="4" width="14.37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3407</v>
      </c>
      <c r="D4" s="1756" t="s">
        <v>3415</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6</v>
      </c>
      <c r="D14" s="3631">
        <v>4</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8275.4700000000012</v>
      </c>
      <c r="M18" s="302">
        <f>IF(C1="",'数据-汇总表'!E3,SUMIF(项目类型,C1,'数据-汇总表'!E17:E26))</f>
        <v>8275.4700000000012</v>
      </c>
    </row>
    <row r="19" spans="1:36" ht="15">
      <c r="A19" s="1761" t="s">
        <v>1290</v>
      </c>
      <c r="B19" s="1762" t="s">
        <v>1291</v>
      </c>
      <c r="C19" s="134">
        <f ca="1">SUMIF(INDIRECT("'"&amp;C4&amp;"'"&amp;"!A:A"),结果表!B19,INDIRECT("'"&amp;C4&amp;"'"&amp;"!B:B"))</f>
        <v>34691</v>
      </c>
      <c r="D19" s="135">
        <f ca="1">SUMIF(INDIRECT("'"&amp;D4&amp;"'"&amp;"!A:A"),结果表!B19,INDIRECT("'"&amp;D4&amp;"'"&amp;"!B:B"))</f>
        <v>27208</v>
      </c>
      <c r="E19" s="1761" t="s">
        <v>1292</v>
      </c>
      <c r="F19" s="1762" t="s">
        <v>1291</v>
      </c>
      <c r="G19" s="136">
        <f ca="1">ROUND(C19*$C$18+D19*$D$18,0)</f>
        <v>31698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41920</v>
      </c>
      <c r="D20" s="138">
        <f ca="1">SUMIF(INDIRECT("'"&amp;D4&amp;"'"&amp;"!A:A"),结果表!B20,INDIRECT("'"&amp;D4&amp;"'"&amp;"!B:B"))</f>
        <v>32878</v>
      </c>
      <c r="E20" s="1764"/>
      <c r="F20" s="1026" t="s">
        <v>1295</v>
      </c>
      <c r="G20" s="139">
        <f ca="1">ROUND(C20*$C$18+D20*$D$18,0)</f>
        <v>38303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0.27502940311673041</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38303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3">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2523">
        <v>2</v>
      </c>
      <c r="K47" s="3573" t="s">
        <v>1337</v>
      </c>
      <c r="L47" s="3573"/>
      <c r="M47" s="3575">
        <f>'数据-取费表'!B2</f>
        <v>45362</v>
      </c>
      <c r="N47" s="3575"/>
      <c r="O47" s="3575"/>
    </row>
    <row r="48" spans="1:15" ht="25.5">
      <c r="A48" s="3635" t="s">
        <v>1338</v>
      </c>
      <c r="B48" s="3636"/>
      <c r="C48" s="363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3" t="s">
        <v>1340</v>
      </c>
      <c r="L48" s="3573"/>
      <c r="M48" s="3576" t="e">
        <f ca="1">H101</f>
        <v>#REF!</v>
      </c>
      <c r="N48" s="3576"/>
      <c r="O48" s="3576"/>
    </row>
    <row r="49" spans="1:35" ht="25.5" customHeight="1">
      <c r="A49" s="2333" t="s">
        <v>1341</v>
      </c>
      <c r="B49" s="3621" t="s">
        <v>1342</v>
      </c>
      <c r="C49" s="3621"/>
      <c r="D49" s="1590">
        <v>0</v>
      </c>
      <c r="E49" s="324" t="s">
        <v>1343</v>
      </c>
      <c r="F49" s="2424" t="s">
        <v>28</v>
      </c>
      <c r="G49" s="3604"/>
      <c r="H49" s="2310" t="s">
        <v>2133</v>
      </c>
      <c r="I49" s="2311"/>
      <c r="J49" s="2523">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2424"/>
      <c r="G50" s="3605"/>
      <c r="H50" s="2312" t="s">
        <v>2134</v>
      </c>
      <c r="I50" s="2311"/>
      <c r="J50" s="3572" t="s">
        <v>1345</v>
      </c>
      <c r="K50" s="3572"/>
      <c r="L50" s="3572"/>
      <c r="M50" s="3572"/>
      <c r="N50" s="3572"/>
      <c r="O50" s="3572"/>
    </row>
    <row r="51" spans="1:35" ht="20.45" customHeight="1">
      <c r="A51" s="2553"/>
      <c r="B51" s="3621" t="s">
        <v>1346</v>
      </c>
      <c r="C51" s="3621"/>
      <c r="D51" s="1087"/>
      <c r="E51" s="327"/>
      <c r="F51" s="2424"/>
      <c r="G51" s="3606"/>
      <c r="H51" s="2312" t="s">
        <v>2135</v>
      </c>
      <c r="I51" s="2311"/>
      <c r="J51" s="2524" t="s">
        <v>1347</v>
      </c>
      <c r="K51" s="3573" t="s">
        <v>1348</v>
      </c>
      <c r="L51" s="3573"/>
      <c r="M51" s="2524" t="s">
        <v>1349</v>
      </c>
      <c r="N51" s="2524" t="s">
        <v>1350</v>
      </c>
      <c r="O51" s="2524" t="s">
        <v>1351</v>
      </c>
    </row>
    <row r="52" spans="1:35" ht="24" customHeight="1">
      <c r="A52" s="2335" t="s">
        <v>1352</v>
      </c>
      <c r="B52" s="3621" t="s">
        <v>1353</v>
      </c>
      <c r="C52" s="3621"/>
      <c r="D52" s="1087" t="e">
        <f ca="1">ROUND(D45*'数据-取费表'!B41/(1+'数据-取费表'!C42),0)</f>
        <v>#REF!</v>
      </c>
      <c r="E52" s="2334" t="s">
        <v>1354</v>
      </c>
      <c r="F52" s="2554">
        <f>'数据-取费表'!B41</f>
        <v>5.6000000000000001E-2</v>
      </c>
      <c r="G52" s="2555"/>
      <c r="H52" s="2544"/>
      <c r="I52" s="1807"/>
      <c r="J52" s="2523">
        <v>1</v>
      </c>
      <c r="K52" s="3598" t="s">
        <v>1355</v>
      </c>
      <c r="L52" s="3598"/>
      <c r="M52" s="2525" t="b">
        <f>D48</f>
        <v>0</v>
      </c>
      <c r="N52" s="2523" t="str">
        <f>E48</f>
        <v>销售额×税（费）率</v>
      </c>
      <c r="O52" s="2526">
        <f>F48</f>
        <v>5.6000000000000001E-2</v>
      </c>
    </row>
    <row r="53" spans="1:35" ht="12" customHeight="1">
      <c r="A53" s="2335" t="s">
        <v>1356</v>
      </c>
      <c r="B53" s="3622" t="s">
        <v>2290</v>
      </c>
      <c r="C53" s="3623"/>
      <c r="D53" s="1087" t="e">
        <f ca="1">ROUND(D45*'数据-取费表'!B41/(1+'数据-取费表'!C42),0)</f>
        <v>#REF!</v>
      </c>
      <c r="E53" s="2334" t="s">
        <v>1354</v>
      </c>
      <c r="F53" s="2554">
        <f>'数据-取费表'!B41</f>
        <v>5.6000000000000001E-2</v>
      </c>
      <c r="G53" s="2555"/>
      <c r="H53" s="2544"/>
      <c r="I53" s="1807"/>
      <c r="J53" s="2523">
        <v>2</v>
      </c>
      <c r="K53" s="3598" t="s">
        <v>1357</v>
      </c>
      <c r="L53" s="3598"/>
      <c r="M53" s="2525" t="e">
        <f t="shared" ref="M53:O54" ca="1" si="0">D55</f>
        <v>#REF!</v>
      </c>
      <c r="N53" s="2523" t="str">
        <f t="shared" si="0"/>
        <v>销售额×税（费）率</v>
      </c>
      <c r="O53" s="2526" t="str">
        <f t="shared" si="0"/>
        <v>免征</v>
      </c>
    </row>
    <row r="54" spans="1:35" ht="12" customHeight="1">
      <c r="A54" s="2335" t="s">
        <v>1358</v>
      </c>
      <c r="B54" s="3622" t="s">
        <v>2291</v>
      </c>
      <c r="C54" s="3623"/>
      <c r="D54" s="1087" t="e">
        <f ca="1">C68</f>
        <v>#REF!</v>
      </c>
      <c r="E54" s="327" t="s">
        <v>1359</v>
      </c>
      <c r="F54" s="2554">
        <f>'数据-取费表'!B41</f>
        <v>5.6000000000000001E-2</v>
      </c>
      <c r="G54" s="2555"/>
      <c r="H54" s="2556"/>
      <c r="I54" s="1807"/>
      <c r="J54" s="2523">
        <v>3</v>
      </c>
      <c r="K54" s="3598" t="s">
        <v>1360</v>
      </c>
      <c r="L54" s="3598"/>
      <c r="M54" s="2525" t="e">
        <f t="shared" ca="1" si="0"/>
        <v>#REF!</v>
      </c>
      <c r="N54" s="2523" t="str">
        <f t="shared" si="0"/>
        <v>增值额×税（费）率</v>
      </c>
      <c r="O54" s="2527" t="str">
        <f t="shared" si="0"/>
        <v>免征</v>
      </c>
    </row>
    <row r="55" spans="1:35" ht="24" customHeight="1">
      <c r="A55" s="3658" t="s">
        <v>1361</v>
      </c>
      <c r="B55" s="3636"/>
      <c r="C55" s="3636"/>
      <c r="D55" s="2324" t="e">
        <f ca="1">IF(H55="个人住宅",0,ROUND(D45*I55,0))</f>
        <v>#REF!</v>
      </c>
      <c r="E55" s="2334" t="s">
        <v>1362</v>
      </c>
      <c r="F55" s="2554" t="str">
        <f>IF(H55="正常",I55,"免征")</f>
        <v>免征</v>
      </c>
      <c r="G55" s="2555"/>
      <c r="H55" s="2550"/>
      <c r="I55" s="165">
        <f>'数据-取费表'!B49</f>
        <v>5.0000000000000001E-4</v>
      </c>
      <c r="J55" s="2523">
        <f>IF(H59="非个人房产","",4)</f>
        <v>4</v>
      </c>
      <c r="K55" s="3598" t="str">
        <f>IF(H59="非个人房产","——","个人所得税")</f>
        <v>个人所得税</v>
      </c>
      <c r="L55" s="3598"/>
      <c r="M55" s="2528" t="e">
        <f ca="1">D59</f>
        <v>#REF!</v>
      </c>
      <c r="N55" s="2040" t="str">
        <f>E59</f>
        <v>差额计税</v>
      </c>
      <c r="O55" s="2529">
        <f>F59</f>
        <v>0.01</v>
      </c>
    </row>
    <row r="56" spans="1:35" ht="24.75">
      <c r="A56" s="3658" t="s">
        <v>1363</v>
      </c>
      <c r="B56" s="3636"/>
      <c r="C56" s="3636"/>
      <c r="D56" s="2324" t="e">
        <f ca="1">IF(H56="个人住宅",D57,D58)</f>
        <v>#REF!</v>
      </c>
      <c r="E56" s="2334" t="s">
        <v>1364</v>
      </c>
      <c r="F56" s="2554" t="str">
        <f>IF(H56="正常",F58,"免征")</f>
        <v>免征</v>
      </c>
      <c r="G56" s="2557" t="s">
        <v>1365</v>
      </c>
      <c r="H56" s="2558"/>
      <c r="I56" s="1808"/>
      <c r="J56" s="2523"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2335" t="s">
        <v>1341</v>
      </c>
      <c r="B57" s="3622" t="s">
        <v>1366</v>
      </c>
      <c r="C57" s="3623"/>
      <c r="D57" s="1590">
        <v>0</v>
      </c>
      <c r="E57" s="324" t="s">
        <v>1343</v>
      </c>
      <c r="F57" s="302"/>
      <c r="G57" s="2555"/>
      <c r="H57" s="2559"/>
      <c r="I57" s="1808"/>
      <c r="J57" s="3598">
        <f>IF(AND(J55="",J56=""),4,IF(项目基本情况!K6="上海银行",结果表!J56+1,结果表!J55+1))</f>
        <v>5</v>
      </c>
      <c r="K57" s="3598" t="s">
        <v>1367</v>
      </c>
      <c r="L57" s="2530" t="s">
        <v>1368</v>
      </c>
      <c r="M57" s="2531"/>
      <c r="N57" s="2532">
        <f ca="1">SUMIF(M52:M56,"&lt;9e307")</f>
        <v>0</v>
      </c>
      <c r="O57" s="2533"/>
      <c r="P57" s="2690" t="e">
        <f ca="1">N57/M49</f>
        <v>#VALUE!</v>
      </c>
    </row>
    <row r="58" spans="1:35" ht="24.75">
      <c r="A58" s="2335" t="s">
        <v>1352</v>
      </c>
      <c r="B58" s="3622" t="s">
        <v>1369</v>
      </c>
      <c r="C58" s="3621"/>
      <c r="D58" s="2324" t="e">
        <f ca="1">IF(H58="转让取得",C81,C97)</f>
        <v>#REF!</v>
      </c>
      <c r="E58" s="2334"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0">
        <f>J57+1</f>
        <v>6</v>
      </c>
      <c r="K59" s="3598" t="s">
        <v>1372</v>
      </c>
      <c r="L59" s="2523"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2523">
        <f>J59+1</f>
        <v>7</v>
      </c>
      <c r="K61" s="3598" t="s">
        <v>1374</v>
      </c>
      <c r="L61" s="3598"/>
      <c r="M61" s="2540"/>
      <c r="N61" s="2541" t="e">
        <f ca="1">ROUND(N59*10000/'数据-汇总表'!E3,0)</f>
        <v>#VALUE!</v>
      </c>
      <c r="O61" s="2542"/>
    </row>
    <row r="62" spans="1:35" ht="12.75">
      <c r="A62" s="3617" t="s">
        <v>1375</v>
      </c>
      <c r="B62" s="361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3" t="s">
        <v>2128</v>
      </c>
      <c r="H90" s="358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成本法</v>
      </c>
      <c r="D101" s="2586" t="str">
        <f>D4</f>
        <v>收益法（汇总）</v>
      </c>
      <c r="E101" s="3577" t="s">
        <v>1431</v>
      </c>
      <c r="F101" s="3578"/>
      <c r="G101" s="1827" t="s">
        <v>1432</v>
      </c>
      <c r="H101" s="2595" t="e">
        <f ca="1">H118</f>
        <v>#REF!</v>
      </c>
      <c r="I101" s="129"/>
    </row>
    <row r="102" spans="1:35" ht="18.75" customHeight="1">
      <c r="A102" s="3609" t="s">
        <v>1433</v>
      </c>
      <c r="B102" s="2584" t="s">
        <v>1432</v>
      </c>
      <c r="C102" s="2585">
        <f ca="1">IF(D32="楼面单价",ROUND(C19,0),C19)</f>
        <v>34691</v>
      </c>
      <c r="D102" s="2586">
        <f ca="1">IF(D32="楼面单价",ROUND(D19,0),D19)</f>
        <v>27208</v>
      </c>
      <c r="E102" s="3577"/>
      <c r="F102" s="3578"/>
      <c r="G102" s="1827" t="s">
        <v>1434</v>
      </c>
      <c r="H102" s="2555" t="e">
        <f ca="1">I118</f>
        <v>#REF!</v>
      </c>
      <c r="I102" s="129"/>
    </row>
    <row r="103" spans="1:35" ht="42.75" customHeight="1">
      <c r="A103" s="3609"/>
      <c r="B103" s="2584" t="s">
        <v>1434</v>
      </c>
      <c r="C103" s="2587">
        <f ca="1">C20</f>
        <v>41920</v>
      </c>
      <c r="D103" s="2588">
        <f ca="1">D20</f>
        <v>32878</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9" t="s">
        <v>1449</v>
      </c>
      <c r="E117" s="2329" t="s">
        <v>1450</v>
      </c>
      <c r="F117" s="2329" t="s">
        <v>1449</v>
      </c>
      <c r="G117" s="2329" t="s">
        <v>1451</v>
      </c>
      <c r="H117" s="2329" t="s">
        <v>1449</v>
      </c>
      <c r="I117" s="2329" t="s">
        <v>1451</v>
      </c>
    </row>
    <row r="118" spans="1:27" ht="24.75" customHeight="1">
      <c r="A118" s="2600" t="str">
        <f>项目基本情况!S2</f>
        <v>房地产</v>
      </c>
      <c r="B118" s="2329">
        <f>M18</f>
        <v>8275.4700000000012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5" sqref="G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34691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41920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23277</v>
      </c>
      <c r="D5" s="211" t="s">
        <v>1469</v>
      </c>
      <c r="E5" s="212" t="s">
        <v>1470</v>
      </c>
      <c r="F5" s="212" t="s">
        <v>1471</v>
      </c>
      <c r="G5" s="213"/>
    </row>
    <row r="6" spans="1:9" s="214" customFormat="1" ht="13.5" customHeight="1">
      <c r="A6" s="778" t="s">
        <v>1472</v>
      </c>
      <c r="B6" s="215" t="s">
        <v>1473</v>
      </c>
      <c r="C6" s="216">
        <f ca="1">'基准地价（汇总）'!B2</f>
        <v>22487</v>
      </c>
      <c r="D6" s="217"/>
      <c r="E6" s="218"/>
      <c r="F6" s="218"/>
      <c r="G6" s="219"/>
    </row>
    <row r="7" spans="1:9" s="214" customFormat="1" ht="13.5" customHeight="1">
      <c r="A7" s="778" t="s">
        <v>1474</v>
      </c>
      <c r="B7" s="215" t="s">
        <v>1475</v>
      </c>
      <c r="C7" s="220">
        <f ca="1">ROUND(C6*F7,0)</f>
        <v>686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104</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3083.37</v>
      </c>
      <c r="E9" s="225">
        <f>'数据-取费表'!B27</f>
        <v>0</v>
      </c>
      <c r="F9" s="221"/>
      <c r="G9" s="1857" t="s">
        <v>3405</v>
      </c>
      <c r="H9" s="1137"/>
      <c r="I9" s="1858" t="s">
        <v>1479</v>
      </c>
    </row>
    <row r="10" spans="1:9" s="214" customFormat="1" ht="13.5" customHeight="1">
      <c r="A10" s="779" t="s">
        <v>356</v>
      </c>
      <c r="B10" s="224" t="s">
        <v>1480</v>
      </c>
      <c r="C10" s="225">
        <f ca="1">ROUND(D10*E10/10000,0)</f>
        <v>104</v>
      </c>
      <c r="D10" s="845">
        <f ca="1">IF(B1="",'数据-汇总表'!E6,IF(INDIRECT("'数据-取费表'!c"&amp;$G$1)="住宅",INDIRECT("'数据-取费表'!s"&amp;$G$1),INDIRECT("'数据-取费表'!k"&amp;$G$1)+INDIRECT("'数据-取费表'!s"&amp;$G$1)))</f>
        <v>5192.1000000000013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8275.4700000000012</v>
      </c>
      <c r="E19" s="211">
        <f>'数据-取费表'!B31</f>
        <v>200</v>
      </c>
      <c r="F19" s="231"/>
      <c r="G19" s="1856" t="s">
        <v>3406</v>
      </c>
    </row>
    <row r="20" spans="1:7" s="214" customFormat="1" ht="13.5" customHeight="1">
      <c r="A20" s="255" t="s">
        <v>1493</v>
      </c>
      <c r="B20" s="210" t="s">
        <v>1494</v>
      </c>
      <c r="C20" s="232">
        <f ca="1">ROUND((C5+C19)*F20,0)</f>
        <v>466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1650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3561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3561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3310</v>
      </c>
      <c r="D34" s="217"/>
      <c r="E34" s="220"/>
      <c r="F34" s="257">
        <f ca="1">IF('数据-取费表'!B24=0,1,IF(B1="",'数据-取费表'!N16,INDIRECT("'数据-取费表'!n"&amp;$G$1)))</f>
        <v>1</v>
      </c>
      <c r="G34" s="219" t="s">
        <v>1526</v>
      </c>
    </row>
    <row r="35" spans="1:7" ht="13.5" customHeight="1">
      <c r="A35" s="780" t="s">
        <v>351</v>
      </c>
      <c r="B35" s="215" t="s">
        <v>1527</v>
      </c>
      <c r="C35" s="220">
        <f ca="1">ROUND(C34*F35,0)</f>
        <v>99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166</v>
      </c>
      <c r="D37" s="217">
        <f ca="1">D19</f>
        <v>8275.4700000000012</v>
      </c>
      <c r="E37" s="249">
        <f>'数据-取费表'!B35</f>
        <v>200</v>
      </c>
      <c r="F37" s="259"/>
      <c r="G37" s="261" t="s">
        <v>1532</v>
      </c>
    </row>
    <row r="38" spans="1:7" ht="13.5" customHeight="1">
      <c r="A38" s="780" t="s">
        <v>354</v>
      </c>
      <c r="B38" s="215" t="s">
        <v>1533</v>
      </c>
      <c r="C38" s="220">
        <f ca="1">ROUND(C34*F38,0)</f>
        <v>50</v>
      </c>
      <c r="D38" s="220"/>
      <c r="E38" s="220"/>
      <c r="F38" s="259">
        <f>'数据-取费表'!B36</f>
        <v>1.4999999999999999E-2</v>
      </c>
      <c r="G38" s="219" t="s">
        <v>1528</v>
      </c>
    </row>
    <row r="39" spans="1:7" s="214" customFormat="1" ht="13.5" customHeight="1">
      <c r="A39" s="255" t="s">
        <v>1534</v>
      </c>
      <c r="B39" s="210" t="s">
        <v>1535</v>
      </c>
      <c r="C39" s="232">
        <f ca="1">ROUND(C33*F20,0)</f>
        <v>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125</v>
      </c>
      <c r="D42" s="238"/>
      <c r="E42" s="238"/>
      <c r="F42" s="239"/>
      <c r="G42" s="3664" t="s">
        <v>1544</v>
      </c>
    </row>
    <row r="43" spans="1:7" ht="13.5" customHeight="1">
      <c r="A43" s="780" t="s">
        <v>347</v>
      </c>
      <c r="B43" s="215" t="s">
        <v>1545</v>
      </c>
      <c r="C43" s="238">
        <f ca="1">ROUND(IF('数据-取费表'!B22&lt;=1,C39*F22*'数据-取费表'!B21/2,C39*(POWER((1+F22),'数据-取费表'!B21/2)-1)),0)</f>
        <v>3</v>
      </c>
      <c r="D43" s="238"/>
      <c r="E43" s="238"/>
      <c r="F43" s="239"/>
      <c r="G43" s="3665"/>
    </row>
    <row r="44" spans="1:7" ht="13.5" customHeight="1">
      <c r="A44" s="780" t="s">
        <v>348</v>
      </c>
      <c r="B44" s="215" t="s">
        <v>1546</v>
      </c>
      <c r="C44" s="238">
        <f ca="1">ROUND(IF('数据-取费表'!B22&lt;=1,C40*F22*'数据-取费表'!B21/2,C40*(POWER((1+F22),'数据-取费表'!B21/2)-1)),4)</f>
        <v>6.9999999999999999E-4</v>
      </c>
      <c r="D44" s="238"/>
      <c r="E44" s="238"/>
      <c r="F44" s="239"/>
      <c r="G44" s="3666"/>
    </row>
    <row r="45" spans="1:7" s="214" customFormat="1" ht="13.5" customHeight="1">
      <c r="A45" s="255" t="s">
        <v>1547</v>
      </c>
      <c r="B45" s="244" t="s">
        <v>1513</v>
      </c>
      <c r="C45" s="245">
        <f ca="1">C46</f>
        <v>555</v>
      </c>
      <c r="D45" s="235">
        <f ca="1">C47</f>
        <v>3.0000000000000001E-3</v>
      </c>
      <c r="E45" s="236" t="s">
        <v>1539</v>
      </c>
      <c r="F45" s="246">
        <f ca="1">F27</f>
        <v>0.15</v>
      </c>
      <c r="G45" s="247" t="s">
        <v>1548</v>
      </c>
    </row>
    <row r="46" spans="1:7" s="214" customFormat="1" ht="13.5" customHeight="1">
      <c r="A46" s="780" t="s">
        <v>346</v>
      </c>
      <c r="B46" s="248" t="s">
        <v>1549</v>
      </c>
      <c r="C46" s="249">
        <f ca="1">ROUND((C33+C39)*F27,0)</f>
        <v>555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4746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3322</v>
      </c>
      <c r="D51" s="232"/>
      <c r="E51" s="232"/>
      <c r="F51" s="264"/>
      <c r="G51" s="234" t="s">
        <v>1560</v>
      </c>
    </row>
    <row r="52" spans="1:7" s="208" customFormat="1" ht="16.5" thickBot="1">
      <c r="A52" s="265" t="s">
        <v>1561</v>
      </c>
      <c r="B52" s="266"/>
      <c r="C52" s="267">
        <f ca="1">C31+C51</f>
        <v>34691</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1" t="str">
        <f>项目基本情况!B1</f>
        <v>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3684.2165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1038420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1038420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3083.37</v>
      </c>
      <c r="E9" s="225">
        <f>'数据-取费表'!B27</f>
        <v>0</v>
      </c>
      <c r="F9" s="221"/>
      <c r="G9" s="226"/>
    </row>
    <row r="10" spans="1:8" s="214" customFormat="1" ht="13.5" customHeight="1">
      <c r="A10" s="779" t="s">
        <v>356</v>
      </c>
      <c r="B10" s="224" t="s">
        <v>1480</v>
      </c>
      <c r="C10" s="225">
        <f ca="1">ROUND(D10*E10,0)</f>
        <v>1038420</v>
      </c>
      <c r="D10" s="845">
        <f ca="1">IF(B1="",'数据-汇总表'!E6,IF(INDIRECT("'数据-取费表'!c"&amp;$G$1)="住宅",INDIRECT("'数据-取费表'!s"&amp;$G$1),INDIRECT("'数据-取费表'!k"&amp;$G$1)+INDIRECT("'数据-取费表'!s"&amp;$G$1)))</f>
        <v>5192.1000000000013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1655094</v>
      </c>
      <c r="D19" s="849">
        <f ca="1">D9+D10</f>
        <v>8275.4700000000012</v>
      </c>
      <c r="E19" s="211">
        <f>'数据-取费表'!B31</f>
        <v>200</v>
      </c>
      <c r="F19" s="231"/>
      <c r="G19" s="1856"/>
    </row>
    <row r="20" spans="1:7" s="214" customFormat="1" ht="13.5" customHeight="1">
      <c r="A20" s="255" t="s">
        <v>1574</v>
      </c>
      <c r="B20" s="210" t="s">
        <v>1575</v>
      </c>
      <c r="C20" s="232">
        <f ca="1">ROUND((C5+C19)*F20,0)</f>
        <v>53870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190917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72887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116171</v>
      </c>
      <c r="D24" s="238"/>
      <c r="E24" s="238"/>
      <c r="F24" s="239"/>
      <c r="G24" s="240" t="s">
        <v>1586</v>
      </c>
    </row>
    <row r="25" spans="1:7" s="214" customFormat="1" ht="24">
      <c r="A25" s="780" t="s">
        <v>1476</v>
      </c>
      <c r="B25" s="215" t="s">
        <v>1587</v>
      </c>
      <c r="C25" s="1128">
        <f ca="1">ROUND(IF('数据-取费表'!B22&lt;=1,C20*F22*'数据-取费表'!B22/2,C20*(POWER((1+F22),'数据-取费表'!B22/2)-1)),0)</f>
        <v>1859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412108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412108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3629912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36246558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33101880</v>
      </c>
      <c r="D34" s="217"/>
      <c r="E34" s="220"/>
      <c r="F34" s="257"/>
      <c r="G34" s="219"/>
    </row>
    <row r="35" spans="1:7" ht="13.5" customHeight="1">
      <c r="A35" s="780" t="s">
        <v>351</v>
      </c>
      <c r="B35" s="215" t="s">
        <v>1527</v>
      </c>
      <c r="C35" s="220">
        <f ca="1">ROUND(C34*F35,0)</f>
        <v>993056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1655094</v>
      </c>
      <c r="D37" s="217">
        <f ca="1">D19</f>
        <v>8275.4700000000012</v>
      </c>
      <c r="E37" s="249">
        <f>'数据-取费表'!B35</f>
        <v>200</v>
      </c>
      <c r="F37" s="259"/>
      <c r="G37" s="261"/>
    </row>
    <row r="38" spans="1:7" ht="13.5" customHeight="1">
      <c r="A38" s="780" t="s">
        <v>354</v>
      </c>
      <c r="B38" s="215" t="s">
        <v>1533</v>
      </c>
      <c r="C38" s="220">
        <f ca="1">ROUND(C34*F38,0)</f>
        <v>496528</v>
      </c>
      <c r="D38" s="220"/>
      <c r="E38" s="220"/>
      <c r="F38" s="259">
        <f>'数据-取费表'!B36</f>
        <v>1.4999999999999999E-2</v>
      </c>
      <c r="G38" s="219" t="s">
        <v>1528</v>
      </c>
    </row>
    <row r="39" spans="1:7" s="214" customFormat="1" ht="13.5" customHeight="1">
      <c r="A39" s="255" t="s">
        <v>1534</v>
      </c>
      <c r="B39" s="210" t="s">
        <v>1535</v>
      </c>
      <c r="C39" s="232">
        <f ca="1">ROUND(C33*F20,0)</f>
        <v>724931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1275516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1250506</v>
      </c>
      <c r="D42" s="238"/>
      <c r="E42" s="238"/>
      <c r="F42" s="239"/>
      <c r="G42" s="3664" t="s">
        <v>1591</v>
      </c>
    </row>
    <row r="43" spans="1:7" ht="13.5" customHeight="1">
      <c r="A43" s="780" t="s">
        <v>347</v>
      </c>
      <c r="B43" s="215" t="s">
        <v>1545</v>
      </c>
      <c r="C43" s="238">
        <f ca="1">ROUND(IF('数据-取费表'!B22&lt;=1,C39*F22*'数据-取费表'!B20/2,C39*(POWER((1+F22),'数据-取费表'!B20/2)-1)),0)</f>
        <v>25010</v>
      </c>
      <c r="D43" s="238"/>
      <c r="E43" s="238"/>
      <c r="F43" s="239"/>
      <c r="G43" s="3665"/>
    </row>
    <row r="44" spans="1:7" ht="13.5" customHeight="1">
      <c r="A44" s="780" t="s">
        <v>348</v>
      </c>
      <c r="B44" s="215" t="s">
        <v>1546</v>
      </c>
      <c r="C44" s="238">
        <f ca="1">ROUND(IF('数据-取费表'!B22&lt;=1,C40*F22*'数据-取费表'!B20/2,C40*(POWER((1+F22),'数据-取费表'!B20/2)-1)),4)</f>
        <v>6.9999999999999999E-4</v>
      </c>
      <c r="D44" s="238"/>
      <c r="E44" s="238"/>
      <c r="F44" s="239"/>
      <c r="G44" s="3666"/>
    </row>
    <row r="45" spans="1:7" s="214" customFormat="1" ht="13.5" customHeight="1">
      <c r="A45" s="255" t="s">
        <v>1547</v>
      </c>
      <c r="B45" s="244" t="s">
        <v>1513</v>
      </c>
      <c r="C45" s="245">
        <f ca="1">C46</f>
        <v>5545723</v>
      </c>
      <c r="D45" s="235">
        <f ca="1">C47</f>
        <v>3.0000000000000001E-3</v>
      </c>
      <c r="E45" s="236" t="s">
        <v>1539</v>
      </c>
      <c r="F45" s="246">
        <f ca="1">F27</f>
        <v>0.15</v>
      </c>
      <c r="G45" s="247" t="s">
        <v>1548</v>
      </c>
    </row>
    <row r="46" spans="1:7" s="214" customFormat="1" ht="13.5" customHeight="1">
      <c r="A46" s="780" t="s">
        <v>346</v>
      </c>
      <c r="B46" s="248" t="s">
        <v>1549</v>
      </c>
      <c r="C46" s="249">
        <f ca="1">ROUND((C33+C39)*F27,0)</f>
        <v>5545723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47446076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33212253</v>
      </c>
      <c r="D51" s="232"/>
      <c r="E51" s="232"/>
      <c r="F51" s="264"/>
      <c r="G51" s="234" t="s">
        <v>1560</v>
      </c>
    </row>
    <row r="52" spans="1:7" s="208" customFormat="1" ht="16.5" thickBot="1">
      <c r="A52" s="265" t="s">
        <v>1561</v>
      </c>
      <c r="B52" s="266"/>
      <c r="C52" s="267">
        <f ca="1">C31+C51</f>
        <v>36842165</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8275.4700000000012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8275.4700000000012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3083.37</v>
      </c>
      <c r="E19" s="21">
        <f>'数据-取费表'!B27</f>
        <v>0</v>
      </c>
      <c r="F19" s="804"/>
      <c r="G19" s="12"/>
      <c r="H19" s="1189"/>
      <c r="I19" s="809"/>
      <c r="J19" s="809"/>
      <c r="K19" s="810"/>
    </row>
    <row r="20" spans="1:33" s="803" customFormat="1" ht="13.5" customHeight="1">
      <c r="A20" s="800" t="s">
        <v>361</v>
      </c>
      <c r="B20" s="801" t="s">
        <v>1627</v>
      </c>
      <c r="C20" s="21">
        <f ca="1">ROUND(D20*E20/10000,0)</f>
        <v>104</v>
      </c>
      <c r="D20" s="846">
        <f ca="1">IF(C1="",'数据-汇总表'!E6,IF(INDIRECT("'数据-取费表'!c"&amp;$K$1)="住宅",INDIRECT("'数据-取费表'!s"&amp;$K$1),INDIRECT("'数据-取费表'!k"&amp;$K$1)+INDIRECT("'数据-取费表'!s"&amp;$K$1)))</f>
        <v>5192.1000000000013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46.63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10745</v>
      </c>
      <c r="C2" s="1387" t="s">
        <v>805</v>
      </c>
      <c r="D2" s="1387"/>
      <c r="E2" s="1388"/>
      <c r="F2" s="1389"/>
      <c r="G2" s="2706"/>
      <c r="H2" s="2695"/>
      <c r="I2" s="2695"/>
      <c r="J2" s="2695"/>
      <c r="K2" s="2696"/>
      <c r="L2" s="2695"/>
      <c r="M2" s="2695"/>
    </row>
    <row r="3" spans="1:37" ht="18" customHeight="1" thickBot="1">
      <c r="A3" s="1390" t="s">
        <v>806</v>
      </c>
      <c r="B3" s="1391">
        <f ca="1">IF(ISERROR(B2*10000/F43),0,ROUND(B2*10000/F43,0))</f>
        <v>34848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507</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506</v>
      </c>
      <c r="D6" s="155" t="s">
        <v>2108</v>
      </c>
      <c r="E6" s="302" t="s">
        <v>696</v>
      </c>
      <c r="F6" s="303">
        <f ca="1">INDIRECT("'数据-取费表'!u"&amp;$G$1)</f>
        <v>5</v>
      </c>
      <c r="G6" s="1384"/>
      <c r="H6" s="1069" t="s">
        <v>398</v>
      </c>
      <c r="I6" s="3669" t="s">
        <v>694</v>
      </c>
      <c r="J6" s="301">
        <f ca="1">ROUND(M6*M8*M7*(1-M9)/10000,0)</f>
        <v>0</v>
      </c>
      <c r="K6" s="155"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3083.37</v>
      </c>
      <c r="G7" s="1384"/>
      <c r="H7" s="304"/>
      <c r="I7" s="3670"/>
      <c r="J7" s="306"/>
      <c r="K7" s="307"/>
      <c r="L7" s="302" t="s">
        <v>697</v>
      </c>
      <c r="M7" s="303">
        <f ca="1">F7</f>
        <v>3083.37</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3408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1238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1233</v>
      </c>
      <c r="D14" s="1345" t="s">
        <v>708</v>
      </c>
      <c r="E14" s="1342"/>
      <c r="F14" s="319"/>
      <c r="G14" s="1384"/>
      <c r="H14" s="982" t="s">
        <v>398</v>
      </c>
      <c r="I14" s="302" t="s">
        <v>709</v>
      </c>
      <c r="J14" s="21">
        <f ca="1">C29</f>
        <v>1768</v>
      </c>
      <c r="K14" s="12"/>
      <c r="L14" s="807"/>
      <c r="M14" s="808"/>
    </row>
    <row r="15" spans="1:37" s="1397" customFormat="1" ht="18" customHeight="1" thickBot="1">
      <c r="A15" s="982" t="s">
        <v>399</v>
      </c>
      <c r="B15" s="302" t="s">
        <v>710</v>
      </c>
      <c r="C15" s="21">
        <f ca="1">ROUND(C14*F15,0)</f>
        <v>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v>
      </c>
      <c r="K16" s="1087" t="s">
        <v>715</v>
      </c>
      <c r="L16" s="1088"/>
      <c r="M16" s="1072"/>
    </row>
    <row r="17" spans="1:37" s="1397" customFormat="1" ht="18" customHeight="1">
      <c r="A17" s="982" t="s">
        <v>681</v>
      </c>
      <c r="B17" s="302" t="s">
        <v>716</v>
      </c>
      <c r="C17" s="21">
        <f ca="1">ROUND(F17*(F43+INDIRECT("'数据-取费表'!S"&amp;$G$1))/10000,0)</f>
        <v>62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1350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v>
      </c>
      <c r="K25" s="1095" t="s">
        <v>753</v>
      </c>
      <c r="L25" s="1096"/>
      <c r="M25" s="1097"/>
    </row>
    <row r="26" spans="1:37">
      <c r="A26" s="982" t="s">
        <v>397</v>
      </c>
      <c r="B26" s="302" t="s">
        <v>754</v>
      </c>
      <c r="C26" s="21">
        <f ca="1">ROUND((C19+C20)*F26,0)</f>
        <v>207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1768</v>
      </c>
      <c r="D29" s="1092"/>
      <c r="E29" s="1090"/>
      <c r="F29" s="1093"/>
      <c r="G29" s="1396"/>
      <c r="H29" s="334" t="s">
        <v>396</v>
      </c>
      <c r="I29" s="335" t="s">
        <v>768</v>
      </c>
      <c r="J29" s="336">
        <f ca="1">ROUND(J26/(1+F40)^F41,0)</f>
        <v>0</v>
      </c>
      <c r="K29" s="337" t="s">
        <v>769</v>
      </c>
      <c r="L29" s="338"/>
      <c r="M29" s="339">
        <f ca="1">INDIRECT("'数据-取费表'!k"&amp;$G$1)</f>
        <v>3083.37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84.82</v>
      </c>
      <c r="D31" s="1345" t="s">
        <v>720</v>
      </c>
      <c r="E31" s="1344" t="s">
        <v>770</v>
      </c>
      <c r="F31" s="2315">
        <f ca="1">IF(项目基本情况!B11="企业","——",IF(M47="住宅",IF(F6*F7*F8/12/(1+'数据-取费表'!F30)&gt;100000,4%,2.5%),IF(F6*F7*F8/12/(1+'数据-取费表'!F30)&gt;100000,12%,7%)))</f>
        <v>0.04</v>
      </c>
      <c r="G31" s="1384"/>
      <c r="H31" s="2808" t="s">
        <v>2309</v>
      </c>
      <c r="I31" s="1398"/>
      <c r="J31" s="1399"/>
      <c r="K31" s="2475"/>
      <c r="L31" s="2698"/>
      <c r="M31" s="2699"/>
    </row>
    <row r="32" spans="1:37" ht="18" customHeight="1">
      <c r="A32" s="982" t="s">
        <v>397</v>
      </c>
      <c r="B32" s="302" t="s">
        <v>723</v>
      </c>
      <c r="C32" s="21">
        <f ca="1">IF(项目基本情况!B11="自然人","——",ROUND(C6*F32/(1+'数据-取费表'!C42),2))</f>
        <v>26.99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57.83</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17.68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1.24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5.07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10745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46.63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34848</v>
      </c>
      <c r="D43" s="337" t="s">
        <v>777</v>
      </c>
      <c r="E43" s="338" t="s">
        <v>778</v>
      </c>
      <c r="F43" s="339">
        <f ca="1">INDIRECT("'数据-取费表'!k"&amp;$G$1)</f>
        <v>3083.37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-11086</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70</v>
      </c>
      <c r="M47" s="1380" t="str">
        <f>IF(ISNUMBER(FIND("住宅",C1)),"住宅","非住宅")</f>
        <v>住宅</v>
      </c>
      <c r="O47" s="1418" t="s">
        <v>403</v>
      </c>
      <c r="P47" s="1419" t="s">
        <v>817</v>
      </c>
      <c r="Q47" s="1420">
        <f ca="1">C40+J29</f>
        <v>10745</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46.63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2000</v>
      </c>
      <c r="K49" s="1423" t="s">
        <v>824</v>
      </c>
      <c r="L49" s="1427"/>
      <c r="O49" s="1428" t="s">
        <v>405</v>
      </c>
      <c r="P49" s="1419" t="s">
        <v>825</v>
      </c>
      <c r="Q49" s="1420">
        <f ca="1">C29</f>
        <v>1768</v>
      </c>
      <c r="R49" s="1420" t="s">
        <v>818</v>
      </c>
    </row>
    <row r="50" spans="1:18" s="1384" customFormat="1" ht="13.5" thickBot="1">
      <c r="A50" s="976"/>
      <c r="B50" s="979"/>
      <c r="C50" s="1118"/>
      <c r="D50" s="953"/>
      <c r="E50" s="1056" t="s">
        <v>697</v>
      </c>
      <c r="F50" s="1057">
        <f ca="1">F7</f>
        <v>3083.37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5500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46.63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46.63</v>
      </c>
      <c r="K53" s="3667" t="s">
        <v>837</v>
      </c>
      <c r="L53" s="3668"/>
      <c r="O53" s="1418" t="s">
        <v>409</v>
      </c>
      <c r="P53" s="1419" t="s">
        <v>838</v>
      </c>
      <c r="Q53" s="1420">
        <f ca="1">Q47+Q48</f>
        <v>10745</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1238</v>
      </c>
      <c r="D56" s="1447"/>
      <c r="E56" s="1448"/>
      <c r="F56" s="1440"/>
      <c r="I56" s="1449" t="s">
        <v>842</v>
      </c>
      <c r="J56" s="1450" t="s">
        <v>3411</v>
      </c>
      <c r="K56" s="1421" t="s">
        <v>843</v>
      </c>
      <c r="L56" s="1424">
        <f ca="1">IF(L48&lt;J51,"——",L48-J53)</f>
        <v>0</v>
      </c>
      <c r="O56" s="1418" t="s">
        <v>403</v>
      </c>
      <c r="P56" s="1419" t="s">
        <v>817</v>
      </c>
      <c r="Q56" s="1420">
        <f ca="1">C40+J29</f>
        <v>10745</v>
      </c>
      <c r="R56" s="1420" t="s">
        <v>818</v>
      </c>
    </row>
    <row r="57" spans="1:18" s="1384" customFormat="1" ht="24.75" thickBot="1">
      <c r="A57" s="1451"/>
      <c r="B57" s="950" t="s">
        <v>767</v>
      </c>
      <c r="C57" s="238">
        <f ca="1">C29</f>
        <v>1768</v>
      </c>
      <c r="D57" s="1452"/>
      <c r="E57" s="1453"/>
      <c r="F57" s="1454"/>
      <c r="I57" s="1455" t="s">
        <v>844</v>
      </c>
      <c r="J57" s="1456" t="str">
        <f ca="1">IF(OR(M47="住宅",J51&lt;L48,J56="是"),"——",J51-L48)</f>
        <v>——</v>
      </c>
      <c r="K57" s="1421" t="s">
        <v>845</v>
      </c>
      <c r="L57" s="1424">
        <f ca="1">IF(L48&lt;J51,"——",IF(L55="比较法",L49,IF(L55="基准地价",L50,L51)))</f>
        <v>5500</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10745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1.24</v>
      </c>
      <c r="D65" s="964" t="s">
        <v>743</v>
      </c>
      <c r="E65" s="950" t="s">
        <v>744</v>
      </c>
      <c r="F65" s="330">
        <f t="shared" ca="1" si="0"/>
        <v>1E-3</v>
      </c>
      <c r="I65" s="1462" t="s">
        <v>867</v>
      </c>
      <c r="J65" s="1463">
        <v>40</v>
      </c>
      <c r="K65" s="1463">
        <v>30</v>
      </c>
      <c r="L65" s="1463">
        <v>50</v>
      </c>
      <c r="M65" s="1465">
        <v>0.02</v>
      </c>
      <c r="O65" s="1418" t="s">
        <v>403</v>
      </c>
      <c r="P65" s="1419" t="s">
        <v>868</v>
      </c>
      <c r="Q65" s="1420">
        <f ca="1">C40+J29</f>
        <v>10745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5500</v>
      </c>
      <c r="R67" s="1420" t="s">
        <v>870</v>
      </c>
    </row>
    <row r="68" spans="1:18" s="1384" customFormat="1" ht="16.5" thickBot="1">
      <c r="A68" s="947" t="s">
        <v>395</v>
      </c>
      <c r="B68" s="948" t="s">
        <v>774</v>
      </c>
      <c r="C68" s="301">
        <f ca="1">ROUND(C67*(1-((1+F70)/(1+F68))^F69)/(F68-F70),0)</f>
        <v>-341</v>
      </c>
      <c r="D68" s="965" t="s">
        <v>758</v>
      </c>
      <c r="E68" s="950" t="s">
        <v>759</v>
      </c>
      <c r="F68" s="312">
        <f ca="1">F40</f>
        <v>0.05</v>
      </c>
      <c r="O68" s="1428" t="s">
        <v>406</v>
      </c>
      <c r="P68" s="1467" t="s">
        <v>871</v>
      </c>
      <c r="Q68" s="1420">
        <f ca="1">ROUND(Q69-Q70*Q71,0)</f>
        <v>311</v>
      </c>
      <c r="R68" s="1420" t="s">
        <v>414</v>
      </c>
    </row>
    <row r="69" spans="1:18" s="1384" customFormat="1" ht="13.5" thickBot="1">
      <c r="A69" s="951"/>
      <c r="B69" s="952"/>
      <c r="C69" s="306"/>
      <c r="D69" s="970" t="s">
        <v>762</v>
      </c>
      <c r="E69" s="950" t="s">
        <v>763</v>
      </c>
      <c r="F69" s="333">
        <f ca="1">F41</f>
        <v>46.63</v>
      </c>
      <c r="O69" s="1428" t="s">
        <v>411</v>
      </c>
      <c r="P69" s="1467" t="s">
        <v>872</v>
      </c>
      <c r="Q69" s="1420">
        <f ca="1">C39</f>
        <v>398</v>
      </c>
      <c r="R69" s="1420" t="s">
        <v>818</v>
      </c>
    </row>
    <row r="70" spans="1:18" s="1384" customFormat="1" ht="13.5" thickBot="1">
      <c r="A70" s="954"/>
      <c r="B70" s="955"/>
      <c r="C70" s="310"/>
      <c r="D70" s="966"/>
      <c r="E70" s="950" t="s">
        <v>766</v>
      </c>
      <c r="F70" s="1054"/>
      <c r="O70" s="1428" t="s">
        <v>412</v>
      </c>
      <c r="P70" s="1467" t="s">
        <v>873</v>
      </c>
      <c r="Q70" s="1420">
        <f ca="1">C13</f>
        <v>1238</v>
      </c>
      <c r="R70" s="1420" t="s">
        <v>818</v>
      </c>
    </row>
    <row r="71" spans="1:18" s="1384" customFormat="1" ht="13.5" thickBot="1">
      <c r="A71" s="971" t="s">
        <v>396</v>
      </c>
      <c r="B71" s="972" t="s">
        <v>776</v>
      </c>
      <c r="C71" s="336">
        <f ca="1">ROUND(C68*10000/F71,0)</f>
        <v>-1106</v>
      </c>
      <c r="D71" s="973" t="s">
        <v>777</v>
      </c>
      <c r="E71" s="974" t="s">
        <v>778</v>
      </c>
      <c r="F71" s="339">
        <f ca="1">F43</f>
        <v>3083.37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v>
      </c>
      <c r="D75" s="1384"/>
      <c r="E75" s="1384"/>
      <c r="F75" s="1384"/>
      <c r="K75" s="1402"/>
      <c r="L75" s="1384"/>
      <c r="O75" s="1418" t="s">
        <v>409</v>
      </c>
      <c r="P75" s="1419" t="s">
        <v>838</v>
      </c>
      <c r="Q75" s="1420">
        <f ca="1">Q65+Q66</f>
        <v>10745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0.78100000000000003</v>
      </c>
    </row>
    <row r="80" spans="1:18">
      <c r="B80" s="340" t="s">
        <v>800</v>
      </c>
      <c r="C80" s="274">
        <f ca="1">ROUND(C75/C39,3)</f>
        <v>0.219</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7" priority="56">
      <formula>$L$48&gt;$J$51</formula>
    </cfRule>
  </conditionalFormatting>
  <conditionalFormatting sqref="I55 I60">
    <cfRule type="expression" dxfId="196" priority="57">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L17" sqref="L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26.62</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16463</v>
      </c>
      <c r="C2" s="1387" t="s">
        <v>805</v>
      </c>
      <c r="D2" s="1387"/>
      <c r="E2" s="1388"/>
      <c r="F2" s="1389"/>
      <c r="G2" s="2706"/>
      <c r="H2" s="2695"/>
      <c r="I2" s="2695"/>
      <c r="J2" s="2695"/>
      <c r="K2" s="2696"/>
      <c r="L2" s="2695"/>
      <c r="M2" s="2695"/>
    </row>
    <row r="3" spans="1:37" ht="18" customHeight="1" thickBot="1">
      <c r="A3" s="1390" t="s">
        <v>806</v>
      </c>
      <c r="B3" s="1391">
        <f ca="1">IF(ISERROR(B2*10000/F43),0,ROUND(B2*10000/F43,0))</f>
        <v>31708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1024</v>
      </c>
      <c r="D5" s="1364" t="s">
        <v>693</v>
      </c>
      <c r="E5" s="1071"/>
      <c r="F5" s="1072"/>
      <c r="G5" s="1384"/>
      <c r="H5" s="299">
        <v>1</v>
      </c>
      <c r="I5" s="300" t="s">
        <v>692</v>
      </c>
      <c r="J5" s="1070">
        <f ca="1">J6+J10+J12</f>
        <v>1384</v>
      </c>
      <c r="K5" s="1364" t="s">
        <v>693</v>
      </c>
      <c r="L5" s="1071"/>
      <c r="M5" s="1072"/>
    </row>
    <row r="6" spans="1:37" ht="18" customHeight="1">
      <c r="A6" s="1069" t="s">
        <v>398</v>
      </c>
      <c r="B6" s="3669" t="s">
        <v>694</v>
      </c>
      <c r="C6" s="1074">
        <f ca="1">ROUND(F6*F8*F7*(1-F9)/10000,0)</f>
        <v>1023</v>
      </c>
      <c r="D6" s="155" t="s">
        <v>2108</v>
      </c>
      <c r="E6" s="302" t="s">
        <v>696</v>
      </c>
      <c r="F6" s="303">
        <f ca="1">INDIRECT("'数据-取费表'!u"&amp;$G$1)</f>
        <v>6</v>
      </c>
      <c r="G6" s="1384"/>
      <c r="H6" s="1069" t="s">
        <v>398</v>
      </c>
      <c r="I6" s="3669" t="s">
        <v>694</v>
      </c>
      <c r="J6" s="301">
        <f ca="1">ROUND(M6*M8*M7*(1-M9)/10000,0)</f>
        <v>1382</v>
      </c>
      <c r="K6" s="155" t="s">
        <v>2107</v>
      </c>
      <c r="L6" s="302" t="s">
        <v>696</v>
      </c>
      <c r="M6" s="303">
        <f ca="1">INDIRECT("'数据-取费表'!z"&amp;$G$1)</f>
        <v>8.1</v>
      </c>
    </row>
    <row r="7" spans="1:37" ht="18" customHeight="1">
      <c r="A7" s="1073"/>
      <c r="B7" s="3670"/>
      <c r="C7" s="1075"/>
      <c r="D7" s="307"/>
      <c r="E7" s="3471" t="s">
        <v>697</v>
      </c>
      <c r="F7" s="303">
        <f ca="1">IF(INDIRECT("'数据-取费表'!ah"&amp;$G$1)="",INDIRECT("'数据-取费表'!k"&amp;$G$1),INDIRECT("'数据-取费表'!ah"&amp;$G$1))</f>
        <v>5192.1000000000004</v>
      </c>
      <c r="G7" s="1384"/>
      <c r="H7" s="304"/>
      <c r="I7" s="3670"/>
      <c r="J7" s="306"/>
      <c r="K7" s="307"/>
      <c r="L7" s="302" t="s">
        <v>697</v>
      </c>
      <c r="M7" s="303">
        <f ca="1">F7</f>
        <v>5192.1000000000004</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2116</v>
      </c>
      <c r="E10" s="313" t="s">
        <v>701</v>
      </c>
      <c r="F10" s="1116" t="s">
        <v>3408</v>
      </c>
      <c r="G10" s="1384"/>
      <c r="H10" s="1069" t="s">
        <v>402</v>
      </c>
      <c r="I10" s="1365" t="s">
        <v>700</v>
      </c>
      <c r="J10" s="301">
        <f ca="1">ROUND(IF(M10="押一",J6/12*M11,IF(M10="押二",J6/12*2*M11,IF(M10="押三",J6/12*3*M11,J11*M11))),0)</f>
        <v>2</v>
      </c>
      <c r="K10" s="1366" t="s">
        <v>2115</v>
      </c>
      <c r="L10" s="313" t="s">
        <v>701</v>
      </c>
      <c r="M10" s="1116" t="s">
        <v>3408</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2083</v>
      </c>
      <c r="D13" s="3449" t="s">
        <v>705</v>
      </c>
      <c r="E13" s="3449" t="s">
        <v>706</v>
      </c>
      <c r="F13" s="1082">
        <f ca="1">INDIRECT("'数据-取费表'!y"&amp;$G$1)</f>
        <v>0.7</v>
      </c>
      <c r="G13" s="1384"/>
      <c r="H13" s="1079">
        <v>2</v>
      </c>
      <c r="I13" s="1080" t="s">
        <v>704</v>
      </c>
      <c r="J13" s="1068">
        <f ca="1">ROUND(J14*J15,0)</f>
        <v>1934</v>
      </c>
      <c r="K13" s="1087" t="s">
        <v>705</v>
      </c>
      <c r="L13" s="1392"/>
      <c r="M13" s="1393"/>
    </row>
    <row r="14" spans="1:37" ht="18" customHeight="1">
      <c r="A14" s="982" t="s">
        <v>397</v>
      </c>
      <c r="B14" s="302" t="s">
        <v>707</v>
      </c>
      <c r="C14" s="318">
        <f ca="1">INDIRECT("'数据-取费表'!m"&amp;$G$1)+INDIRECT("'数据-取费表'!t"&amp;$G$1)</f>
        <v>2077</v>
      </c>
      <c r="D14" s="3459" t="s">
        <v>708</v>
      </c>
      <c r="E14" s="3452"/>
      <c r="F14" s="319"/>
      <c r="G14" s="1384"/>
      <c r="H14" s="982" t="s">
        <v>398</v>
      </c>
      <c r="I14" s="302" t="s">
        <v>709</v>
      </c>
      <c r="J14" s="21">
        <f ca="1">C29</f>
        <v>2976</v>
      </c>
      <c r="K14" s="3469"/>
      <c r="L14" s="807"/>
      <c r="M14" s="808"/>
    </row>
    <row r="15" spans="1:37" s="1397" customFormat="1" ht="18" customHeight="1" thickBot="1">
      <c r="A15" s="982" t="s">
        <v>399</v>
      </c>
      <c r="B15" s="302" t="s">
        <v>710</v>
      </c>
      <c r="C15" s="21">
        <f ca="1">ROUND(C14*F15,0)</f>
        <v>62</v>
      </c>
      <c r="D15" s="3450" t="s">
        <v>711</v>
      </c>
      <c r="E15" s="3450" t="s">
        <v>712</v>
      </c>
      <c r="F15" s="321">
        <f>'数据-取费表'!B33</f>
        <v>0.03</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277</v>
      </c>
      <c r="K16" s="1087" t="s">
        <v>715</v>
      </c>
      <c r="L16" s="3462"/>
      <c r="M16" s="1072"/>
    </row>
    <row r="17" spans="1:37" s="1397" customFormat="1" ht="18" customHeight="1">
      <c r="A17" s="982" t="s">
        <v>681</v>
      </c>
      <c r="B17" s="302" t="s">
        <v>716</v>
      </c>
      <c r="C17" s="21">
        <f ca="1">ROUND(F17*(F43+INDIRECT("'数据-取费表'!S"&amp;$G$1))/10000,0)</f>
        <v>104</v>
      </c>
      <c r="D17" s="302" t="s">
        <v>717</v>
      </c>
      <c r="E17" s="302" t="s">
        <v>718</v>
      </c>
      <c r="F17" s="23">
        <f>'数据-取费表'!B35</f>
        <v>200</v>
      </c>
      <c r="G17" s="1396"/>
      <c r="H17" s="982" t="s">
        <v>398</v>
      </c>
      <c r="I17" s="302" t="s">
        <v>719</v>
      </c>
      <c r="J17" s="2316">
        <f ca="1">ROUND(IF(AND(项目基本情况!B11="自然人",项目基本情况!B10="北京市"),J6*M17/(1+'数据-取费表'!C42),J18+J19+J20),2)</f>
        <v>231.65</v>
      </c>
      <c r="K17" s="3459" t="s">
        <v>720</v>
      </c>
      <c r="L17" s="3457" t="s">
        <v>721</v>
      </c>
      <c r="M17" s="2315">
        <f ca="1">IF(项目基本情况!B11="企业","",IF('数据-取费表'!B10="住宅",IF(M6*M7*M8/12/(1+'数据-取费表'!F30)&gt;100000,4%,2.5%),IF(M6*M7*M8/12/(1+'数据-取费表'!F30)&gt;100000,12%,7%)))</f>
        <v>0.12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v>
      </c>
      <c r="D18" s="302" t="s">
        <v>711</v>
      </c>
      <c r="E18" s="302" t="s">
        <v>712</v>
      </c>
      <c r="F18" s="322">
        <f>'数据-取费表'!B36</f>
        <v>1.4999999999999999E-2</v>
      </c>
      <c r="G18" s="1396"/>
      <c r="H18" s="982" t="s">
        <v>397</v>
      </c>
      <c r="I18" s="302" t="s">
        <v>723</v>
      </c>
      <c r="J18" s="21">
        <f ca="1">ROUND(J6*M18/(1+'数据-取费表'!C42),2)</f>
        <v>73.709999999999994</v>
      </c>
      <c r="K18" s="3457"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2274</v>
      </c>
      <c r="D19" s="131" t="s">
        <v>726</v>
      </c>
      <c r="E19" s="3475"/>
      <c r="F19" s="23"/>
      <c r="G19" s="1384"/>
      <c r="H19" s="982" t="s">
        <v>399</v>
      </c>
      <c r="I19" s="302" t="s">
        <v>727</v>
      </c>
      <c r="J19" s="21">
        <f ca="1">IF(K19="按租金收入计税",ROUND(J6*M19/(1+'数据-取费表'!C42),2),ROUND(C29*M19*0.7,2))</f>
        <v>157.94</v>
      </c>
      <c r="K19" s="1370" t="s">
        <v>3339</v>
      </c>
      <c r="L19" s="302" t="s">
        <v>712</v>
      </c>
      <c r="M19" s="322">
        <f>IF(K19="按租金收入计税",'数据-取费表'!B51,'数据-取费表'!B50)</f>
        <v>0.12</v>
      </c>
    </row>
    <row r="20" spans="1:37" s="1397" customFormat="1" ht="18" customHeight="1">
      <c r="A20" s="982" t="s">
        <v>402</v>
      </c>
      <c r="B20" s="302" t="s">
        <v>728</v>
      </c>
      <c r="C20" s="21">
        <f ca="1">ROUND(C19*F20,0)</f>
        <v>45</v>
      </c>
      <c r="D20" s="2428"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5"/>
      <c r="F22" s="23"/>
      <c r="G22" s="1384"/>
      <c r="H22" s="982" t="s">
        <v>402</v>
      </c>
      <c r="I22" s="302" t="s">
        <v>738</v>
      </c>
      <c r="J22" s="21">
        <f ca="1">ROUND(J14*M22,2)</f>
        <v>29.76</v>
      </c>
      <c r="K22" s="3457"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1.93</v>
      </c>
      <c r="K23" s="3457"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13.84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5"/>
      <c r="F25" s="23"/>
      <c r="G25" s="1384"/>
      <c r="H25" s="1079" t="s">
        <v>394</v>
      </c>
      <c r="I25" s="1094" t="s">
        <v>752</v>
      </c>
      <c r="J25" s="310">
        <f ca="1">J5-J16</f>
        <v>1107</v>
      </c>
      <c r="K25" s="1095" t="s">
        <v>753</v>
      </c>
      <c r="L25" s="1096"/>
      <c r="M25" s="1097"/>
    </row>
    <row r="26" spans="1:37">
      <c r="A26" s="982" t="s">
        <v>397</v>
      </c>
      <c r="B26" s="302" t="s">
        <v>754</v>
      </c>
      <c r="C26" s="21">
        <f ca="1">ROUND((C19+C20)*F26,0)</f>
        <v>348</v>
      </c>
      <c r="D26" s="2428" t="s">
        <v>755</v>
      </c>
      <c r="E26" s="313" t="s">
        <v>756</v>
      </c>
      <c r="F26" s="312">
        <f ca="1">INDIRECT("'数据-取费表'!q"&amp;$G$1)</f>
        <v>0.15</v>
      </c>
      <c r="G26" s="1384"/>
      <c r="H26" s="299" t="s">
        <v>395</v>
      </c>
      <c r="I26" s="300" t="s">
        <v>757</v>
      </c>
      <c r="J26" s="301">
        <f ca="1">IF(J5&lt;&gt;0,ROUND(J25*(1-((1+M28)/(1+M26))^M27)/(M26-M28),0),0)</f>
        <v>16544</v>
      </c>
      <c r="K26" s="324" t="s">
        <v>758</v>
      </c>
      <c r="L26" s="302" t="s">
        <v>759</v>
      </c>
      <c r="M26" s="312">
        <f ca="1">INDIRECT("'数据-取费表'!I"&amp;$G$1)</f>
        <v>5.5E-2</v>
      </c>
    </row>
    <row r="27" spans="1:37" ht="18" customHeight="1">
      <c r="A27" s="982" t="s">
        <v>399</v>
      </c>
      <c r="B27" s="302" t="s">
        <v>760</v>
      </c>
      <c r="C27" s="21">
        <f ca="1">ROUND(F21*F26,4)</f>
        <v>3.0000000000000001E-3</v>
      </c>
      <c r="D27" s="2428" t="s">
        <v>761</v>
      </c>
      <c r="E27" s="3450"/>
      <c r="F27" s="321"/>
      <c r="G27" s="1384"/>
      <c r="H27" s="304"/>
      <c r="I27" s="305"/>
      <c r="J27" s="306"/>
      <c r="K27" s="332" t="s">
        <v>762</v>
      </c>
      <c r="L27" s="302" t="s">
        <v>763</v>
      </c>
      <c r="M27" s="333">
        <f ca="1">INDIRECT("'数据-取费表'!ag"&amp;$G$1)</f>
        <v>20.62</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2976</v>
      </c>
      <c r="D29" s="1092"/>
      <c r="E29" s="1090"/>
      <c r="F29" s="1093"/>
      <c r="G29" s="1396"/>
      <c r="H29" s="334" t="s">
        <v>396</v>
      </c>
      <c r="I29" s="335" t="s">
        <v>768</v>
      </c>
      <c r="J29" s="336">
        <f ca="1">ROUND(J26/(1+F40)^F41,0)</f>
        <v>11998</v>
      </c>
      <c r="K29" s="337" t="s">
        <v>769</v>
      </c>
      <c r="L29" s="338"/>
      <c r="M29" s="339">
        <f ca="1">INDIRECT("'数据-取费表'!k"&amp;$G$1)</f>
        <v>5192.1000000000004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v>
      </c>
      <c r="D30" s="1087" t="s">
        <v>715</v>
      </c>
      <c r="E30" s="3462"/>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171.47</v>
      </c>
      <c r="D31" s="3459" t="s">
        <v>720</v>
      </c>
      <c r="E31" s="3457"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f ca="1">IF(项目基本情况!B11="自然人","——",ROUND(C6*F32/(1+'数据-取费表'!C42),2))</f>
        <v>54.56</v>
      </c>
      <c r="D32" s="3457"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116.91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29.76</v>
      </c>
      <c r="D36" s="3457"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2.08</v>
      </c>
      <c r="D37" s="3457"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10.24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4291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8264</v>
      </c>
      <c r="D43" s="337" t="s">
        <v>777</v>
      </c>
      <c r="E43" s="338" t="s">
        <v>778</v>
      </c>
      <c r="F43" s="339">
        <f ca="1">INDIRECT("'数据-取费表'!k"&amp;$G$1)</f>
        <v>5192.1000000000004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-4451</v>
      </c>
      <c r="D46" s="1406" t="str">
        <f>C2</f>
        <v>万元</v>
      </c>
      <c r="E46" s="1400"/>
      <c r="F46" s="1400"/>
      <c r="I46" s="1407" t="s">
        <v>810</v>
      </c>
      <c r="J46" s="1408"/>
      <c r="K46" s="1409"/>
      <c r="L46" s="1410">
        <f ca="1">IF(M47="住宅",0,IF(L48&gt;J51,L60,J60))</f>
        <v>174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16289</v>
      </c>
      <c r="R47" s="1420" t="s">
        <v>818</v>
      </c>
    </row>
    <row r="48" spans="1:18" s="1384" customFormat="1" ht="28.5" thickBot="1">
      <c r="A48" s="1110" t="s">
        <v>438</v>
      </c>
      <c r="B48" s="300" t="s">
        <v>692</v>
      </c>
      <c r="C48" s="3474">
        <f ca="1">C49+C53+C55</f>
        <v>0</v>
      </c>
      <c r="D48" s="1112"/>
      <c r="E48" s="1113"/>
      <c r="F48" s="962"/>
      <c r="G48" s="722"/>
      <c r="H48" s="723"/>
      <c r="I48" s="1421" t="s">
        <v>819</v>
      </c>
      <c r="J48" s="1422" t="s">
        <v>3410</v>
      </c>
      <c r="K48" s="1423" t="s">
        <v>820</v>
      </c>
      <c r="L48" s="1424">
        <f ca="1">INDIRECT("'数据-取费表'!f"&amp;$G$1)</f>
        <v>26.62</v>
      </c>
      <c r="O48" s="1418" t="s">
        <v>404</v>
      </c>
      <c r="P48" s="1419" t="s">
        <v>821</v>
      </c>
      <c r="Q48" s="1420">
        <f ca="1">J60</f>
        <v>174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2000</v>
      </c>
      <c r="K49" s="1423" t="s">
        <v>824</v>
      </c>
      <c r="L49" s="1427"/>
      <c r="O49" s="1428" t="s">
        <v>405</v>
      </c>
      <c r="P49" s="1419" t="s">
        <v>825</v>
      </c>
      <c r="Q49" s="1420">
        <f ca="1">C29</f>
        <v>2976</v>
      </c>
      <c r="R49" s="1420" t="s">
        <v>818</v>
      </c>
    </row>
    <row r="50" spans="1:18" s="1384" customFormat="1" ht="13.5" thickBot="1">
      <c r="A50" s="976"/>
      <c r="B50" s="979"/>
      <c r="C50" s="1118"/>
      <c r="D50" s="953"/>
      <c r="E50" s="1056" t="s">
        <v>697</v>
      </c>
      <c r="F50" s="1057">
        <f ca="1">F7</f>
        <v>5192.1000000000004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10990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26.62</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26.62</v>
      </c>
      <c r="K53" s="3667" t="s">
        <v>837</v>
      </c>
      <c r="L53" s="3668"/>
      <c r="O53" s="1418" t="s">
        <v>409</v>
      </c>
      <c r="P53" s="1419" t="s">
        <v>838</v>
      </c>
      <c r="Q53" s="1420">
        <f ca="1">Q47+Q48</f>
        <v>16463</v>
      </c>
      <c r="R53" s="1420" t="s">
        <v>410</v>
      </c>
    </row>
    <row r="54" spans="1:18" s="1384" customFormat="1" ht="13.5" thickBot="1">
      <c r="A54" s="1153"/>
      <c r="B54" s="1367" t="s">
        <v>679</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4"/>
      <c r="F55" s="1440"/>
      <c r="I55" s="1443" t="s">
        <v>840</v>
      </c>
      <c r="J55" s="1444">
        <f ca="1">ROUND(IF(J47="钢混",J57/J50,1-(1-2%)*(J50-J57)/J50),3)</f>
        <v>0.156</v>
      </c>
      <c r="K55" s="1445" t="s">
        <v>841</v>
      </c>
      <c r="L55" s="1446"/>
      <c r="O55" s="1411" t="s">
        <v>811</v>
      </c>
      <c r="P55" s="1412" t="s">
        <v>812</v>
      </c>
      <c r="Q55" s="1413" t="s">
        <v>813</v>
      </c>
      <c r="R55" s="1413" t="s">
        <v>814</v>
      </c>
    </row>
    <row r="56" spans="1:18" s="1384" customFormat="1" ht="25.5" thickTop="1" thickBot="1">
      <c r="A56" s="957">
        <v>2</v>
      </c>
      <c r="B56" s="958" t="s">
        <v>704</v>
      </c>
      <c r="C56" s="232">
        <f ca="1">C13</f>
        <v>2083</v>
      </c>
      <c r="D56" s="1447"/>
      <c r="E56" s="1448"/>
      <c r="F56" s="1440"/>
      <c r="I56" s="1449" t="s">
        <v>842</v>
      </c>
      <c r="J56" s="1450" t="s">
        <v>3411</v>
      </c>
      <c r="K56" s="1421" t="s">
        <v>843</v>
      </c>
      <c r="L56" s="1424" t="str">
        <f ca="1">IF(L48&lt;J51,"——",L48-J53)</f>
        <v>——</v>
      </c>
      <c r="O56" s="1418" t="s">
        <v>403</v>
      </c>
      <c r="P56" s="1419" t="s">
        <v>817</v>
      </c>
      <c r="Q56" s="1420">
        <f ca="1">C40+J29</f>
        <v>16289</v>
      </c>
      <c r="R56" s="1420" t="s">
        <v>818</v>
      </c>
    </row>
    <row r="57" spans="1:18" s="1384" customFormat="1" ht="24.75" thickBot="1">
      <c r="A57" s="1451"/>
      <c r="B57" s="950" t="s">
        <v>767</v>
      </c>
      <c r="C57" s="238">
        <f ca="1">C29</f>
        <v>2976</v>
      </c>
      <c r="D57" s="1452"/>
      <c r="E57" s="1453"/>
      <c r="F57" s="1454"/>
      <c r="I57" s="1455" t="s">
        <v>844</v>
      </c>
      <c r="J57" s="1456">
        <f ca="1">IF(OR(M47="住宅",J51&lt;L48,J56="是"),"——",J51-L48)</f>
        <v>9.379999999999999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174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16289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2.08</v>
      </c>
      <c r="D65" s="964" t="s">
        <v>743</v>
      </c>
      <c r="E65" s="950" t="s">
        <v>744</v>
      </c>
      <c r="F65" s="330">
        <f t="shared" ca="1" si="0"/>
        <v>1E-3</v>
      </c>
      <c r="I65" s="1462" t="s">
        <v>867</v>
      </c>
      <c r="J65" s="1463">
        <v>40</v>
      </c>
      <c r="K65" s="1463">
        <v>30</v>
      </c>
      <c r="L65" s="1463">
        <v>50</v>
      </c>
      <c r="M65" s="1465">
        <v>0.02</v>
      </c>
      <c r="O65" s="1418" t="s">
        <v>403</v>
      </c>
      <c r="P65" s="1419" t="s">
        <v>868</v>
      </c>
      <c r="Q65" s="1420">
        <f ca="1">C40+J29</f>
        <v>16289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-32</v>
      </c>
      <c r="D67" s="963" t="s">
        <v>753</v>
      </c>
      <c r="E67" s="968"/>
      <c r="F67" s="969"/>
      <c r="O67" s="1428" t="s">
        <v>405</v>
      </c>
      <c r="P67" s="1419" t="s">
        <v>850</v>
      </c>
      <c r="Q67" s="1466">
        <f ca="1">L51</f>
        <v>10990</v>
      </c>
      <c r="R67" s="1420" t="s">
        <v>870</v>
      </c>
    </row>
    <row r="68" spans="1:18" s="1384" customFormat="1" ht="16.5" thickBot="1">
      <c r="A68" s="947" t="s">
        <v>395</v>
      </c>
      <c r="B68" s="948" t="s">
        <v>774</v>
      </c>
      <c r="C68" s="301">
        <f ca="1">ROUND(C67*(1-((1+F70)/(1+F68))^F69)/(F68-F70),0)</f>
        <v>-160</v>
      </c>
      <c r="D68" s="965" t="s">
        <v>758</v>
      </c>
      <c r="E68" s="950" t="s">
        <v>759</v>
      </c>
      <c r="F68" s="312">
        <f ca="1">F40</f>
        <v>5.5E-2</v>
      </c>
      <c r="O68" s="1428" t="s">
        <v>406</v>
      </c>
      <c r="P68" s="1467" t="s">
        <v>871</v>
      </c>
      <c r="Q68" s="1420">
        <f ca="1">ROUND(Q69-Q70*Q71,0)</f>
        <v>664</v>
      </c>
      <c r="R68" s="1420" t="s">
        <v>414</v>
      </c>
    </row>
    <row r="69" spans="1:18" s="1384" customFormat="1" ht="13.5" thickBot="1">
      <c r="A69" s="951"/>
      <c r="B69" s="952"/>
      <c r="C69" s="306"/>
      <c r="D69" s="970" t="s">
        <v>762</v>
      </c>
      <c r="E69" s="950" t="s">
        <v>763</v>
      </c>
      <c r="F69" s="333">
        <f ca="1">F41</f>
        <v>6</v>
      </c>
      <c r="O69" s="1428" t="s">
        <v>411</v>
      </c>
      <c r="P69" s="1467" t="s">
        <v>872</v>
      </c>
      <c r="Q69" s="1420">
        <f ca="1">C39</f>
        <v>810</v>
      </c>
      <c r="R69" s="1420" t="s">
        <v>818</v>
      </c>
    </row>
    <row r="70" spans="1:18" s="1384" customFormat="1" ht="13.5" thickBot="1">
      <c r="A70" s="954"/>
      <c r="B70" s="955"/>
      <c r="C70" s="310"/>
      <c r="D70" s="966"/>
      <c r="E70" s="950" t="s">
        <v>766</v>
      </c>
      <c r="F70" s="1054"/>
      <c r="O70" s="1428" t="s">
        <v>412</v>
      </c>
      <c r="P70" s="1467" t="s">
        <v>873</v>
      </c>
      <c r="Q70" s="1420">
        <f ca="1">C13</f>
        <v>2083</v>
      </c>
      <c r="R70" s="1420" t="s">
        <v>818</v>
      </c>
    </row>
    <row r="71" spans="1:18" s="1384" customFormat="1" ht="13.5" thickBot="1">
      <c r="A71" s="971" t="s">
        <v>396</v>
      </c>
      <c r="B71" s="972" t="s">
        <v>776</v>
      </c>
      <c r="C71" s="336">
        <f ca="1">ROUND(C68*10000/F71,0)</f>
        <v>-308</v>
      </c>
      <c r="D71" s="973" t="s">
        <v>777</v>
      </c>
      <c r="E71" s="974" t="s">
        <v>778</v>
      </c>
      <c r="F71" s="339">
        <f ca="1">F43</f>
        <v>5192.1000000000004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146</v>
      </c>
      <c r="D75" s="1384"/>
      <c r="E75" s="1384"/>
      <c r="F75" s="1384"/>
      <c r="K75" s="1402"/>
      <c r="L75" s="1384"/>
      <c r="O75" s="1418" t="s">
        <v>409</v>
      </c>
      <c r="P75" s="1419" t="s">
        <v>838</v>
      </c>
      <c r="Q75" s="1420">
        <f ca="1">Q65+Q66</f>
        <v>16289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0.82000000000000006</v>
      </c>
    </row>
    <row r="80" spans="1:18">
      <c r="B80" s="340" t="s">
        <v>800</v>
      </c>
      <c r="C80" s="274">
        <f ca="1">ROUND(C75/C39,3)</f>
        <v>0.18</v>
      </c>
    </row>
    <row r="81" spans="2:3">
      <c r="B81" s="270" t="s">
        <v>801</v>
      </c>
      <c r="C81" s="238"/>
    </row>
    <row r="82" spans="2:3">
      <c r="B82" s="273" t="s">
        <v>802</v>
      </c>
      <c r="C82" s="275">
        <f ca="1">1-C83</f>
        <v>0.51500000000000001</v>
      </c>
    </row>
    <row r="83" spans="2:3">
      <c r="B83" s="273" t="s">
        <v>803</v>
      </c>
      <c r="C83" s="274">
        <f ca="1">ROUND(C13/C40,3)</f>
        <v>0.48499999999999999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2105</v>
      </c>
      <c r="E6" s="302" t="s">
        <v>696</v>
      </c>
      <c r="F6" s="303">
        <f ca="1">INDIRECT("'数据-取费表'!u"&amp;$G$1)</f>
        <v>0</v>
      </c>
      <c r="G6" s="1384"/>
      <c r="H6" s="1069" t="s">
        <v>398</v>
      </c>
      <c r="I6" s="3669" t="s">
        <v>694</v>
      </c>
      <c r="J6" s="301">
        <f ca="1">ROUND(M6*M8*M7*(1-M9),0)</f>
        <v>0</v>
      </c>
      <c r="K6" s="1376" t="s">
        <v>2106</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2" priority="4">
      <formula>$L$48&gt;$J$51</formula>
    </cfRule>
  </conditionalFormatting>
  <conditionalFormatting sqref="I55 I60">
    <cfRule type="expression" dxfId="191" priority="5">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72" t="s">
        <v>2320</v>
      </c>
      <c r="K2" s="367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4" t="s">
        <v>2330</v>
      </c>
      <c r="K3" s="367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4" t="s">
        <v>2332</v>
      </c>
      <c r="K4" s="367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6" t="s">
        <v>2336</v>
      </c>
      <c r="B6" s="3677"/>
      <c r="C6" s="3678"/>
      <c r="D6" s="2870"/>
      <c r="E6" s="2871"/>
      <c r="F6" s="2872"/>
      <c r="G6" s="2873"/>
      <c r="H6" s="2848"/>
      <c r="I6" s="2849"/>
      <c r="J6" s="3679">
        <v>1</v>
      </c>
      <c r="K6" s="368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9"/>
      <c r="K7" s="368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3" t="s">
        <v>2350</v>
      </c>
      <c r="C8" s="3684"/>
      <c r="D8" s="2889" t="s">
        <v>2351</v>
      </c>
      <c r="E8" s="2890" t="s">
        <v>2352</v>
      </c>
      <c r="F8" s="2891" t="s">
        <v>2353</v>
      </c>
      <c r="G8" s="2892"/>
      <c r="H8" s="2848"/>
      <c r="I8" s="2849"/>
      <c r="J8" s="3679"/>
      <c r="K8" s="368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3" t="s">
        <v>2356</v>
      </c>
      <c r="C9" s="3684"/>
      <c r="D9" s="2889">
        <f>ROUND(D6*E9,0)</f>
        <v>0</v>
      </c>
      <c r="E9" s="2893"/>
      <c r="F9" s="2894" t="s">
        <v>2357</v>
      </c>
      <c r="G9" s="2873"/>
      <c r="H9" s="2848"/>
      <c r="I9" s="2849"/>
      <c r="J9" s="3679"/>
      <c r="K9" s="3681"/>
      <c r="L9" s="2883" t="s">
        <v>2358</v>
      </c>
      <c r="M9" s="2884"/>
      <c r="N9" s="2860"/>
      <c r="O9" s="2885"/>
      <c r="P9" s="2885"/>
      <c r="Q9" s="2886">
        <v>365</v>
      </c>
      <c r="R9" s="2887">
        <f t="shared" si="0"/>
        <v>0</v>
      </c>
      <c r="S9" s="2841"/>
      <c r="T9" s="2841"/>
      <c r="U9" s="2841"/>
      <c r="V9" s="2849"/>
    </row>
    <row r="10" spans="1:22" s="2853" customFormat="1" ht="13.15" customHeight="1">
      <c r="A10" s="2888">
        <v>2</v>
      </c>
      <c r="B10" s="3683" t="s">
        <v>2359</v>
      </c>
      <c r="C10" s="3684"/>
      <c r="D10" s="2889">
        <f>ROUND(D6*E10,0)</f>
        <v>0</v>
      </c>
      <c r="E10" s="2893"/>
      <c r="F10" s="2894" t="s">
        <v>2360</v>
      </c>
      <c r="G10" s="2873"/>
      <c r="H10" s="2848"/>
      <c r="I10" s="2849"/>
      <c r="J10" s="3679"/>
      <c r="K10" s="3681"/>
      <c r="L10" s="2883" t="s">
        <v>2361</v>
      </c>
      <c r="M10" s="2884"/>
      <c r="N10" s="2860"/>
      <c r="O10" s="2885"/>
      <c r="P10" s="2885"/>
      <c r="Q10" s="2886">
        <v>365</v>
      </c>
      <c r="R10" s="2887">
        <f t="shared" si="0"/>
        <v>0</v>
      </c>
      <c r="S10" s="2841"/>
      <c r="T10" s="2841"/>
      <c r="U10" s="2841"/>
      <c r="V10" s="2849"/>
    </row>
    <row r="11" spans="1:22" s="2853" customFormat="1" ht="13.15" customHeight="1">
      <c r="A11" s="2888">
        <v>3</v>
      </c>
      <c r="B11" s="3683" t="s">
        <v>2362</v>
      </c>
      <c r="C11" s="3684"/>
      <c r="D11" s="2889">
        <f>D12+D14+D15+D16</f>
        <v>0</v>
      </c>
      <c r="E11" s="2895" t="e">
        <f>D11/D6</f>
        <v>#DIV/0!</v>
      </c>
      <c r="F11" s="2891"/>
      <c r="G11" s="2892"/>
      <c r="H11" s="2848"/>
      <c r="I11" s="2849"/>
      <c r="J11" s="3679"/>
      <c r="K11" s="368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5" t="s">
        <v>2365</v>
      </c>
      <c r="C12" s="3686"/>
      <c r="D12" s="2897">
        <f>ROUND(D13*1.2%*(1-30%),0)</f>
        <v>0</v>
      </c>
      <c r="E12" s="2898">
        <v>1.2E-2</v>
      </c>
      <c r="F12" s="2891" t="s">
        <v>2366</v>
      </c>
      <c r="G12" s="2892"/>
      <c r="H12" s="2848"/>
      <c r="I12" s="2849"/>
      <c r="J12" s="3679"/>
      <c r="K12" s="368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9"/>
      <c r="K13" s="368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5" t="s">
        <v>2371</v>
      </c>
      <c r="C14" s="3686"/>
      <c r="D14" s="2897">
        <f>ROUND(E14*B5/10000,0)</f>
        <v>0</v>
      </c>
      <c r="E14" s="2886"/>
      <c r="F14" s="2891" t="s">
        <v>2372</v>
      </c>
      <c r="G14" s="2892"/>
      <c r="H14" s="2848"/>
      <c r="I14" s="2849"/>
      <c r="J14" s="3679"/>
      <c r="K14" s="368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5" t="s">
        <v>2375</v>
      </c>
      <c r="C15" s="3686"/>
      <c r="D15" s="2897">
        <f>ROUND(D6*E15,0)</f>
        <v>0</v>
      </c>
      <c r="E15" s="2898">
        <v>5.5E-2</v>
      </c>
      <c r="F15" s="2891" t="s">
        <v>2376</v>
      </c>
      <c r="G15" s="2873"/>
      <c r="H15" s="2848"/>
      <c r="I15" s="2849"/>
      <c r="J15" s="3679">
        <v>2</v>
      </c>
      <c r="K15" s="368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5" t="s">
        <v>2384</v>
      </c>
      <c r="C16" s="3686"/>
      <c r="D16" s="2908">
        <f>D6*E16</f>
        <v>0</v>
      </c>
      <c r="E16" s="2909"/>
      <c r="F16" s="2894" t="s">
        <v>2385</v>
      </c>
      <c r="G16" s="2873"/>
      <c r="H16" s="2848"/>
      <c r="I16" s="2849"/>
      <c r="J16" s="3679"/>
      <c r="K16" s="368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7" t="s">
        <v>2387</v>
      </c>
      <c r="C17" s="3688"/>
      <c r="D17" s="2911">
        <f>ROUND(D6*E17,0)</f>
        <v>0</v>
      </c>
      <c r="E17" s="2912"/>
      <c r="F17" s="2913" t="s">
        <v>2388</v>
      </c>
      <c r="G17" s="2873"/>
      <c r="H17" s="2848"/>
      <c r="I17" s="2849"/>
      <c r="J17" s="3679"/>
      <c r="K17" s="368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9"/>
      <c r="K18" s="368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9"/>
      <c r="K19" s="368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9">
        <v>3</v>
      </c>
      <c r="K20" s="368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9"/>
      <c r="K21" s="368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9"/>
      <c r="K22" s="368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9"/>
      <c r="K23" s="368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9"/>
      <c r="K24" s="368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8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2" t="s">
        <v>2320</v>
      </c>
      <c r="K32" s="367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4" t="s">
        <v>2330</v>
      </c>
      <c r="K33" s="367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4" t="s">
        <v>2332</v>
      </c>
      <c r="K34" s="367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9">
        <v>1</v>
      </c>
      <c r="K36" s="368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9"/>
      <c r="K37" s="368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9"/>
      <c r="K38" s="368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9"/>
      <c r="K39" s="368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9"/>
      <c r="K40" s="368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27208</v>
      </c>
      <c r="C2" s="1872" t="s">
        <v>1651</v>
      </c>
      <c r="D2" s="1873" t="s">
        <v>1652</v>
      </c>
      <c r="E2" s="2607">
        <f>SUM(E6:E13)</f>
        <v>8275.4700000000012</v>
      </c>
      <c r="F2" s="2707"/>
      <c r="G2" s="1489"/>
      <c r="H2" s="1489"/>
      <c r="I2" s="1489"/>
      <c r="J2" s="1489"/>
      <c r="K2" s="1489"/>
      <c r="L2" s="1489"/>
      <c r="M2" s="1489"/>
      <c r="N2" s="1489"/>
      <c r="O2" s="1489"/>
      <c r="P2" s="1489"/>
      <c r="Q2" s="1489"/>
      <c r="R2" s="1489"/>
      <c r="S2" s="1489"/>
    </row>
    <row r="3" spans="1:22" ht="15.75">
      <c r="A3" s="1870" t="s">
        <v>686</v>
      </c>
      <c r="B3" s="2601">
        <f ca="1">ROUND(B2*10000/E2,0)</f>
        <v>32878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10745</v>
      </c>
      <c r="C6" s="1872" t="s">
        <v>1651</v>
      </c>
      <c r="D6" s="2709"/>
      <c r="E6" s="2606">
        <f>IF(OR(A6=0,F6="否"),0,'数据-取费表'!K6+'数据-取费表'!S6)</f>
        <v>3083.37</v>
      </c>
      <c r="F6" s="1876" t="s">
        <v>1657</v>
      </c>
      <c r="G6" s="1489"/>
      <c r="H6" s="1489"/>
      <c r="I6" s="1489"/>
      <c r="J6" s="1489"/>
      <c r="K6" s="1489"/>
      <c r="L6" s="1489"/>
      <c r="M6" s="1489"/>
      <c r="N6" s="1489"/>
      <c r="O6" s="1489"/>
      <c r="P6" s="1489"/>
      <c r="Q6" s="1489"/>
      <c r="R6" s="1489"/>
      <c r="S6" s="1489"/>
    </row>
    <row r="7" spans="1:22">
      <c r="A7" s="2604" t="str">
        <f>'数据-取费表'!AN7</f>
        <v>收益法（办）</v>
      </c>
      <c r="B7" s="2602">
        <f ca="1">IF(F7="是",'数据-取费表'!AO7,0)</f>
        <v>16463</v>
      </c>
      <c r="C7" s="1872" t="s">
        <v>1651</v>
      </c>
      <c r="D7" s="2709"/>
      <c r="E7" s="2606">
        <f>IF(OR(A7=0,F7="否"),0,'数据-取费表'!K7+'数据-取费表'!S7)</f>
        <v>5192.1000000000004</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Normal="100" zoomScaleSheetLayoutView="100" zoomScalePageLayoutView="80" workbookViewId="0">
      <selection activeCell="H23" sqref="H23"/>
    </sheetView>
  </sheetViews>
  <sheetFormatPr defaultColWidth="12.625" defaultRowHeight="21.75" customHeight="1"/>
  <cols>
    <col min="1" max="2" width="12.625" style="1753"/>
    <col min="3" max="3" width="12.625" style="1753" customWidth="1"/>
    <col min="4" max="4" width="14.37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3418</v>
      </c>
      <c r="D4" s="1756" t="s">
        <v>3412</v>
      </c>
      <c r="E4" s="3646" t="s">
        <v>1267</v>
      </c>
      <c r="F4" s="3647"/>
      <c r="G4" s="3647"/>
      <c r="H4" s="3647"/>
      <c r="I4" s="3648"/>
      <c r="K4" s="146" t="str">
        <f>IF(ISNUMBER(FIND("比较法",'结果表(住宅)'!C4)),"比较法",IF(ISNUMBER(FIND("成本法",'结果表(住宅)'!C4)),"成本法",IF(ISNUMBER(FIND("假设开发法",'结果表(住宅)'!C4)),"假设开发法",IF(ISNUMBER(FIND("收益法",'结果表(住宅)'!C4)),"收益法","基准地价系数修正法"))))</f>
        <v>比较法</v>
      </c>
      <c r="L4" s="146"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6</v>
      </c>
      <c r="D14" s="3631">
        <v>4</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3083.37</v>
      </c>
      <c r="M18" s="302">
        <f>IF(C1="",'数据-汇总表'!E3,SUMIF(项目类型,C1,'数据-汇总表'!E17:E26))</f>
        <v>3083.37</v>
      </c>
    </row>
    <row r="19" spans="1:36" ht="15">
      <c r="A19" s="1761" t="s">
        <v>1290</v>
      </c>
      <c r="B19" s="1762" t="s">
        <v>1291</v>
      </c>
      <c r="C19" s="134">
        <f ca="1">SUMIF(INDIRECT("'"&amp;C4&amp;"'"&amp;"!A:A"),'结果表(住宅)'!B19,INDIRECT("'"&amp;C4&amp;"'"&amp;"!B:B"))</f>
        <v>18500</v>
      </c>
      <c r="D19" s="135">
        <f ca="1">SUMIF(INDIRECT("'"&amp;D4&amp;"'"&amp;"!A:A"),'结果表(住宅)'!B19,INDIRECT("'"&amp;D4&amp;"'"&amp;"!B:B"))</f>
        <v>10745</v>
      </c>
      <c r="E19" s="1761" t="s">
        <v>1292</v>
      </c>
      <c r="F19" s="1762" t="s">
        <v>1291</v>
      </c>
      <c r="G19" s="136">
        <f ca="1">ROUND(C19*$C$18+D19*$D$18,0)</f>
        <v>15398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SUMIF(INDIRECT("'"&amp;C4&amp;"'"&amp;"!A:A"),'结果表(住宅)'!B20,INDIRECT("'"&amp;C4&amp;"'"&amp;"!B:B"))</f>
        <v>60000</v>
      </c>
      <c r="D20" s="138">
        <f ca="1">SUMIF(INDIRECT("'"&amp;D4&amp;"'"&amp;"!A:A"),'结果表(住宅)'!B20,INDIRECT("'"&amp;D4&amp;"'"&amp;"!B:B"))</f>
        <v>34848</v>
      </c>
      <c r="E20" s="1764"/>
      <c r="F20" s="1026" t="s">
        <v>1295</v>
      </c>
      <c r="G20" s="139">
        <f ca="1">ROUND(C20*$C$18+D20*$D$18,0)</f>
        <v>49939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0.72173103769194968</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49939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3466">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3466">
        <v>2</v>
      </c>
      <c r="K47" s="3573" t="s">
        <v>1337</v>
      </c>
      <c r="L47" s="3573"/>
      <c r="M47" s="3575">
        <f>'数据-取费表'!B2</f>
        <v>45362</v>
      </c>
      <c r="N47" s="3575"/>
      <c r="O47" s="3575"/>
    </row>
    <row r="48" spans="1:15" ht="25.5">
      <c r="A48" s="3635" t="s">
        <v>1338</v>
      </c>
      <c r="B48" s="3636"/>
      <c r="C48" s="3636"/>
      <c r="D48" s="3469"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573" t="s">
        <v>1340</v>
      </c>
      <c r="L48" s="3573"/>
      <c r="M48" s="3576" t="e">
        <f ca="1">H101</f>
        <v>#REF!</v>
      </c>
      <c r="N48" s="3576"/>
      <c r="O48" s="3576"/>
    </row>
    <row r="49" spans="1:35" ht="25.5" customHeight="1">
      <c r="A49" s="3461" t="s">
        <v>1341</v>
      </c>
      <c r="B49" s="3621" t="s">
        <v>1342</v>
      </c>
      <c r="C49" s="3621"/>
      <c r="D49" s="1590">
        <v>0</v>
      </c>
      <c r="E49" s="324" t="s">
        <v>1343</v>
      </c>
      <c r="F49" s="3451" t="s">
        <v>28</v>
      </c>
      <c r="G49" s="3604"/>
      <c r="H49" s="2310" t="s">
        <v>2133</v>
      </c>
      <c r="I49" s="2311"/>
      <c r="J49" s="3466">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3451"/>
      <c r="G50" s="3605"/>
      <c r="H50" s="2312" t="s">
        <v>2134</v>
      </c>
      <c r="I50" s="2311"/>
      <c r="J50" s="3572" t="s">
        <v>1345</v>
      </c>
      <c r="K50" s="3572"/>
      <c r="L50" s="3572"/>
      <c r="M50" s="3572"/>
      <c r="N50" s="3572"/>
      <c r="O50" s="3572"/>
    </row>
    <row r="51" spans="1:35" ht="20.45" customHeight="1">
      <c r="A51" s="2553"/>
      <c r="B51" s="3621" t="s">
        <v>1346</v>
      </c>
      <c r="C51" s="3621"/>
      <c r="D51" s="1087"/>
      <c r="E51" s="327"/>
      <c r="F51" s="3451"/>
      <c r="G51" s="3606"/>
      <c r="H51" s="2312" t="s">
        <v>2135</v>
      </c>
      <c r="I51" s="2311"/>
      <c r="J51" s="3465" t="s">
        <v>1347</v>
      </c>
      <c r="K51" s="3573" t="s">
        <v>1348</v>
      </c>
      <c r="L51" s="3573"/>
      <c r="M51" s="3465" t="s">
        <v>1349</v>
      </c>
      <c r="N51" s="3465" t="s">
        <v>1350</v>
      </c>
      <c r="O51" s="3465" t="s">
        <v>1351</v>
      </c>
    </row>
    <row r="52" spans="1:35" ht="24" customHeight="1">
      <c r="A52" s="3456" t="s">
        <v>1352</v>
      </c>
      <c r="B52" s="3621" t="s">
        <v>1353</v>
      </c>
      <c r="C52" s="3621"/>
      <c r="D52" s="1087" t="e">
        <f ca="1">ROUND(D45*'数据-取费表'!B41/(1+'数据-取费表'!C42),0)</f>
        <v>#REF!</v>
      </c>
      <c r="E52" s="3457" t="s">
        <v>1354</v>
      </c>
      <c r="F52" s="2554">
        <f>'数据-取费表'!B41</f>
        <v>5.6000000000000001E-2</v>
      </c>
      <c r="G52" s="2555"/>
      <c r="H52" s="2544"/>
      <c r="I52" s="1807"/>
      <c r="J52" s="3466">
        <v>1</v>
      </c>
      <c r="K52" s="3598" t="s">
        <v>1355</v>
      </c>
      <c r="L52" s="3598"/>
      <c r="M52" s="2525" t="b">
        <f>D48</f>
        <v>0</v>
      </c>
      <c r="N52" s="3466" t="str">
        <f>E48</f>
        <v>销售额×税（费）率</v>
      </c>
      <c r="O52" s="2526">
        <f>F48</f>
        <v>5.6000000000000001E-2</v>
      </c>
    </row>
    <row r="53" spans="1:35" ht="12" customHeight="1">
      <c r="A53" s="3456" t="s">
        <v>1356</v>
      </c>
      <c r="B53" s="3622" t="s">
        <v>2290</v>
      </c>
      <c r="C53" s="3623"/>
      <c r="D53" s="1087" t="e">
        <f ca="1">ROUND(D45*'数据-取费表'!B41/(1+'数据-取费表'!C42),0)</f>
        <v>#REF!</v>
      </c>
      <c r="E53" s="3457" t="s">
        <v>1354</v>
      </c>
      <c r="F53" s="2554">
        <f>'数据-取费表'!B41</f>
        <v>5.6000000000000001E-2</v>
      </c>
      <c r="G53" s="2555"/>
      <c r="H53" s="2544"/>
      <c r="I53" s="1807"/>
      <c r="J53" s="3466">
        <v>2</v>
      </c>
      <c r="K53" s="3598" t="s">
        <v>1357</v>
      </c>
      <c r="L53" s="3598"/>
      <c r="M53" s="2525" t="e">
        <f t="shared" ref="M53:O54" ca="1" si="0">D55</f>
        <v>#REF!</v>
      </c>
      <c r="N53" s="3466" t="str">
        <f t="shared" si="0"/>
        <v>销售额×税（费）率</v>
      </c>
      <c r="O53" s="2526" t="str">
        <f t="shared" si="0"/>
        <v>免征</v>
      </c>
    </row>
    <row r="54" spans="1:35" ht="12" customHeight="1">
      <c r="A54" s="3456" t="s">
        <v>1358</v>
      </c>
      <c r="B54" s="3622" t="s">
        <v>2291</v>
      </c>
      <c r="C54" s="3623"/>
      <c r="D54" s="1087" t="e">
        <f ca="1">C68</f>
        <v>#REF!</v>
      </c>
      <c r="E54" s="327" t="s">
        <v>1359</v>
      </c>
      <c r="F54" s="2554">
        <f>'数据-取费表'!B41</f>
        <v>5.6000000000000001E-2</v>
      </c>
      <c r="G54" s="2555"/>
      <c r="H54" s="2556"/>
      <c r="I54" s="1807"/>
      <c r="J54" s="3466">
        <v>3</v>
      </c>
      <c r="K54" s="3598" t="s">
        <v>1360</v>
      </c>
      <c r="L54" s="3598"/>
      <c r="M54" s="2525" t="e">
        <f t="shared" ca="1" si="0"/>
        <v>#REF!</v>
      </c>
      <c r="N54" s="3466" t="str">
        <f t="shared" si="0"/>
        <v>增值额×税（费）率</v>
      </c>
      <c r="O54" s="2527" t="str">
        <f t="shared" si="0"/>
        <v>免征</v>
      </c>
    </row>
    <row r="55" spans="1:35" ht="24" customHeight="1">
      <c r="A55" s="3658" t="s">
        <v>1361</v>
      </c>
      <c r="B55" s="3636"/>
      <c r="C55" s="3636"/>
      <c r="D55" s="3469" t="e">
        <f ca="1">IF(H55="个人住宅",0,ROUND(D45*I55,0))</f>
        <v>#REF!</v>
      </c>
      <c r="E55" s="3457" t="s">
        <v>1362</v>
      </c>
      <c r="F55" s="2554" t="str">
        <f>IF(H55="正常",I55,"免征")</f>
        <v>免征</v>
      </c>
      <c r="G55" s="2555"/>
      <c r="H55" s="2550"/>
      <c r="I55" s="165">
        <f>'数据-取费表'!B49</f>
        <v>5.0000000000000001E-4</v>
      </c>
      <c r="J55" s="3466">
        <f>IF(H59="非个人房产","",4)</f>
        <v>4</v>
      </c>
      <c r="K55" s="3598" t="str">
        <f>IF(H59="非个人房产","——","个人所得税")</f>
        <v>个人所得税</v>
      </c>
      <c r="L55" s="3598"/>
      <c r="M55" s="2528" t="e">
        <f ca="1">D59</f>
        <v>#REF!</v>
      </c>
      <c r="N55" s="3467" t="str">
        <f>E59</f>
        <v>差额计税</v>
      </c>
      <c r="O55" s="2529">
        <f>F59</f>
        <v>0.01</v>
      </c>
    </row>
    <row r="56" spans="1:35" ht="24.75">
      <c r="A56" s="3658" t="s">
        <v>1363</v>
      </c>
      <c r="B56" s="3636"/>
      <c r="C56" s="3636"/>
      <c r="D56" s="3469" t="e">
        <f ca="1">IF(H56="个人住宅",D57,D58)</f>
        <v>#REF!</v>
      </c>
      <c r="E56" s="3457" t="s">
        <v>1364</v>
      </c>
      <c r="F56" s="2554" t="str">
        <f>IF(H56="正常",F58,"免征")</f>
        <v>免征</v>
      </c>
      <c r="G56" s="2557" t="s">
        <v>1365</v>
      </c>
      <c r="H56" s="2558"/>
      <c r="I56" s="1808"/>
      <c r="J56" s="3466"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3456" t="s">
        <v>1341</v>
      </c>
      <c r="B57" s="3622" t="s">
        <v>1366</v>
      </c>
      <c r="C57" s="3623"/>
      <c r="D57" s="1590">
        <v>0</v>
      </c>
      <c r="E57" s="324" t="s">
        <v>1343</v>
      </c>
      <c r="F57" s="302"/>
      <c r="G57" s="2555"/>
      <c r="H57" s="2559"/>
      <c r="I57" s="1808"/>
      <c r="J57" s="3598">
        <f>IF(AND(J55="",J56=""),4,IF(项目基本情况!K6="上海银行",'结果表(住宅)'!J56+1,'结果表(住宅)'!J55+1))</f>
        <v>5</v>
      </c>
      <c r="K57" s="3598" t="s">
        <v>1367</v>
      </c>
      <c r="L57" s="2530" t="s">
        <v>1368</v>
      </c>
      <c r="M57" s="2531"/>
      <c r="N57" s="2532">
        <f ca="1">SUMIF(M52:M56,"&lt;9e307")</f>
        <v>0</v>
      </c>
      <c r="O57" s="2533"/>
      <c r="P57" s="2690" t="e">
        <f ca="1">N57/M49</f>
        <v>#VALUE!</v>
      </c>
    </row>
    <row r="58" spans="1:35" ht="24.75">
      <c r="A58" s="3456" t="s">
        <v>1352</v>
      </c>
      <c r="B58" s="3622" t="s">
        <v>1369</v>
      </c>
      <c r="C58" s="3621"/>
      <c r="D58" s="3469" t="e">
        <f ca="1">IF(H58="转让取得",C81,C97)</f>
        <v>#REF!</v>
      </c>
      <c r="E58" s="3457"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0">
        <f>J57+1</f>
        <v>6</v>
      </c>
      <c r="K59" s="3598" t="s">
        <v>1372</v>
      </c>
      <c r="L59" s="3466"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3466">
        <f>J59+1</f>
        <v>7</v>
      </c>
      <c r="K61" s="3598" t="s">
        <v>1374</v>
      </c>
      <c r="L61" s="3598"/>
      <c r="M61" s="2540"/>
      <c r="N61" s="2541" t="e">
        <f ca="1">ROUND(N59*10000/'数据-汇总表'!E3,0)</f>
        <v>#VALUE!</v>
      </c>
      <c r="O61" s="2542"/>
    </row>
    <row r="62" spans="1:35" ht="12.75">
      <c r="A62" s="3617" t="s">
        <v>1375</v>
      </c>
      <c r="B62" s="3618"/>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3470" t="s">
        <v>1380</v>
      </c>
      <c r="L63" s="3470"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3470" t="s">
        <v>1382</v>
      </c>
      <c r="L64" s="347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3470" t="s">
        <v>1385</v>
      </c>
      <c r="L65" s="3470"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3470" t="s">
        <v>1387</v>
      </c>
      <c r="L66" s="3470"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3470" t="s">
        <v>1390</v>
      </c>
      <c r="L67" s="347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3470" t="s">
        <v>1392</v>
      </c>
      <c r="L68" s="3470"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3470" t="s">
        <v>1393</v>
      </c>
      <c r="L69" s="3470"/>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9"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69"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583" t="s">
        <v>2128</v>
      </c>
      <c r="H90" s="358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69"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比较法-住宅</v>
      </c>
      <c r="D101" s="2586" t="str">
        <f>D4</f>
        <v>收益法</v>
      </c>
      <c r="E101" s="3577" t="s">
        <v>1431</v>
      </c>
      <c r="F101" s="3578"/>
      <c r="G101" s="1827" t="s">
        <v>1432</v>
      </c>
      <c r="H101" s="2595" t="e">
        <f ca="1">H118</f>
        <v>#REF!</v>
      </c>
      <c r="I101" s="129"/>
    </row>
    <row r="102" spans="1:35" ht="18.75" customHeight="1">
      <c r="A102" s="3609" t="s">
        <v>1433</v>
      </c>
      <c r="B102" s="2584" t="s">
        <v>1432</v>
      </c>
      <c r="C102" s="2585">
        <f ca="1">IF(D32="楼面单价",ROUND(C19,0),C19)</f>
        <v>18500</v>
      </c>
      <c r="D102" s="2586">
        <f ca="1">IF(D32="楼面单价",ROUND(D19,0),D19)</f>
        <v>10745</v>
      </c>
      <c r="E102" s="3577"/>
      <c r="F102" s="3578"/>
      <c r="G102" s="1827" t="s">
        <v>1434</v>
      </c>
      <c r="H102" s="2555" t="e">
        <f ca="1">I118</f>
        <v>#REF!</v>
      </c>
      <c r="I102" s="129"/>
    </row>
    <row r="103" spans="1:35" ht="42.75" customHeight="1">
      <c r="A103" s="3609"/>
      <c r="B103" s="2584" t="s">
        <v>1434</v>
      </c>
      <c r="C103" s="2587">
        <f ca="1">C20</f>
        <v>60000</v>
      </c>
      <c r="D103" s="2588">
        <f ca="1">D20</f>
        <v>34848</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5" t="s">
        <v>1449</v>
      </c>
      <c r="E117" s="3455" t="s">
        <v>1450</v>
      </c>
      <c r="F117" s="3455" t="s">
        <v>1449</v>
      </c>
      <c r="G117" s="3455" t="s">
        <v>1451</v>
      </c>
      <c r="H117" s="3455" t="s">
        <v>1449</v>
      </c>
      <c r="I117" s="3455" t="s">
        <v>1451</v>
      </c>
    </row>
    <row r="118" spans="1:27" ht="24.75" customHeight="1">
      <c r="A118" s="2600" t="str">
        <f>项目基本情况!S2</f>
        <v>房地产</v>
      </c>
      <c r="B118" s="3455">
        <f>M18</f>
        <v>3083.37</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I48" sqref="I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6" t="s">
        <v>3417</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18500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60000</v>
      </c>
      <c r="C3" s="354" t="s">
        <v>1665</v>
      </c>
      <c r="D3" s="353">
        <f>IF(D1="",'数据-汇总表'!E3,SUMIF('数据-汇总表'!$C19:$C33,D1,'数据-汇总表'!$E19:$E33))</f>
        <v>3083.37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698" t="s">
        <v>1668</v>
      </c>
      <c r="S4" s="3699"/>
      <c r="T4" s="3698" t="s">
        <v>1669</v>
      </c>
      <c r="U4" s="3699"/>
      <c r="V4" s="3723" t="s">
        <v>1670</v>
      </c>
      <c r="W4" s="3723"/>
      <c r="X4" s="1355"/>
      <c r="Y4" s="3698" t="s">
        <v>1672</v>
      </c>
      <c r="Z4" s="3699"/>
      <c r="AA4" s="3693" t="s">
        <v>1668</v>
      </c>
      <c r="AB4" s="3693" t="s">
        <v>1669</v>
      </c>
      <c r="AC4" s="3693" t="s">
        <v>1670</v>
      </c>
    </row>
    <row r="5" spans="1:29" ht="15">
      <c r="A5" s="358"/>
      <c r="B5" s="359"/>
      <c r="C5" s="3704" t="s">
        <v>1673</v>
      </c>
      <c r="D5" s="3705"/>
      <c r="E5" s="3702" t="s">
        <v>1674</v>
      </c>
      <c r="F5" s="3703"/>
      <c r="G5" s="3704" t="s">
        <v>1675</v>
      </c>
      <c r="H5" s="3705"/>
      <c r="I5" s="3704" t="s">
        <v>1676</v>
      </c>
      <c r="J5" s="3705"/>
      <c r="K5" s="1890"/>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1890"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45362</v>
      </c>
      <c r="D7" s="365">
        <v>100</v>
      </c>
      <c r="E7" s="366">
        <f>C7</f>
        <v>45362</v>
      </c>
      <c r="F7" s="367">
        <f>SUMIF(58:58,YEAR(E7)&amp;"-"&amp;MONTH(E7),59:59)</f>
        <v>100</v>
      </c>
      <c r="G7" s="366">
        <f>C7</f>
        <v>45362</v>
      </c>
      <c r="H7" s="365">
        <f>SUMIF(58:58,YEAR(G7)&amp;"-"&amp;MONTH(G7),59:59)</f>
        <v>100</v>
      </c>
      <c r="I7" s="366">
        <f>C7</f>
        <v>45362</v>
      </c>
      <c r="J7" s="365">
        <f>SUMIF(58:58,YEAR(I7)&amp;"-"&amp;MONTH(I7),59:59)</f>
        <v>100</v>
      </c>
      <c r="K7" s="1891"/>
      <c r="L7" s="2717"/>
      <c r="M7" s="2718"/>
      <c r="N7" s="2718"/>
      <c r="O7" s="2718"/>
      <c r="P7" s="3696" t="s">
        <v>1680</v>
      </c>
      <c r="Q7" s="3724"/>
      <c r="R7" s="701" t="s">
        <v>20</v>
      </c>
      <c r="S7" s="702">
        <f t="shared" ref="S7:S15" si="0">F7</f>
        <v>100</v>
      </c>
      <c r="T7" s="701" t="s">
        <v>20</v>
      </c>
      <c r="U7" s="702">
        <f t="shared" ref="U7:U15" si="1">H7</f>
        <v>100</v>
      </c>
      <c r="V7" s="701" t="s">
        <v>20</v>
      </c>
      <c r="W7" s="702">
        <f t="shared" ref="W7:W15" si="2">J7</f>
        <v>100</v>
      </c>
      <c r="X7" s="703"/>
      <c r="Y7" s="3696" t="s">
        <v>1680</v>
      </c>
      <c r="Z7" s="3697"/>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1"/>
      <c r="M11" s="2716"/>
      <c r="N11" s="2716"/>
      <c r="O11" s="2716"/>
      <c r="P11" s="3710"/>
      <c r="Q11" s="1343" t="str">
        <f t="shared" si="6"/>
        <v>容积率</v>
      </c>
      <c r="R11" s="701" t="s">
        <v>18</v>
      </c>
      <c r="S11" s="702">
        <f t="shared" si="0"/>
        <v>100</v>
      </c>
      <c r="T11" s="701" t="s">
        <v>18</v>
      </c>
      <c r="U11" s="702">
        <f t="shared" si="1"/>
        <v>100</v>
      </c>
      <c r="V11" s="701" t="s">
        <v>18</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7" t="s">
        <v>1691</v>
      </c>
      <c r="Q15" s="1352" t="str">
        <f t="shared" si="6"/>
        <v>居住社区成熟度</v>
      </c>
      <c r="R15" s="705" t="s">
        <v>18</v>
      </c>
      <c r="S15" s="706">
        <f t="shared" si="0"/>
        <v>100</v>
      </c>
      <c r="T15" s="705" t="s">
        <v>18</v>
      </c>
      <c r="U15" s="706">
        <f t="shared" si="1"/>
        <v>100</v>
      </c>
      <c r="V15" s="705" t="s">
        <v>18</v>
      </c>
      <c r="W15" s="706">
        <f t="shared" si="2"/>
        <v>100</v>
      </c>
      <c r="X15" s="1355"/>
      <c r="Y15" s="373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8"/>
      <c r="Q16" s="1352"/>
      <c r="R16" s="705"/>
      <c r="S16" s="706"/>
      <c r="T16" s="705"/>
      <c r="U16" s="706"/>
      <c r="V16" s="705"/>
      <c r="W16" s="706"/>
      <c r="X16" s="1355"/>
      <c r="Y16" s="373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8"/>
      <c r="Q17" s="1352" t="str">
        <f>B17</f>
        <v>交通便捷度</v>
      </c>
      <c r="R17" s="705" t="s">
        <v>18</v>
      </c>
      <c r="S17" s="706">
        <f>F17</f>
        <v>100</v>
      </c>
      <c r="T17" s="705" t="s">
        <v>18</v>
      </c>
      <c r="U17" s="706">
        <f>H17</f>
        <v>100</v>
      </c>
      <c r="V17" s="705" t="s">
        <v>18</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8"/>
      <c r="Q19" s="1352" t="str">
        <f>B19</f>
        <v>公共配套设施</v>
      </c>
      <c r="R19" s="705" t="s">
        <v>18</v>
      </c>
      <c r="S19" s="706">
        <f>F19</f>
        <v>100</v>
      </c>
      <c r="T19" s="705" t="s">
        <v>18</v>
      </c>
      <c r="U19" s="706">
        <f>H19</f>
        <v>100</v>
      </c>
      <c r="V19" s="705" t="s">
        <v>18</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8"/>
      <c r="Q22" s="1352"/>
      <c r="R22" s="705"/>
      <c r="S22" s="706"/>
      <c r="T22" s="705"/>
      <c r="U22" s="706"/>
      <c r="V22" s="705"/>
      <c r="W22" s="706"/>
      <c r="X22" s="1355"/>
      <c r="Y22" s="373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8"/>
      <c r="Q23" s="1352" t="str">
        <f>B23</f>
        <v>自然及人文环境</v>
      </c>
      <c r="R23" s="705" t="s">
        <v>18</v>
      </c>
      <c r="S23" s="706">
        <f>F23</f>
        <v>100</v>
      </c>
      <c r="T23" s="705" t="s">
        <v>18</v>
      </c>
      <c r="U23" s="706">
        <f>H23</f>
        <v>100</v>
      </c>
      <c r="V23" s="705" t="s">
        <v>18</v>
      </c>
      <c r="W23" s="706">
        <f>J23</f>
        <v>100</v>
      </c>
      <c r="X23" s="1355"/>
      <c r="Y23" s="373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8"/>
      <c r="Q26" s="1352" t="str">
        <f t="shared" si="11"/>
        <v>朝向</v>
      </c>
      <c r="R26" s="705" t="s">
        <v>18</v>
      </c>
      <c r="S26" s="706">
        <f t="shared" si="12"/>
        <v>100</v>
      </c>
      <c r="T26" s="705" t="s">
        <v>18</v>
      </c>
      <c r="U26" s="706">
        <f t="shared" si="13"/>
        <v>100</v>
      </c>
      <c r="V26" s="705" t="s">
        <v>18</v>
      </c>
      <c r="W26" s="706">
        <f t="shared" si="14"/>
        <v>100</v>
      </c>
      <c r="X26" s="1355"/>
      <c r="Y26" s="373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8"/>
      <c r="Q27" s="1343">
        <f t="shared" si="11"/>
        <v>111</v>
      </c>
      <c r="R27" s="701" t="s">
        <v>18</v>
      </c>
      <c r="S27" s="702">
        <f t="shared" si="12"/>
        <v>100</v>
      </c>
      <c r="T27" s="701" t="s">
        <v>18</v>
      </c>
      <c r="U27" s="702">
        <f t="shared" si="13"/>
        <v>100</v>
      </c>
      <c r="V27" s="701" t="s">
        <v>18</v>
      </c>
      <c r="W27" s="702">
        <f t="shared" si="14"/>
        <v>100</v>
      </c>
      <c r="X27" s="703"/>
      <c r="Y27" s="373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8"/>
      <c r="Q28" s="1352">
        <f t="shared" si="11"/>
        <v>111</v>
      </c>
      <c r="R28" s="705" t="s">
        <v>18</v>
      </c>
      <c r="S28" s="706">
        <f t="shared" si="12"/>
        <v>100</v>
      </c>
      <c r="T28" s="705" t="s">
        <v>18</v>
      </c>
      <c r="U28" s="706">
        <f t="shared" si="13"/>
        <v>100</v>
      </c>
      <c r="V28" s="705" t="s">
        <v>18</v>
      </c>
      <c r="W28" s="706">
        <f t="shared" si="14"/>
        <v>100</v>
      </c>
      <c r="X28" s="1355"/>
      <c r="Y28" s="373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8"/>
      <c r="Q29" s="1352">
        <f t="shared" si="11"/>
        <v>111</v>
      </c>
      <c r="R29" s="705" t="s">
        <v>18</v>
      </c>
      <c r="S29" s="706">
        <f t="shared" si="12"/>
        <v>100</v>
      </c>
      <c r="T29" s="705" t="s">
        <v>18</v>
      </c>
      <c r="U29" s="706">
        <f t="shared" si="13"/>
        <v>100</v>
      </c>
      <c r="V29" s="705" t="s">
        <v>18</v>
      </c>
      <c r="W29" s="706">
        <f t="shared" si="14"/>
        <v>100</v>
      </c>
      <c r="X29" s="1355"/>
      <c r="Y29" s="373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8"/>
      <c r="Q30" s="1352">
        <f t="shared" si="11"/>
        <v>111</v>
      </c>
      <c r="R30" s="705" t="s">
        <v>18</v>
      </c>
      <c r="S30" s="706">
        <f t="shared" si="12"/>
        <v>100</v>
      </c>
      <c r="T30" s="705" t="s">
        <v>18</v>
      </c>
      <c r="U30" s="706">
        <f t="shared" si="13"/>
        <v>100</v>
      </c>
      <c r="V30" s="705" t="s">
        <v>18</v>
      </c>
      <c r="W30" s="706">
        <f t="shared" si="14"/>
        <v>100</v>
      </c>
      <c r="X30" s="1355"/>
      <c r="Y30" s="373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8"/>
      <c r="Q31" s="1352">
        <f t="shared" si="11"/>
        <v>111</v>
      </c>
      <c r="R31" s="705" t="s">
        <v>18</v>
      </c>
      <c r="S31" s="706">
        <f t="shared" si="12"/>
        <v>100</v>
      </c>
      <c r="T31" s="705" t="s">
        <v>18</v>
      </c>
      <c r="U31" s="706">
        <f t="shared" si="13"/>
        <v>100</v>
      </c>
      <c r="V31" s="705" t="s">
        <v>18</v>
      </c>
      <c r="W31" s="706">
        <f t="shared" si="14"/>
        <v>100</v>
      </c>
      <c r="X31" s="1355"/>
      <c r="Y31" s="373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2" t="s">
        <v>1696</v>
      </c>
      <c r="Q32" s="1352" t="str">
        <f t="shared" si="11"/>
        <v>建筑类型</v>
      </c>
      <c r="R32" s="705" t="s">
        <v>18</v>
      </c>
      <c r="S32" s="706">
        <f t="shared" si="12"/>
        <v>100</v>
      </c>
      <c r="T32" s="705" t="s">
        <v>18</v>
      </c>
      <c r="U32" s="706">
        <f t="shared" si="13"/>
        <v>100</v>
      </c>
      <c r="V32" s="705" t="s">
        <v>18</v>
      </c>
      <c r="W32" s="706">
        <f t="shared" si="14"/>
        <v>100</v>
      </c>
      <c r="X32" s="1355"/>
      <c r="Y32" s="373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21"/>
      <c r="M33" s="2723"/>
      <c r="N33" s="2723"/>
      <c r="O33" s="2723"/>
      <c r="P33" s="3733"/>
      <c r="Q33" s="707" t="str">
        <f t="shared" si="11"/>
        <v>项目建筑规模</v>
      </c>
      <c r="R33" s="708" t="s">
        <v>18</v>
      </c>
      <c r="S33" s="709">
        <f t="shared" si="12"/>
        <v>100</v>
      </c>
      <c r="T33" s="708" t="s">
        <v>18</v>
      </c>
      <c r="U33" s="709">
        <f t="shared" si="13"/>
        <v>100</v>
      </c>
      <c r="V33" s="708" t="s">
        <v>18</v>
      </c>
      <c r="W33" s="709">
        <f t="shared" si="14"/>
        <v>100</v>
      </c>
      <c r="X33" s="710"/>
      <c r="Y33" s="3735"/>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73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73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735"/>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7"/>
      <c r="M37" s="2718"/>
      <c r="N37" s="2718"/>
      <c r="O37" s="2718"/>
      <c r="P37" s="3733"/>
      <c r="Q37" s="1343" t="str">
        <f t="shared" si="11"/>
        <v>成新度</v>
      </c>
      <c r="R37" s="701" t="s">
        <v>18</v>
      </c>
      <c r="S37" s="702">
        <f t="shared" si="12"/>
        <v>100</v>
      </c>
      <c r="T37" s="701" t="s">
        <v>18</v>
      </c>
      <c r="U37" s="702">
        <f t="shared" si="13"/>
        <v>100</v>
      </c>
      <c r="V37" s="701" t="s">
        <v>18</v>
      </c>
      <c r="W37" s="702">
        <f t="shared" si="14"/>
        <v>100</v>
      </c>
      <c r="X37" s="703"/>
      <c r="Y37" s="3735"/>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3" t="s">
        <v>1696</v>
      </c>
      <c r="Q38" s="1352" t="str">
        <f t="shared" si="11"/>
        <v>物业管理</v>
      </c>
      <c r="R38" s="705" t="s">
        <v>18</v>
      </c>
      <c r="S38" s="706">
        <f t="shared" si="12"/>
        <v>100</v>
      </c>
      <c r="T38" s="705" t="s">
        <v>18</v>
      </c>
      <c r="U38" s="706">
        <f t="shared" si="13"/>
        <v>100</v>
      </c>
      <c r="V38" s="705" t="s">
        <v>18</v>
      </c>
      <c r="W38" s="706">
        <f t="shared" si="14"/>
        <v>100</v>
      </c>
      <c r="X38" s="1355"/>
      <c r="Y38" s="373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73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73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73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3"/>
      <c r="Q42" s="1352" t="str">
        <f t="shared" si="11"/>
        <v>内部装修</v>
      </c>
      <c r="R42" s="705" t="s">
        <v>18</v>
      </c>
      <c r="S42" s="706">
        <f t="shared" si="12"/>
        <v>100</v>
      </c>
      <c r="T42" s="705" t="s">
        <v>18</v>
      </c>
      <c r="U42" s="706">
        <f t="shared" si="13"/>
        <v>100</v>
      </c>
      <c r="V42" s="705" t="s">
        <v>18</v>
      </c>
      <c r="W42" s="706">
        <f t="shared" si="14"/>
        <v>100</v>
      </c>
      <c r="X42" s="1355"/>
      <c r="Y42" s="373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73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3"/>
      <c r="Q44" s="1343">
        <f t="shared" si="11"/>
        <v>111</v>
      </c>
      <c r="R44" s="701" t="s">
        <v>18</v>
      </c>
      <c r="S44" s="702">
        <f t="shared" si="12"/>
        <v>100</v>
      </c>
      <c r="T44" s="701" t="s">
        <v>18</v>
      </c>
      <c r="U44" s="702">
        <f t="shared" si="13"/>
        <v>100</v>
      </c>
      <c r="V44" s="701" t="s">
        <v>18</v>
      </c>
      <c r="W44" s="702">
        <f t="shared" si="14"/>
        <v>100</v>
      </c>
      <c r="X44" s="703"/>
      <c r="Y44" s="373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73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6"/>
      <c r="Z46" s="1356">
        <f t="shared" si="18"/>
        <v>111</v>
      </c>
      <c r="AA46" s="1353">
        <f t="shared" si="15"/>
        <v>1</v>
      </c>
      <c r="AB46" s="1353">
        <f t="shared" si="16"/>
        <v>1</v>
      </c>
      <c r="AC46" s="1353">
        <f t="shared" si="17"/>
        <v>1</v>
      </c>
    </row>
    <row r="47" spans="1:29" ht="15">
      <c r="A47" s="430" t="s">
        <v>1708</v>
      </c>
      <c r="B47" s="431"/>
      <c r="C47" s="1154" t="s">
        <v>16</v>
      </c>
      <c r="D47" s="1155"/>
      <c r="E47" s="1156">
        <v>60000</v>
      </c>
      <c r="F47" s="1157"/>
      <c r="G47" s="1158">
        <f>E47</f>
        <v>60000</v>
      </c>
      <c r="H47" s="1159"/>
      <c r="I47" s="1156">
        <f>E47</f>
        <v>60000</v>
      </c>
      <c r="J47" s="1159"/>
      <c r="K47" s="1914"/>
      <c r="L47" s="2724"/>
      <c r="M47" s="2725"/>
      <c r="N47" s="2716"/>
      <c r="O47" s="2725"/>
      <c r="P47" s="3728" t="str">
        <f>A47</f>
        <v>成交单价（元/平方米）</v>
      </c>
      <c r="Q47" s="3728"/>
      <c r="R47" s="3729">
        <f>E47</f>
        <v>60000</v>
      </c>
      <c r="S47" s="3729"/>
      <c r="T47" s="3729">
        <f>G47</f>
        <v>60000</v>
      </c>
      <c r="U47" s="3729"/>
      <c r="V47" s="3729">
        <f>I47</f>
        <v>60000</v>
      </c>
      <c r="W47" s="3729"/>
      <c r="X47" s="690"/>
      <c r="Y47" s="712"/>
      <c r="Z47" s="690"/>
      <c r="AA47" s="690"/>
      <c r="AB47" s="690"/>
      <c r="AC47" s="690"/>
    </row>
    <row r="48" spans="1:29" ht="15.75" thickBot="1">
      <c r="A48" s="437" t="s">
        <v>1709</v>
      </c>
      <c r="B48" s="438"/>
      <c r="C48" s="1160">
        <f>R49</f>
        <v>60000</v>
      </c>
      <c r="D48" s="2317" t="s">
        <v>2137</v>
      </c>
      <c r="E48" s="1161">
        <f>R48</f>
        <v>60000</v>
      </c>
      <c r="F48" s="2318"/>
      <c r="G48" s="1160">
        <f>T48</f>
        <v>60000</v>
      </c>
      <c r="H48" s="2318"/>
      <c r="I48" s="1161">
        <f>V48</f>
        <v>60000</v>
      </c>
      <c r="J48" s="2318"/>
      <c r="K48" s="2319">
        <f>F48+H48+J48</f>
        <v>0</v>
      </c>
      <c r="L48" s="2724"/>
      <c r="M48" s="2725"/>
      <c r="N48" s="2725"/>
      <c r="O48" s="2725"/>
      <c r="P48" s="3728" t="str">
        <f>A48</f>
        <v>比较价值（元/平方米）</v>
      </c>
      <c r="Q48" s="3728"/>
      <c r="R48" s="3729">
        <f>IF(F1="售价",ROUND(PRODUCT(R47,AA7:AA46),0),ROUND(PRODUCT(R47,AA7:AA46),1))</f>
        <v>60000</v>
      </c>
      <c r="S48" s="3729"/>
      <c r="T48" s="3729">
        <f>IF(F1="售价",ROUND(PRODUCT(T47,AB7:AB46),0),ROUND(PRODUCT(T47,AB7:AB46),1))</f>
        <v>60000</v>
      </c>
      <c r="U48" s="3729"/>
      <c r="V48" s="3729">
        <f>IF(F1="售价",ROUND(PRODUCT(V47,AC7:AC46),0),ROUND(PRODUCT(V47,AC7:AC46),1))</f>
        <v>60000</v>
      </c>
      <c r="W48" s="3729"/>
      <c r="X48" s="690"/>
      <c r="Y48" s="690"/>
      <c r="Z48" s="690"/>
      <c r="AA48" s="690"/>
      <c r="AB48" s="690"/>
      <c r="AC48" s="690"/>
    </row>
    <row r="49" spans="1:29" ht="15.75" thickBot="1">
      <c r="A49" s="441" t="s">
        <v>1710</v>
      </c>
      <c r="B49" s="442"/>
      <c r="C49" s="1162">
        <f>R49</f>
        <v>60000</v>
      </c>
      <c r="D49" s="1163"/>
      <c r="E49" s="1163"/>
      <c r="F49" s="1163"/>
      <c r="G49" s="1163"/>
      <c r="H49" s="1163"/>
      <c r="I49" s="1163"/>
      <c r="J49" s="1163"/>
      <c r="K49" s="1915"/>
      <c r="L49" s="2724"/>
      <c r="M49" s="2725"/>
      <c r="N49" s="2725"/>
      <c r="O49" s="2725"/>
      <c r="P49" s="3725" t="str">
        <f>A49</f>
        <v>估价对象XX用房的比较价值（楼面单价，元/平方米）</v>
      </c>
      <c r="Q49" s="3726"/>
      <c r="R49" s="3727">
        <f>IF(F1="售价",ROUND(IF(D48="简单平均",AVERAGE(R48:V48),R48*F48+T48*H48+V48*J48),0),ROUND(IF(D48="简单平均",AVERAGE(R48:V48),R48*F48+T48*H48+V48*J48),1))</f>
        <v>60000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row>
    <row r="53" spans="1:29" ht="13.5" customHeight="1">
      <c r="A53" s="2725"/>
      <c r="B53" s="2725"/>
      <c r="C53" s="446" t="s">
        <v>1712</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0</v>
      </c>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7" priority="19" stopIfTrue="1" operator="containsText" text="超过">
      <formula>NOT(ISERROR(SEARCH("超过",F52)))</formula>
    </cfRule>
  </conditionalFormatting>
  <conditionalFormatting sqref="J54">
    <cfRule type="containsText" dxfId="186" priority="18" stopIfTrue="1" operator="containsText" text="超过">
      <formula>NOT(ISERROR(SEARCH("超过",J54)))</formula>
    </cfRule>
  </conditionalFormatting>
  <conditionalFormatting sqref="H54">
    <cfRule type="containsText" dxfId="185" priority="17" stopIfTrue="1" operator="containsText" text="超过">
      <formula>NOT(ISERROR(SEARCH("超过",H54)))</formula>
    </cfRule>
  </conditionalFormatting>
  <conditionalFormatting sqref="F54">
    <cfRule type="containsText" dxfId="184" priority="16" stopIfTrue="1" operator="containsText" text="超过">
      <formula>NOT(ISERROR(SEARCH("超过",F54)))</formula>
    </cfRule>
  </conditionalFormatting>
  <conditionalFormatting sqref="F53 H53 J53">
    <cfRule type="containsText" dxfId="183" priority="15" stopIfTrue="1" operator="containsText" text="超过">
      <formula>NOT(ISERROR(SEARCH("超过",F53)))</formula>
    </cfRule>
  </conditionalFormatting>
  <conditionalFormatting sqref="E52">
    <cfRule type="expression" dxfId="182" priority="14" stopIfTrue="1">
      <formula>$F$52="超过30%"</formula>
    </cfRule>
  </conditionalFormatting>
  <conditionalFormatting sqref="G54">
    <cfRule type="expression" dxfId="181" priority="12" stopIfTrue="1">
      <formula>$H$54="超过30%"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G52">
    <cfRule type="expression" dxfId="178" priority="9" stopIfTrue="1">
      <formula>$H$52="超过30%"</formula>
    </cfRule>
  </conditionalFormatting>
  <conditionalFormatting sqref="G53">
    <cfRule type="expression" dxfId="177" priority="8" stopIfTrue="1">
      <formula>$H$53="超过20%"</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8275.4700000000012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723"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723"/>
      <c r="AC6" s="3695"/>
    </row>
    <row r="7" spans="1:29" s="108" customFormat="1" ht="15.75" thickBot="1">
      <c r="A7" s="362" t="s">
        <v>1679</v>
      </c>
      <c r="B7" s="363"/>
      <c r="C7" s="364">
        <f>'数据-取费表'!B2</f>
        <v>45362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7" t="s">
        <v>1691</v>
      </c>
      <c r="Q15" s="1352" t="str">
        <f t="shared" si="6"/>
        <v>商业繁华度</v>
      </c>
      <c r="R15" s="705" t="s">
        <v>14</v>
      </c>
      <c r="S15" s="706">
        <f t="shared" si="0"/>
        <v>100</v>
      </c>
      <c r="T15" s="705" t="s">
        <v>14</v>
      </c>
      <c r="U15" s="706">
        <f t="shared" si="1"/>
        <v>100</v>
      </c>
      <c r="V15" s="705" t="s">
        <v>14</v>
      </c>
      <c r="W15" s="706">
        <f t="shared" si="2"/>
        <v>100</v>
      </c>
      <c r="X15" s="1355"/>
      <c r="Y15" s="373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8"/>
      <c r="Q22" s="1352"/>
      <c r="R22" s="705"/>
      <c r="S22" s="706"/>
      <c r="T22" s="705"/>
      <c r="U22" s="706"/>
      <c r="V22" s="705"/>
      <c r="W22" s="706"/>
      <c r="X22" s="1355"/>
      <c r="Y22" s="373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8"/>
      <c r="Q23" s="1352" t="str">
        <f>B23</f>
        <v>自然及人文环境</v>
      </c>
      <c r="R23" s="705" t="s">
        <v>14</v>
      </c>
      <c r="S23" s="706">
        <f>F23</f>
        <v>100</v>
      </c>
      <c r="T23" s="705" t="s">
        <v>14</v>
      </c>
      <c r="U23" s="706">
        <f>H23</f>
        <v>100</v>
      </c>
      <c r="V23" s="705" t="s">
        <v>14</v>
      </c>
      <c r="W23" s="706">
        <f>J23</f>
        <v>100</v>
      </c>
      <c r="X23" s="1355"/>
      <c r="Y23" s="373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8"/>
      <c r="Q25" s="1352" t="str">
        <f t="shared" ref="Q25:Q46" si="11">B25</f>
        <v>临街状况</v>
      </c>
      <c r="R25" s="705" t="s">
        <v>14</v>
      </c>
      <c r="S25" s="706">
        <f>F25</f>
        <v>100</v>
      </c>
      <c r="T25" s="705" t="s">
        <v>14</v>
      </c>
      <c r="U25" s="706">
        <f>H25</f>
        <v>100</v>
      </c>
      <c r="V25" s="705" t="s">
        <v>14</v>
      </c>
      <c r="W25" s="706">
        <f>J25</f>
        <v>100</v>
      </c>
      <c r="X25" s="1355"/>
      <c r="Y25" s="373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8"/>
      <c r="Q26" s="1352" t="str">
        <f t="shared" si="11"/>
        <v>平面位置/可视性</v>
      </c>
      <c r="R26" s="705" t="s">
        <v>14</v>
      </c>
      <c r="S26" s="706">
        <f>F26</f>
        <v>100</v>
      </c>
      <c r="T26" s="705" t="s">
        <v>14</v>
      </c>
      <c r="U26" s="706">
        <f>H26</f>
        <v>100</v>
      </c>
      <c r="V26" s="705" t="s">
        <v>14</v>
      </c>
      <c r="W26" s="706">
        <f>J26</f>
        <v>100</v>
      </c>
      <c r="X26" s="1355"/>
      <c r="Y26" s="373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8"/>
      <c r="Q27" s="1343" t="str">
        <f t="shared" si="11"/>
        <v>人流量</v>
      </c>
      <c r="R27" s="701" t="s">
        <v>14</v>
      </c>
      <c r="S27" s="702">
        <f>F27</f>
        <v>100</v>
      </c>
      <c r="T27" s="701" t="s">
        <v>14</v>
      </c>
      <c r="U27" s="702">
        <f>H27</f>
        <v>100</v>
      </c>
      <c r="V27" s="701" t="s">
        <v>14</v>
      </c>
      <c r="W27" s="702">
        <f>J27</f>
        <v>100</v>
      </c>
      <c r="X27" s="703"/>
      <c r="Y27" s="373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8"/>
      <c r="Q29" s="1352">
        <f t="shared" si="11"/>
        <v>111</v>
      </c>
      <c r="R29" s="705" t="s">
        <v>14</v>
      </c>
      <c r="S29" s="706">
        <f t="shared" si="12"/>
        <v>100</v>
      </c>
      <c r="T29" s="705" t="s">
        <v>14</v>
      </c>
      <c r="U29" s="706">
        <f t="shared" si="13"/>
        <v>100</v>
      </c>
      <c r="V29" s="705" t="s">
        <v>14</v>
      </c>
      <c r="W29" s="706">
        <f t="shared" si="14"/>
        <v>100</v>
      </c>
      <c r="X29" s="1355"/>
      <c r="Y29" s="373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1696</v>
      </c>
      <c r="Q32" s="1352" t="str">
        <f t="shared" si="11"/>
        <v>商业类型</v>
      </c>
      <c r="R32" s="705" t="s">
        <v>14</v>
      </c>
      <c r="S32" s="706">
        <f t="shared" si="12"/>
        <v>100</v>
      </c>
      <c r="T32" s="705" t="s">
        <v>14</v>
      </c>
      <c r="U32" s="706">
        <f t="shared" si="13"/>
        <v>100</v>
      </c>
      <c r="V32" s="705" t="s">
        <v>14</v>
      </c>
      <c r="W32" s="706">
        <f t="shared" si="14"/>
        <v>100</v>
      </c>
      <c r="X32" s="1355"/>
      <c r="Y32" s="373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73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73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73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73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73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1696</v>
      </c>
      <c r="Q38" s="1352" t="str">
        <f t="shared" si="11"/>
        <v>业态</v>
      </c>
      <c r="R38" s="705" t="s">
        <v>14</v>
      </c>
      <c r="S38" s="706">
        <f t="shared" si="12"/>
        <v>100</v>
      </c>
      <c r="T38" s="705" t="s">
        <v>14</v>
      </c>
      <c r="U38" s="706">
        <f t="shared" si="13"/>
        <v>100</v>
      </c>
      <c r="V38" s="705" t="s">
        <v>14</v>
      </c>
      <c r="W38" s="706">
        <f t="shared" si="14"/>
        <v>100</v>
      </c>
      <c r="X38" s="1355"/>
      <c r="Y38" s="373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73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73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73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73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73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73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73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8" t="str">
        <f>A47</f>
        <v>成交单价（元/平方米）</v>
      </c>
      <c r="Q47" s="3728"/>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9" priority="21" stopIfTrue="1" operator="containsText" text="超过">
      <formula>NOT(ISERROR(SEARCH("超过",F52)))</formula>
    </cfRule>
  </conditionalFormatting>
  <conditionalFormatting sqref="H54">
    <cfRule type="containsText" dxfId="168" priority="19" stopIfTrue="1" operator="containsText" text="超过">
      <formula>NOT(ISERROR(SEARCH("超过",H54)))</formula>
    </cfRule>
  </conditionalFormatting>
  <conditionalFormatting sqref="F54">
    <cfRule type="containsText" dxfId="167" priority="18" stopIfTrue="1" operator="containsText" text="超过">
      <formula>NOT(ISERROR(SEARCH("超过",F54)))</formula>
    </cfRule>
  </conditionalFormatting>
  <conditionalFormatting sqref="F53 H53">
    <cfRule type="containsText" dxfId="166" priority="17" stopIfTrue="1" operator="containsText" text="超过">
      <formula>NOT(ISERROR(SEARCH("超过",F53)))</formula>
    </cfRule>
  </conditionalFormatting>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G54">
    <cfRule type="expression" dxfId="162" priority="13" stopIfTrue="1">
      <formula>$H$54="超过30%"</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J52">
    <cfRule type="containsText" dxfId="159" priority="10" stopIfTrue="1" operator="containsText" text="超过">
      <formula>NOT(ISERROR(SEARCH("超过",J52)))</formula>
    </cfRule>
  </conditionalFormatting>
  <conditionalFormatting sqref="J54">
    <cfRule type="containsText" dxfId="158" priority="9" stopIfTrue="1" operator="containsText" text="超过">
      <formula>NOT(ISERROR(SEARCH("超过",J54)))</formula>
    </cfRule>
  </conditionalFormatting>
  <conditionalFormatting sqref="J53">
    <cfRule type="containsText" dxfId="157" priority="8" stopIfTrue="1" operator="containsText" text="超过">
      <formula>NOT(ISERROR(SEARCH("超过",J53)))</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估价对象为房地产，为所有。根据《国有土地使用证》[]，估价对象（分摊）出让国有建设用地使用权面积为0平方米，建筑面积为8275.47平方米。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估价对象为房地产,属开发建设的，该项目尚在开发建设中。根据《国有土地使用证》[]，估价对象（分摊）出让国有建设用地使用权面积为0平方米，规划建筑面积为8275.47平方米。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3" width="12.625" style="1753" customWidth="1"/>
    <col min="4" max="4" width="14.37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3419</v>
      </c>
      <c r="D4" s="1756" t="s">
        <v>3413</v>
      </c>
      <c r="E4" s="3646" t="s">
        <v>1267</v>
      </c>
      <c r="F4" s="3647"/>
      <c r="G4" s="3647"/>
      <c r="H4" s="3647"/>
      <c r="I4" s="3648"/>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6</v>
      </c>
      <c r="D14" s="3631">
        <v>4</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8275.4700000000012</v>
      </c>
      <c r="M18" s="302">
        <f>IF(C1="",'数据-汇总表'!E3,SUMIF(项目类型,C1,'数据-汇总表'!E17:E26))</f>
        <v>8275.4700000000012</v>
      </c>
    </row>
    <row r="19" spans="1:36" ht="15">
      <c r="A19" s="1761" t="s">
        <v>1290</v>
      </c>
      <c r="B19" s="1762" t="s">
        <v>1291</v>
      </c>
      <c r="C19" s="134">
        <f ca="1">SUMIF(INDIRECT("'"&amp;C4&amp;"'"&amp;"!A:A"),'结果表(办公)'!B19,INDIRECT("'"&amp;C4&amp;"'"&amp;"!B:B"))</f>
        <v>23364</v>
      </c>
      <c r="D19" s="135">
        <f ca="1">SUMIF(INDIRECT("'"&amp;D4&amp;"'"&amp;"!A:A"),'结果表(办公)'!B19,INDIRECT("'"&amp;D4&amp;"'"&amp;"!B:B"))</f>
        <v>16463</v>
      </c>
      <c r="E19" s="1761" t="s">
        <v>1292</v>
      </c>
      <c r="F19" s="1762" t="s">
        <v>1291</v>
      </c>
      <c r="G19" s="136">
        <f ca="1">ROUND(C19*$C$18+D19*$D$18,0)</f>
        <v>20604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SUMIF(INDIRECT("'"&amp;C4&amp;"'"&amp;"!A:A"),'结果表(办公)'!B20,INDIRECT("'"&amp;C4&amp;"'"&amp;"!B:B"))</f>
        <v>45000</v>
      </c>
      <c r="D20" s="138">
        <f ca="1">SUMIF(INDIRECT("'"&amp;D4&amp;"'"&amp;"!A:A"),'结果表(办公)'!B20,INDIRECT("'"&amp;D4&amp;"'"&amp;"!B:B"))</f>
        <v>31708</v>
      </c>
      <c r="E20" s="1764"/>
      <c r="F20" s="1026" t="s">
        <v>1295</v>
      </c>
      <c r="G20" s="139">
        <f ca="1">ROUND(C20*$C$18+D20*$D$18,0)</f>
        <v>39683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0.41918240903844994</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39683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t="e">
        <f ca="1">ROUND(H101*F45,0)</f>
        <v>#REF!</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3466">
        <v>1</v>
      </c>
      <c r="K46" s="3573" t="s">
        <v>1331</v>
      </c>
      <c r="L46" s="3573"/>
      <c r="M46" s="3574"/>
      <c r="N46" s="3574"/>
      <c r="O46" s="3574"/>
    </row>
    <row r="47" spans="1:15" ht="12" customHeight="1">
      <c r="A47" s="160" t="s">
        <v>1332</v>
      </c>
      <c r="B47" s="161"/>
      <c r="C47" s="162"/>
      <c r="D47" s="1087" t="s">
        <v>1333</v>
      </c>
      <c r="E47" s="302" t="s">
        <v>1334</v>
      </c>
      <c r="F47" s="163" t="s">
        <v>1335</v>
      </c>
      <c r="G47" s="2546" t="s">
        <v>1336</v>
      </c>
      <c r="H47" s="2547"/>
      <c r="I47" s="159"/>
      <c r="J47" s="3466">
        <v>2</v>
      </c>
      <c r="K47" s="3573" t="s">
        <v>1337</v>
      </c>
      <c r="L47" s="3573"/>
      <c r="M47" s="3575">
        <f>'数据-取费表'!B2</f>
        <v>45362</v>
      </c>
      <c r="N47" s="3575"/>
      <c r="O47" s="3575"/>
    </row>
    <row r="48" spans="1:15" ht="25.5">
      <c r="A48" s="3635" t="s">
        <v>1338</v>
      </c>
      <c r="B48" s="3636"/>
      <c r="C48" s="3636"/>
      <c r="D48" s="3469" t="b">
        <f>IF(H48="情况1",0,IF(H48="情况2",D52,IF(H48="情况3",D53,IF(H48="情况4",D54))))</f>
        <v>0</v>
      </c>
      <c r="E48" s="3457" t="str">
        <f>IF(H48="情况4","(销售额-原购置价)×税（费）率","销售额×税（费）率")</f>
        <v>销售额×税（费）率</v>
      </c>
      <c r="F48" s="2548">
        <f>IF(H48="情况1","免征",'数据-取费表'!B41)</f>
        <v>5.6000000000000001E-2</v>
      </c>
      <c r="G48" s="2549" t="s">
        <v>1339</v>
      </c>
      <c r="H48" s="2550"/>
      <c r="I48" s="1806"/>
      <c r="J48" s="3466">
        <v>3</v>
      </c>
      <c r="K48" s="3573" t="s">
        <v>1340</v>
      </c>
      <c r="L48" s="3573"/>
      <c r="M48" s="3576" t="e">
        <f ca="1">H101</f>
        <v>#REF!</v>
      </c>
      <c r="N48" s="3576"/>
      <c r="O48" s="3576"/>
    </row>
    <row r="49" spans="1:35" ht="25.5" customHeight="1">
      <c r="A49" s="3461" t="s">
        <v>1341</v>
      </c>
      <c r="B49" s="3621" t="s">
        <v>1342</v>
      </c>
      <c r="C49" s="3621"/>
      <c r="D49" s="1590">
        <v>0</v>
      </c>
      <c r="E49" s="324" t="s">
        <v>1343</v>
      </c>
      <c r="F49" s="3451" t="s">
        <v>28</v>
      </c>
      <c r="G49" s="3604"/>
      <c r="H49" s="2310" t="s">
        <v>2133</v>
      </c>
      <c r="I49" s="2311"/>
      <c r="J49" s="3466">
        <v>4</v>
      </c>
      <c r="K49" s="3573" t="str">
        <f>IF(项目基本情况!E8="房地产抵押价值","房地产抵押价值","抵押担保权已注销时的房地产抵押价值")</f>
        <v>抵押担保权已注销时的房地产抵押价值</v>
      </c>
      <c r="L49" s="3573"/>
      <c r="M49" s="3576" t="str">
        <f>IF(项目基本情况!E8="房地产抵押价值",H107,H109)</f>
        <v>——</v>
      </c>
      <c r="N49" s="3576"/>
      <c r="O49" s="3576"/>
    </row>
    <row r="50" spans="1:35" ht="25.5" customHeight="1">
      <c r="A50" s="2551"/>
      <c r="B50" s="3621" t="s">
        <v>1344</v>
      </c>
      <c r="C50" s="3621"/>
      <c r="D50" s="2552"/>
      <c r="E50" s="332"/>
      <c r="F50" s="3451"/>
      <c r="G50" s="3605"/>
      <c r="H50" s="2312" t="s">
        <v>2134</v>
      </c>
      <c r="I50" s="2311"/>
      <c r="J50" s="3572" t="s">
        <v>1345</v>
      </c>
      <c r="K50" s="3572"/>
      <c r="L50" s="3572"/>
      <c r="M50" s="3572"/>
      <c r="N50" s="3572"/>
      <c r="O50" s="3572"/>
    </row>
    <row r="51" spans="1:35" ht="20.45" customHeight="1">
      <c r="A51" s="2553"/>
      <c r="B51" s="3621" t="s">
        <v>1346</v>
      </c>
      <c r="C51" s="3621"/>
      <c r="D51" s="1087"/>
      <c r="E51" s="327"/>
      <c r="F51" s="3451"/>
      <c r="G51" s="3606"/>
      <c r="H51" s="2312" t="s">
        <v>2135</v>
      </c>
      <c r="I51" s="2311"/>
      <c r="J51" s="3465" t="s">
        <v>1347</v>
      </c>
      <c r="K51" s="3573" t="s">
        <v>1348</v>
      </c>
      <c r="L51" s="3573"/>
      <c r="M51" s="3465" t="s">
        <v>1349</v>
      </c>
      <c r="N51" s="3465" t="s">
        <v>1350</v>
      </c>
      <c r="O51" s="3465" t="s">
        <v>1351</v>
      </c>
    </row>
    <row r="52" spans="1:35" ht="24" customHeight="1">
      <c r="A52" s="3456" t="s">
        <v>1352</v>
      </c>
      <c r="B52" s="3621" t="s">
        <v>1353</v>
      </c>
      <c r="C52" s="3621"/>
      <c r="D52" s="1087" t="e">
        <f ca="1">ROUND(D45*'数据-取费表'!B41/(1+'数据-取费表'!C42),0)</f>
        <v>#REF!</v>
      </c>
      <c r="E52" s="3457" t="s">
        <v>1354</v>
      </c>
      <c r="F52" s="2554">
        <f>'数据-取费表'!B41</f>
        <v>5.6000000000000001E-2</v>
      </c>
      <c r="G52" s="2555"/>
      <c r="H52" s="2544"/>
      <c r="I52" s="1807"/>
      <c r="J52" s="3466">
        <v>1</v>
      </c>
      <c r="K52" s="3598" t="s">
        <v>1355</v>
      </c>
      <c r="L52" s="3598"/>
      <c r="M52" s="2525" t="b">
        <f>D48</f>
        <v>0</v>
      </c>
      <c r="N52" s="3466" t="str">
        <f>E48</f>
        <v>销售额×税（费）率</v>
      </c>
      <c r="O52" s="2526">
        <f>F48</f>
        <v>5.6000000000000001E-2</v>
      </c>
    </row>
    <row r="53" spans="1:35" ht="12" customHeight="1">
      <c r="A53" s="3456" t="s">
        <v>1356</v>
      </c>
      <c r="B53" s="3622" t="s">
        <v>2290</v>
      </c>
      <c r="C53" s="3623"/>
      <c r="D53" s="1087" t="e">
        <f ca="1">ROUND(D45*'数据-取费表'!B41/(1+'数据-取费表'!C42),0)</f>
        <v>#REF!</v>
      </c>
      <c r="E53" s="3457" t="s">
        <v>1354</v>
      </c>
      <c r="F53" s="2554">
        <f>'数据-取费表'!B41</f>
        <v>5.6000000000000001E-2</v>
      </c>
      <c r="G53" s="2555"/>
      <c r="H53" s="2544"/>
      <c r="I53" s="1807"/>
      <c r="J53" s="3466">
        <v>2</v>
      </c>
      <c r="K53" s="3598" t="s">
        <v>1357</v>
      </c>
      <c r="L53" s="3598"/>
      <c r="M53" s="2525" t="e">
        <f t="shared" ref="M53:O54" ca="1" si="0">D55</f>
        <v>#REF!</v>
      </c>
      <c r="N53" s="3466" t="str">
        <f t="shared" si="0"/>
        <v>销售额×税（费）率</v>
      </c>
      <c r="O53" s="2526" t="str">
        <f t="shared" si="0"/>
        <v>免征</v>
      </c>
    </row>
    <row r="54" spans="1:35" ht="12" customHeight="1">
      <c r="A54" s="3456" t="s">
        <v>1358</v>
      </c>
      <c r="B54" s="3622" t="s">
        <v>2291</v>
      </c>
      <c r="C54" s="3623"/>
      <c r="D54" s="1087" t="e">
        <f ca="1">C68</f>
        <v>#REF!</v>
      </c>
      <c r="E54" s="327" t="s">
        <v>1359</v>
      </c>
      <c r="F54" s="2554">
        <f>'数据-取费表'!B41</f>
        <v>5.6000000000000001E-2</v>
      </c>
      <c r="G54" s="2555"/>
      <c r="H54" s="2556"/>
      <c r="I54" s="1807"/>
      <c r="J54" s="3466">
        <v>3</v>
      </c>
      <c r="K54" s="3598" t="s">
        <v>1360</v>
      </c>
      <c r="L54" s="3598"/>
      <c r="M54" s="2525" t="e">
        <f t="shared" ca="1" si="0"/>
        <v>#REF!</v>
      </c>
      <c r="N54" s="3466" t="str">
        <f t="shared" si="0"/>
        <v>增值额×税（费）率</v>
      </c>
      <c r="O54" s="2527" t="str">
        <f t="shared" si="0"/>
        <v>免征</v>
      </c>
    </row>
    <row r="55" spans="1:35" ht="24" customHeight="1">
      <c r="A55" s="3658" t="s">
        <v>1361</v>
      </c>
      <c r="B55" s="3636"/>
      <c r="C55" s="3636"/>
      <c r="D55" s="3469" t="e">
        <f ca="1">IF(H55="个人住宅",0,ROUND(D45*I55,0))</f>
        <v>#REF!</v>
      </c>
      <c r="E55" s="3457" t="s">
        <v>1362</v>
      </c>
      <c r="F55" s="2554" t="str">
        <f>IF(H55="正常",I55,"免征")</f>
        <v>免征</v>
      </c>
      <c r="G55" s="2555"/>
      <c r="H55" s="2550"/>
      <c r="I55" s="165">
        <f>'数据-取费表'!B49</f>
        <v>5.0000000000000001E-4</v>
      </c>
      <c r="J55" s="3466">
        <f>IF(H59="非个人房产","",4)</f>
        <v>4</v>
      </c>
      <c r="K55" s="3598" t="str">
        <f>IF(H59="非个人房产","——","个人所得税")</f>
        <v>个人所得税</v>
      </c>
      <c r="L55" s="3598"/>
      <c r="M55" s="2528" t="e">
        <f ca="1">D59</f>
        <v>#REF!</v>
      </c>
      <c r="N55" s="3467" t="str">
        <f>E59</f>
        <v>差额计税</v>
      </c>
      <c r="O55" s="2529">
        <f>F59</f>
        <v>0.01</v>
      </c>
    </row>
    <row r="56" spans="1:35" ht="24.75">
      <c r="A56" s="3658" t="s">
        <v>1363</v>
      </c>
      <c r="B56" s="3636"/>
      <c r="C56" s="3636"/>
      <c r="D56" s="3469" t="e">
        <f ca="1">IF(H56="个人住宅",D57,D58)</f>
        <v>#REF!</v>
      </c>
      <c r="E56" s="3457" t="s">
        <v>1364</v>
      </c>
      <c r="F56" s="2554" t="str">
        <f>IF(H56="正常",F58,"免征")</f>
        <v>免征</v>
      </c>
      <c r="G56" s="2557" t="s">
        <v>1365</v>
      </c>
      <c r="H56" s="2558"/>
      <c r="I56" s="1808"/>
      <c r="J56" s="3466" t="str">
        <f>IF(项目基本情况!K6="上海银行",IF(J55="",4,J55+1),"")</f>
        <v/>
      </c>
      <c r="K56" s="3579" t="str">
        <f>IF(项目基本情况!K6="上海银行","其他处置费用","")</f>
        <v/>
      </c>
      <c r="L56" s="3580"/>
      <c r="M56" s="2525" t="str">
        <f>IF(项目基本情况!K6="上海银行",M69,"")</f>
        <v/>
      </c>
      <c r="N56" s="3579" t="str">
        <f>IF(项目基本情况!K6="上海银行","包含处置中涉及的律师、诉讼、拍卖、评估等费用","")</f>
        <v/>
      </c>
      <c r="O56" s="3582"/>
    </row>
    <row r="57" spans="1:35" ht="12.75">
      <c r="A57" s="3456" t="s">
        <v>1341</v>
      </c>
      <c r="B57" s="3622" t="s">
        <v>1366</v>
      </c>
      <c r="C57" s="3623"/>
      <c r="D57" s="1590">
        <v>0</v>
      </c>
      <c r="E57" s="324" t="s">
        <v>1343</v>
      </c>
      <c r="F57" s="302"/>
      <c r="G57" s="2555"/>
      <c r="H57" s="2559"/>
      <c r="I57" s="1808"/>
      <c r="J57" s="3598">
        <f>IF(AND(J55="",J56=""),4,IF(项目基本情况!K6="上海银行",'结果表(办公)'!J56+1,'结果表(办公)'!J55+1))</f>
        <v>5</v>
      </c>
      <c r="K57" s="3598" t="s">
        <v>1367</v>
      </c>
      <c r="L57" s="2530" t="s">
        <v>1368</v>
      </c>
      <c r="M57" s="2531"/>
      <c r="N57" s="2532">
        <f ca="1">SUMIF(M52:M56,"&lt;9e307")</f>
        <v>0</v>
      </c>
      <c r="O57" s="2533"/>
      <c r="P57" s="2690" t="e">
        <f ca="1">N57/M49</f>
        <v>#VALUE!</v>
      </c>
    </row>
    <row r="58" spans="1:35" ht="24.75">
      <c r="A58" s="3456" t="s">
        <v>1352</v>
      </c>
      <c r="B58" s="3622" t="s">
        <v>1369</v>
      </c>
      <c r="C58" s="3621"/>
      <c r="D58" s="3469" t="e">
        <f ca="1">IF(H58="转让取得",C81,C97)</f>
        <v>#REF!</v>
      </c>
      <c r="E58" s="3457" t="s">
        <v>1364</v>
      </c>
      <c r="F58" s="302" t="s">
        <v>28</v>
      </c>
      <c r="G58" s="2555"/>
      <c r="H58" s="2558"/>
      <c r="I58" s="1808"/>
      <c r="J58" s="3598"/>
      <c r="K58" s="3598"/>
      <c r="L58" s="2530" t="s">
        <v>1370</v>
      </c>
      <c r="M58" s="2534"/>
      <c r="N58" s="2535" t="str">
        <f ca="1">NUMBERSTRING(INT(N57*10000),2)&amp;"元整"</f>
        <v>零元整</v>
      </c>
      <c r="O58" s="2536"/>
    </row>
    <row r="59" spans="1:35" ht="24.75" thickBot="1">
      <c r="A59" s="3602" t="s">
        <v>1371</v>
      </c>
      <c r="B59" s="3603"/>
      <c r="C59" s="360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0">
        <f>J57+1</f>
        <v>6</v>
      </c>
      <c r="K59" s="3598" t="s">
        <v>1372</v>
      </c>
      <c r="L59" s="3466" t="s">
        <v>1368</v>
      </c>
      <c r="M59" s="2537"/>
      <c r="N59" s="2538" t="e">
        <f ca="1">M49-N57</f>
        <v>#VALUE!</v>
      </c>
      <c r="O59" s="2539"/>
    </row>
    <row r="60" spans="1:35" ht="12" customHeight="1">
      <c r="A60" s="1809"/>
      <c r="B60" s="1747"/>
      <c r="C60" s="1747"/>
      <c r="D60" s="1747"/>
      <c r="E60" s="1578"/>
      <c r="F60" s="1808"/>
      <c r="G60" s="1808"/>
      <c r="H60" s="1810"/>
      <c r="I60" s="129"/>
      <c r="J60" s="3601"/>
      <c r="K60" s="3598"/>
      <c r="L60" s="2530" t="s">
        <v>1370</v>
      </c>
      <c r="M60" s="2534"/>
      <c r="N60" s="2535" t="e">
        <f ca="1">NUMBERSTRING(INT(N59*10000),2)&amp;"元整"</f>
        <v>#VALUE!</v>
      </c>
      <c r="O60" s="2536"/>
    </row>
    <row r="61" spans="1:35" ht="13.5" thickBot="1">
      <c r="A61" s="3657" t="s">
        <v>1373</v>
      </c>
      <c r="B61" s="3657"/>
      <c r="C61" s="3657"/>
      <c r="D61" s="3657"/>
      <c r="E61" s="3657"/>
      <c r="F61" s="1808"/>
      <c r="G61" s="1808"/>
      <c r="H61" s="1810"/>
      <c r="I61" s="129"/>
      <c r="J61" s="3466">
        <f>J59+1</f>
        <v>7</v>
      </c>
      <c r="K61" s="3598" t="s">
        <v>1374</v>
      </c>
      <c r="L61" s="3598"/>
      <c r="M61" s="2540"/>
      <c r="N61" s="2541" t="e">
        <f ca="1">ROUND(N59*10000/'数据-汇总表'!E3,0)</f>
        <v>#VALUE!</v>
      </c>
      <c r="O61" s="2542"/>
    </row>
    <row r="62" spans="1:35" ht="12.75">
      <c r="A62" s="3617" t="s">
        <v>1375</v>
      </c>
      <c r="B62" s="3618"/>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1" t="s">
        <v>1379</v>
      </c>
      <c r="K63" s="3470" t="s">
        <v>1380</v>
      </c>
      <c r="L63" s="3470"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1"/>
      <c r="K64" s="3470" t="s">
        <v>1382</v>
      </c>
      <c r="L64" s="347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1"/>
      <c r="K65" s="3470" t="s">
        <v>1385</v>
      </c>
      <c r="L65" s="3470"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1"/>
      <c r="K66" s="3470" t="s">
        <v>1387</v>
      </c>
      <c r="L66" s="3470"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1"/>
      <c r="K67" s="3470" t="s">
        <v>1390</v>
      </c>
      <c r="L67" s="347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1"/>
      <c r="K68" s="3470" t="s">
        <v>1392</v>
      </c>
      <c r="L68" s="3470"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1"/>
      <c r="K69" s="3470" t="s">
        <v>1393</v>
      </c>
      <c r="L69" s="3470"/>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69"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69"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4"/>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4"/>
      <c r="G90" s="3583" t="s">
        <v>2128</v>
      </c>
      <c r="H90" s="358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4" t="s">
        <v>1422</v>
      </c>
      <c r="F92" s="3615"/>
      <c r="G92" s="3615"/>
      <c r="H92" s="361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69"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5" t="str">
        <f>C4</f>
        <v>比较法-办公</v>
      </c>
      <c r="D101" s="2586" t="str">
        <f>D4</f>
        <v>收益法（办）</v>
      </c>
      <c r="E101" s="3577" t="s">
        <v>1431</v>
      </c>
      <c r="F101" s="3578"/>
      <c r="G101" s="1827" t="s">
        <v>1432</v>
      </c>
      <c r="H101" s="2595" t="e">
        <f ca="1">H118</f>
        <v>#REF!</v>
      </c>
      <c r="I101" s="129"/>
    </row>
    <row r="102" spans="1:35" ht="18.75" customHeight="1">
      <c r="A102" s="3609" t="s">
        <v>1433</v>
      </c>
      <c r="B102" s="2584" t="s">
        <v>1432</v>
      </c>
      <c r="C102" s="2585">
        <f ca="1">IF(D32="楼面单价",ROUND(C19,0),C19)</f>
        <v>23364</v>
      </c>
      <c r="D102" s="2586">
        <f ca="1">IF(D32="楼面单价",ROUND(D19,0),D19)</f>
        <v>16463</v>
      </c>
      <c r="E102" s="3577"/>
      <c r="F102" s="3578"/>
      <c r="G102" s="1827" t="s">
        <v>1434</v>
      </c>
      <c r="H102" s="2555" t="e">
        <f ca="1">I118</f>
        <v>#REF!</v>
      </c>
      <c r="I102" s="129"/>
    </row>
    <row r="103" spans="1:35" ht="42.75" customHeight="1">
      <c r="A103" s="3609"/>
      <c r="B103" s="2584" t="s">
        <v>1434</v>
      </c>
      <c r="C103" s="2587">
        <f ca="1">C20</f>
        <v>45000</v>
      </c>
      <c r="D103" s="2588">
        <f ca="1">D20</f>
        <v>31708</v>
      </c>
      <c r="E103" s="3570" t="s">
        <v>1435</v>
      </c>
      <c r="F103" s="3571"/>
      <c r="G103" s="1828" t="s">
        <v>1436</v>
      </c>
      <c r="H103" s="2595">
        <f>IF(D36="正常操作",H104+H105+H106,H105+H106)</f>
        <v>0</v>
      </c>
      <c r="I103" s="129"/>
    </row>
    <row r="104" spans="1:35" ht="18.75" customHeight="1">
      <c r="A104" s="360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578"/>
      <c r="G107" s="1827" t="s">
        <v>1432</v>
      </c>
      <c r="H107" s="2595" t="e">
        <f ca="1">IF(E107="——","——",H101-H103)</f>
        <v>#REF!</v>
      </c>
      <c r="I107" s="129"/>
    </row>
    <row r="108" spans="1:35" ht="18.75" customHeight="1">
      <c r="A108" s="129"/>
      <c r="B108" s="129"/>
      <c r="C108" s="129"/>
      <c r="D108" s="129"/>
      <c r="E108" s="3610"/>
      <c r="F108" s="3578"/>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7" t="s">
        <v>1432</v>
      </c>
      <c r="H109" s="2598" t="str">
        <f>IF(E109="——","——",H101-H105-H106)</f>
        <v>——</v>
      </c>
      <c r="I109" s="129"/>
    </row>
    <row r="110" spans="1:35" ht="18.75" customHeight="1">
      <c r="A110" s="129"/>
      <c r="B110" s="129"/>
      <c r="C110" s="129"/>
      <c r="D110" s="129"/>
      <c r="E110" s="3610"/>
      <c r="F110" s="3578"/>
      <c r="G110" s="1827" t="s">
        <v>1434</v>
      </c>
      <c r="H110" s="2555"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12"/>
      <c r="F112" s="3613"/>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5" t="s">
        <v>1449</v>
      </c>
      <c r="E117" s="3455" t="s">
        <v>1450</v>
      </c>
      <c r="F117" s="3455" t="s">
        <v>1449</v>
      </c>
      <c r="G117" s="3455" t="s">
        <v>1451</v>
      </c>
      <c r="H117" s="3455" t="s">
        <v>1449</v>
      </c>
      <c r="I117" s="3455" t="s">
        <v>1451</v>
      </c>
    </row>
    <row r="118" spans="1:27" ht="24.75" customHeight="1">
      <c r="A118" s="2600" t="str">
        <f>项目基本情况!S2</f>
        <v>房地产</v>
      </c>
      <c r="B118" s="3455">
        <f>M18</f>
        <v>8275.4700000000012</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85" t="s">
        <v>1452</v>
      </c>
      <c r="B119" s="3585"/>
      <c r="C119" s="3585"/>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t="e">
        <f ca="1">H107</f>
        <v>#REF!</v>
      </c>
      <c r="E122" s="3587"/>
      <c r="F122" s="3587"/>
      <c r="G122" s="3587"/>
      <c r="H122" s="3587"/>
      <c r="I122" s="3588"/>
      <c r="AA122" s="725"/>
    </row>
    <row r="123" spans="1:27" ht="18.75" customHeight="1">
      <c r="A123" s="3585" t="s">
        <v>1452</v>
      </c>
      <c r="B123" s="3585"/>
      <c r="C123" s="3585"/>
      <c r="D123" s="3591" t="e">
        <f ca="1">NUMBERSTRING(INT(D122*10000),2)&amp;"元整"</f>
        <v>#REF!</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E48" sqref="E48:I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3417</v>
      </c>
      <c r="F1" s="1879" t="s">
        <v>3416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23364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45000</v>
      </c>
      <c r="C3" s="354" t="s">
        <v>1768</v>
      </c>
      <c r="D3" s="353">
        <f>IF(D1="",'数据-汇总表'!E3,SUMIF('数据-汇总表'!$C19:$C33,D1,'数据-汇总表'!$E19:$E33))</f>
        <v>5192.1000000000004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45" t="s">
        <v>1775</v>
      </c>
      <c r="Q4" s="3746"/>
      <c r="R4" s="3740" t="s">
        <v>1771</v>
      </c>
      <c r="S4" s="3741"/>
      <c r="T4" s="3740" t="s">
        <v>1772</v>
      </c>
      <c r="U4" s="3741"/>
      <c r="V4" s="3749" t="s">
        <v>1773</v>
      </c>
      <c r="W4" s="3749"/>
      <c r="X4" s="1958"/>
      <c r="Y4" s="3740" t="s">
        <v>1775</v>
      </c>
      <c r="Z4" s="3741"/>
      <c r="AA4" s="3739" t="s">
        <v>1771</v>
      </c>
      <c r="AB4" s="3739" t="s">
        <v>1772</v>
      </c>
      <c r="AC4" s="3742" t="s">
        <v>1773</v>
      </c>
    </row>
    <row r="5" spans="1:29" ht="15">
      <c r="A5" s="358"/>
      <c r="B5" s="359"/>
      <c r="C5" s="3704" t="s">
        <v>1673</v>
      </c>
      <c r="D5" s="3705"/>
      <c r="E5" s="3702" t="s">
        <v>1674</v>
      </c>
      <c r="F5" s="3703"/>
      <c r="G5" s="3704" t="s">
        <v>1675</v>
      </c>
      <c r="H5" s="3705"/>
      <c r="I5" s="3704" t="s">
        <v>1676</v>
      </c>
      <c r="J5" s="3705"/>
      <c r="K5" s="559"/>
      <c r="L5" s="2715"/>
      <c r="M5" s="2716"/>
      <c r="N5" s="2716"/>
      <c r="O5" s="2716"/>
      <c r="P5" s="3747"/>
      <c r="Q5" s="3718"/>
      <c r="R5" s="3700"/>
      <c r="S5" s="3701"/>
      <c r="T5" s="3700"/>
      <c r="U5" s="3701"/>
      <c r="V5" s="3723"/>
      <c r="W5" s="3723"/>
      <c r="X5" s="1355"/>
      <c r="Y5" s="3700"/>
      <c r="Z5" s="3701"/>
      <c r="AA5" s="3694"/>
      <c r="AB5" s="3694"/>
      <c r="AC5" s="3743"/>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48"/>
      <c r="Q6" s="3720"/>
      <c r="R6" s="3700"/>
      <c r="S6" s="3701"/>
      <c r="T6" s="3721"/>
      <c r="U6" s="3722"/>
      <c r="V6" s="3723"/>
      <c r="W6" s="3723"/>
      <c r="X6" s="1355"/>
      <c r="Y6" s="3721"/>
      <c r="Z6" s="3722"/>
      <c r="AA6" s="3695"/>
      <c r="AB6" s="3695"/>
      <c r="AC6" s="3744"/>
    </row>
    <row r="7" spans="1:29" s="108" customFormat="1" ht="15.75" thickBot="1">
      <c r="A7" s="362" t="s">
        <v>1679</v>
      </c>
      <c r="B7" s="363"/>
      <c r="C7" s="364">
        <f>'数据-取费表'!B2</f>
        <v>45362</v>
      </c>
      <c r="D7" s="365">
        <v>100</v>
      </c>
      <c r="E7" s="366">
        <f>C7</f>
        <v>45362</v>
      </c>
      <c r="F7" s="367">
        <f>SUMIF(59:59,YEAR(E7)&amp;"-"&amp;MONTH(E7),60:60)</f>
        <v>100</v>
      </c>
      <c r="G7" s="366">
        <f>C7</f>
        <v>45362</v>
      </c>
      <c r="H7" s="365">
        <f>SUMIF(59:59,YEAR(G7)&amp;"-"&amp;MONTH(G7),60:60)</f>
        <v>100</v>
      </c>
      <c r="I7" s="366">
        <f>C7</f>
        <v>45362</v>
      </c>
      <c r="J7" s="365">
        <f>SUMIF(59:59,YEAR(I7)&amp;"-"&amp;MONTH(I7),60:60)</f>
        <v>100</v>
      </c>
      <c r="K7" s="560"/>
      <c r="L7" s="2717"/>
      <c r="M7" s="2718"/>
      <c r="N7" s="2718"/>
      <c r="O7" s="2718"/>
      <c r="P7" s="3750" t="s">
        <v>1680</v>
      </c>
      <c r="Q7" s="3724"/>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7" t="s">
        <v>1691</v>
      </c>
      <c r="Q15" s="1352" t="str">
        <f t="shared" si="6"/>
        <v>办公集聚程度</v>
      </c>
      <c r="R15" s="705" t="s">
        <v>14</v>
      </c>
      <c r="S15" s="706">
        <f t="shared" si="0"/>
        <v>100</v>
      </c>
      <c r="T15" s="705" t="s">
        <v>14</v>
      </c>
      <c r="U15" s="706">
        <f t="shared" si="1"/>
        <v>100</v>
      </c>
      <c r="V15" s="705" t="s">
        <v>14</v>
      </c>
      <c r="W15" s="706">
        <f t="shared" si="2"/>
        <v>100</v>
      </c>
      <c r="X15" s="1355"/>
      <c r="Y15" s="373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8"/>
      <c r="Q16" s="1352"/>
      <c r="R16" s="705"/>
      <c r="S16" s="706"/>
      <c r="T16" s="705"/>
      <c r="U16" s="706"/>
      <c r="V16" s="705"/>
      <c r="W16" s="706"/>
      <c r="X16" s="1355"/>
      <c r="Y16" s="373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8"/>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8"/>
      <c r="Q18" s="1352"/>
      <c r="R18" s="705"/>
      <c r="S18" s="706"/>
      <c r="T18" s="705"/>
      <c r="U18" s="706"/>
      <c r="V18" s="705"/>
      <c r="W18" s="706"/>
      <c r="X18" s="1355"/>
      <c r="Y18" s="373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8"/>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8"/>
      <c r="Q20" s="1352"/>
      <c r="R20" s="705"/>
      <c r="S20" s="706"/>
      <c r="T20" s="705"/>
      <c r="U20" s="706"/>
      <c r="V20" s="705"/>
      <c r="W20" s="706"/>
      <c r="X20" s="1355"/>
      <c r="Y20" s="373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8"/>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8"/>
      <c r="Q22" s="1352"/>
      <c r="R22" s="705"/>
      <c r="S22" s="706"/>
      <c r="T22" s="705"/>
      <c r="U22" s="706"/>
      <c r="V22" s="705"/>
      <c r="W22" s="706"/>
      <c r="X22" s="1355"/>
      <c r="Y22" s="373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8"/>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8"/>
      <c r="Q24" s="1352"/>
      <c r="R24" s="705"/>
      <c r="S24" s="706"/>
      <c r="T24" s="705"/>
      <c r="U24" s="706"/>
      <c r="V24" s="705"/>
      <c r="W24" s="706"/>
      <c r="X24" s="1355"/>
      <c r="Y24" s="373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8"/>
      <c r="Q25" s="1352" t="str">
        <f>B25</f>
        <v>毗邻道路的类型与等级</v>
      </c>
      <c r="R25" s="705" t="s">
        <v>14</v>
      </c>
      <c r="S25" s="706">
        <f>F25</f>
        <v>100</v>
      </c>
      <c r="T25" s="705" t="s">
        <v>14</v>
      </c>
      <c r="U25" s="706">
        <f>H25</f>
        <v>100</v>
      </c>
      <c r="V25" s="705" t="s">
        <v>14</v>
      </c>
      <c r="W25" s="706">
        <f>J25</f>
        <v>100</v>
      </c>
      <c r="X25" s="1355"/>
      <c r="Y25" s="373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8"/>
      <c r="Q26" s="1352"/>
      <c r="R26" s="705"/>
      <c r="S26" s="706"/>
      <c r="T26" s="705"/>
      <c r="U26" s="706"/>
      <c r="V26" s="705"/>
      <c r="W26" s="706"/>
      <c r="X26" s="1355"/>
      <c r="Y26" s="373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8"/>
      <c r="Q27" s="1352" t="str">
        <f t="shared" ref="Q27:Q47" si="11">B27</f>
        <v>楼层</v>
      </c>
      <c r="R27" s="705" t="s">
        <v>14</v>
      </c>
      <c r="S27" s="706">
        <f>F27</f>
        <v>100</v>
      </c>
      <c r="T27" s="705" t="s">
        <v>14</v>
      </c>
      <c r="U27" s="706">
        <f>H27</f>
        <v>100</v>
      </c>
      <c r="V27" s="705" t="s">
        <v>14</v>
      </c>
      <c r="W27" s="706">
        <f>J27</f>
        <v>100</v>
      </c>
      <c r="X27" s="1355"/>
      <c r="Y27" s="373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8"/>
      <c r="Q28" s="1343" t="str">
        <f t="shared" si="11"/>
        <v>朝向</v>
      </c>
      <c r="R28" s="701" t="s">
        <v>14</v>
      </c>
      <c r="S28" s="702">
        <f>F28</f>
        <v>100</v>
      </c>
      <c r="T28" s="701" t="s">
        <v>14</v>
      </c>
      <c r="U28" s="702">
        <f>H28</f>
        <v>100</v>
      </c>
      <c r="V28" s="701" t="s">
        <v>14</v>
      </c>
      <c r="W28" s="702">
        <f>J28</f>
        <v>100</v>
      </c>
      <c r="X28" s="703"/>
      <c r="Y28" s="373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8"/>
      <c r="Q29" s="1352">
        <f t="shared" si="11"/>
        <v>111</v>
      </c>
      <c r="R29" s="705" t="s">
        <v>14</v>
      </c>
      <c r="S29" s="706">
        <f t="shared" ref="S29:S47" si="12">F29</f>
        <v>100</v>
      </c>
      <c r="T29" s="705" t="s">
        <v>14</v>
      </c>
      <c r="U29" s="706">
        <f t="shared" ref="U29:U47" si="13">H29</f>
        <v>100</v>
      </c>
      <c r="V29" s="705" t="s">
        <v>14</v>
      </c>
      <c r="W29" s="706">
        <f t="shared" ref="W29:W47" si="14">J29</f>
        <v>100</v>
      </c>
      <c r="X29" s="1355"/>
      <c r="Y29" s="373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8"/>
      <c r="Q30" s="1352">
        <f t="shared" si="11"/>
        <v>111</v>
      </c>
      <c r="R30" s="705" t="s">
        <v>14</v>
      </c>
      <c r="S30" s="706">
        <f t="shared" si="12"/>
        <v>100</v>
      </c>
      <c r="T30" s="705" t="s">
        <v>14</v>
      </c>
      <c r="U30" s="706">
        <f t="shared" si="13"/>
        <v>100</v>
      </c>
      <c r="V30" s="705" t="s">
        <v>14</v>
      </c>
      <c r="W30" s="706">
        <f t="shared" si="14"/>
        <v>100</v>
      </c>
      <c r="X30" s="1355"/>
      <c r="Y30" s="373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8"/>
      <c r="Q31" s="1352">
        <f t="shared" si="11"/>
        <v>111</v>
      </c>
      <c r="R31" s="705" t="s">
        <v>14</v>
      </c>
      <c r="S31" s="706">
        <f t="shared" si="12"/>
        <v>100</v>
      </c>
      <c r="T31" s="705" t="s">
        <v>14</v>
      </c>
      <c r="U31" s="706">
        <f t="shared" si="13"/>
        <v>100</v>
      </c>
      <c r="V31" s="705" t="s">
        <v>14</v>
      </c>
      <c r="W31" s="706">
        <f t="shared" si="14"/>
        <v>100</v>
      </c>
      <c r="X31" s="1355"/>
      <c r="Y31" s="373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8"/>
      <c r="Q32" s="1352">
        <f t="shared" si="11"/>
        <v>111</v>
      </c>
      <c r="R32" s="705" t="s">
        <v>14</v>
      </c>
      <c r="S32" s="706">
        <f t="shared" si="12"/>
        <v>100</v>
      </c>
      <c r="T32" s="705" t="s">
        <v>14</v>
      </c>
      <c r="U32" s="706">
        <f t="shared" si="13"/>
        <v>100</v>
      </c>
      <c r="V32" s="705" t="s">
        <v>14</v>
      </c>
      <c r="W32" s="706">
        <f t="shared" si="14"/>
        <v>100</v>
      </c>
      <c r="X32" s="1355"/>
      <c r="Y32" s="373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1352" t="str">
        <f t="shared" si="11"/>
        <v>建筑类型</v>
      </c>
      <c r="R33" s="705" t="s">
        <v>14</v>
      </c>
      <c r="S33" s="706">
        <f t="shared" si="12"/>
        <v>100</v>
      </c>
      <c r="T33" s="705" t="s">
        <v>14</v>
      </c>
      <c r="U33" s="706">
        <f t="shared" si="13"/>
        <v>100</v>
      </c>
      <c r="V33" s="705" t="s">
        <v>14</v>
      </c>
      <c r="W33" s="706">
        <f t="shared" si="14"/>
        <v>100</v>
      </c>
      <c r="X33" s="1355"/>
      <c r="Y33" s="373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33"/>
      <c r="Q34" s="707" t="str">
        <f t="shared" si="11"/>
        <v>项目建筑规模</v>
      </c>
      <c r="R34" s="708" t="s">
        <v>14</v>
      </c>
      <c r="S34" s="709">
        <f t="shared" si="12"/>
        <v>100</v>
      </c>
      <c r="T34" s="708" t="s">
        <v>14</v>
      </c>
      <c r="U34" s="709">
        <f t="shared" si="13"/>
        <v>100</v>
      </c>
      <c r="V34" s="708" t="s">
        <v>14</v>
      </c>
      <c r="W34" s="709">
        <f t="shared" si="14"/>
        <v>100</v>
      </c>
      <c r="X34" s="710"/>
      <c r="Y34" s="3735"/>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73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735"/>
      <c r="Z36" s="1356" t="str">
        <f t="shared" si="15"/>
        <v>公共部分装修</v>
      </c>
      <c r="AA36" s="1353">
        <f t="shared" si="3"/>
        <v>1</v>
      </c>
      <c r="AB36" s="1353">
        <f t="shared" si="4"/>
        <v>1</v>
      </c>
      <c r="AC36" s="1962">
        <f t="shared" si="5"/>
        <v>1</v>
      </c>
    </row>
    <row r="37" spans="1:29" ht="15">
      <c r="A37" s="423"/>
      <c r="B37" s="375" t="s">
        <v>1786</v>
      </c>
      <c r="C37" s="425">
        <v>0.7</v>
      </c>
      <c r="D37" s="386">
        <v>100</v>
      </c>
      <c r="E37" s="425">
        <f>C37</f>
        <v>0.7</v>
      </c>
      <c r="F37" s="412">
        <f>LOOKUP(E37,111:111,112:112)-LOOKUP(C37,111:111,112:112)+100</f>
        <v>100</v>
      </c>
      <c r="G37" s="425">
        <f>C37</f>
        <v>0.7</v>
      </c>
      <c r="H37" s="412">
        <f>LOOKUP(G37,111:111,112:112)-LOOKUP(C37,111:111,112:112)+100</f>
        <v>100</v>
      </c>
      <c r="I37" s="425">
        <f>C37</f>
        <v>0.7</v>
      </c>
      <c r="J37" s="386">
        <f>LOOKUP(I37,111:111,112:112)-LOOKUP(C37,111:111,112:112)+100</f>
        <v>100</v>
      </c>
      <c r="K37" s="561"/>
      <c r="L37" s="2722"/>
      <c r="M37" s="2716"/>
      <c r="N37" s="2716"/>
      <c r="O37" s="2716"/>
      <c r="P37" s="3733"/>
      <c r="Q37" s="1352" t="str">
        <f t="shared" si="11"/>
        <v>成新度</v>
      </c>
      <c r="R37" s="705" t="s">
        <v>14</v>
      </c>
      <c r="S37" s="706">
        <f t="shared" si="12"/>
        <v>100</v>
      </c>
      <c r="T37" s="705" t="s">
        <v>14</v>
      </c>
      <c r="U37" s="706">
        <f t="shared" si="13"/>
        <v>100</v>
      </c>
      <c r="V37" s="705" t="s">
        <v>14</v>
      </c>
      <c r="W37" s="706">
        <f t="shared" si="14"/>
        <v>100</v>
      </c>
      <c r="X37" s="1355"/>
      <c r="Y37" s="373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73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1352" t="str">
        <f t="shared" si="11"/>
        <v>物业管理</v>
      </c>
      <c r="R39" s="705" t="s">
        <v>14</v>
      </c>
      <c r="S39" s="706">
        <f t="shared" si="12"/>
        <v>100</v>
      </c>
      <c r="T39" s="705" t="s">
        <v>14</v>
      </c>
      <c r="U39" s="706">
        <f t="shared" si="13"/>
        <v>100</v>
      </c>
      <c r="V39" s="705" t="s">
        <v>14</v>
      </c>
      <c r="W39" s="706">
        <f t="shared" si="14"/>
        <v>100</v>
      </c>
      <c r="X39" s="1355"/>
      <c r="Y39" s="373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73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73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73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73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73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1343">
        <f t="shared" si="11"/>
        <v>111</v>
      </c>
      <c r="R45" s="701" t="s">
        <v>14</v>
      </c>
      <c r="S45" s="702">
        <f t="shared" si="12"/>
        <v>100</v>
      </c>
      <c r="T45" s="701" t="s">
        <v>14</v>
      </c>
      <c r="U45" s="702">
        <f t="shared" si="13"/>
        <v>100</v>
      </c>
      <c r="V45" s="701" t="s">
        <v>14</v>
      </c>
      <c r="W45" s="702">
        <f t="shared" si="14"/>
        <v>100</v>
      </c>
      <c r="X45" s="703"/>
      <c r="Y45" s="373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6"/>
      <c r="Z47" s="1356">
        <f t="shared" si="15"/>
        <v>111</v>
      </c>
      <c r="AA47" s="1353">
        <f t="shared" si="3"/>
        <v>1</v>
      </c>
      <c r="AB47" s="1353">
        <f t="shared" si="4"/>
        <v>1</v>
      </c>
      <c r="AC47" s="1962">
        <f t="shared" si="5"/>
        <v>1</v>
      </c>
    </row>
    <row r="48" spans="1:29" ht="15">
      <c r="A48" s="430" t="s">
        <v>1708</v>
      </c>
      <c r="B48" s="431"/>
      <c r="C48" s="1154" t="s">
        <v>0</v>
      </c>
      <c r="D48" s="1155"/>
      <c r="E48" s="1156">
        <v>45000</v>
      </c>
      <c r="F48" s="1157"/>
      <c r="G48" s="1158">
        <f>E48</f>
        <v>45000</v>
      </c>
      <c r="H48" s="1159"/>
      <c r="I48" s="1156">
        <f>E48</f>
        <v>45000</v>
      </c>
      <c r="J48" s="436"/>
      <c r="K48" s="714"/>
      <c r="L48" s="2724"/>
      <c r="M48" s="2716"/>
      <c r="N48" s="2716"/>
      <c r="O48" s="2716"/>
      <c r="P48" s="3710" t="str">
        <f>A48</f>
        <v>成交单价（元/平方米）</v>
      </c>
      <c r="Q48" s="3728"/>
      <c r="R48" s="3729">
        <f>E48</f>
        <v>45000</v>
      </c>
      <c r="S48" s="3729"/>
      <c r="T48" s="3729">
        <f>G48</f>
        <v>45000</v>
      </c>
      <c r="U48" s="3729"/>
      <c r="V48" s="3729">
        <f>I48</f>
        <v>45000</v>
      </c>
      <c r="W48" s="3729"/>
      <c r="X48" s="397"/>
      <c r="Y48" s="712"/>
      <c r="Z48" s="397"/>
      <c r="AA48" s="397"/>
      <c r="AB48" s="397"/>
      <c r="AC48" s="578"/>
    </row>
    <row r="49" spans="1:29" ht="15.75" thickBot="1">
      <c r="A49" s="437" t="s">
        <v>1793</v>
      </c>
      <c r="B49" s="438"/>
      <c r="C49" s="1160">
        <f>R50</f>
        <v>45000</v>
      </c>
      <c r="D49" s="2317" t="s">
        <v>2137</v>
      </c>
      <c r="E49" s="1161">
        <f>R49</f>
        <v>45000</v>
      </c>
      <c r="F49" s="2318"/>
      <c r="G49" s="1160">
        <f>T49</f>
        <v>45000</v>
      </c>
      <c r="H49" s="2318"/>
      <c r="I49" s="1161">
        <f>V49</f>
        <v>45000</v>
      </c>
      <c r="J49" s="2318"/>
      <c r="K49" s="2320">
        <f>F49+H49+J49</f>
        <v>0</v>
      </c>
      <c r="L49" s="2724"/>
      <c r="M49" s="2716"/>
      <c r="N49" s="2716"/>
      <c r="O49" s="2716"/>
      <c r="P49" s="3710" t="str">
        <f>A49</f>
        <v>比较价值（元/平方米）</v>
      </c>
      <c r="Q49" s="3728"/>
      <c r="R49" s="3729">
        <f>IF(F1="售价",ROUND(PRODUCT(R48,AA7:AA47),0),ROUND(PRODUCT(R48,AA7:AA47),1))</f>
        <v>45000</v>
      </c>
      <c r="S49" s="3729"/>
      <c r="T49" s="3729">
        <f>IF(F1="售价",ROUND(PRODUCT(T48,AB7:AB47),0),ROUND(PRODUCT(T48,AB7:AB47),1))</f>
        <v>45000</v>
      </c>
      <c r="U49" s="3729"/>
      <c r="V49" s="3729">
        <f>IF(F1="售价",ROUND(PRODUCT(V48,AC7:AC47),0),ROUND(PRODUCT(V48,AC7:AC47),1))</f>
        <v>45000</v>
      </c>
      <c r="W49" s="3729"/>
      <c r="X49" s="397"/>
      <c r="Y49" s="397"/>
      <c r="Z49" s="397"/>
      <c r="AA49" s="397"/>
      <c r="AB49" s="397"/>
      <c r="AC49" s="578"/>
    </row>
    <row r="50" spans="1:29" ht="15.75" thickBot="1">
      <c r="A50" s="441" t="s">
        <v>1794</v>
      </c>
      <c r="B50" s="442"/>
      <c r="C50" s="1163">
        <f>R50</f>
        <v>45000</v>
      </c>
      <c r="D50" s="1163"/>
      <c r="E50" s="1163"/>
      <c r="F50" s="1163"/>
      <c r="G50" s="1163"/>
      <c r="H50" s="1163"/>
      <c r="I50" s="1163"/>
      <c r="J50" s="443"/>
      <c r="K50" s="715"/>
      <c r="L50" s="2724"/>
      <c r="M50" s="2716"/>
      <c r="N50" s="2716"/>
      <c r="O50" s="2716"/>
      <c r="P50" s="3751" t="str">
        <f>A50</f>
        <v>估价对象XX用房的比较价值（楼面单价，元/平方米）</v>
      </c>
      <c r="Q50" s="3752"/>
      <c r="R50" s="3753">
        <f>IF(F1="售价",ROUND(IF(D49="简单平均",AVERAGE(R49:V49),R49*F49+T49*H49+V49*J49),0),ROUND(IF(D49="简单平均",AVERAGE(R49:V49),R49*F49+T49*H49+V49*J49),1))</f>
        <v>45000</v>
      </c>
      <c r="S50" s="3753"/>
      <c r="T50" s="3753"/>
      <c r="U50" s="3753"/>
      <c r="V50" s="3753"/>
      <c r="W50" s="375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9" priority="20" stopIfTrue="1" operator="containsText" text="超过">
      <formula>NOT(ISERROR(SEARCH("超过",F53)))</formula>
    </cfRule>
  </conditionalFormatting>
  <conditionalFormatting sqref="H55">
    <cfRule type="containsText" dxfId="148" priority="19" stopIfTrue="1" operator="containsText" text="超过">
      <formula>NOT(ISERROR(SEARCH("超过",H55)))</formula>
    </cfRule>
  </conditionalFormatting>
  <conditionalFormatting sqref="F55">
    <cfRule type="containsText" dxfId="147" priority="18" stopIfTrue="1" operator="containsText" text="超过">
      <formula>NOT(ISERROR(SEARCH("超过",F55)))</formula>
    </cfRule>
  </conditionalFormatting>
  <conditionalFormatting sqref="F54 H54">
    <cfRule type="containsText" dxfId="146" priority="17" stopIfTrue="1" operator="containsText" text="超过">
      <formula>NOT(ISERROR(SEARCH("超过",F54)))</formula>
    </cfRule>
  </conditionalFormatting>
  <conditionalFormatting sqref="E53">
    <cfRule type="expression" dxfId="145" priority="16" stopIfTrue="1">
      <formula>$F$53="超过30%"</formula>
    </cfRule>
  </conditionalFormatting>
  <conditionalFormatting sqref="E54">
    <cfRule type="expression" dxfId="144" priority="15" stopIfTrue="1">
      <formula>$F$54="超过20%"</formula>
    </cfRule>
  </conditionalFormatting>
  <conditionalFormatting sqref="E55">
    <cfRule type="expression" dxfId="143" priority="14" stopIfTrue="1">
      <formula>$F$55="超过30%"</formula>
    </cfRule>
  </conditionalFormatting>
  <conditionalFormatting sqref="G55">
    <cfRule type="expression" dxfId="142" priority="13" stopIfTrue="1">
      <formula>$H$55="超过30%"</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J53">
    <cfRule type="containsText" dxfId="139" priority="10" stopIfTrue="1" operator="containsText" text="超过">
      <formula>NOT(ISERROR(SEARCH("超过",J53)))</formula>
    </cfRule>
  </conditionalFormatting>
  <conditionalFormatting sqref="J55">
    <cfRule type="containsText" dxfId="138" priority="9" stopIfTrue="1" operator="containsText" text="超过">
      <formula>NOT(ISERROR(SEARCH("超过",J55)))</formula>
    </cfRule>
  </conditionalFormatting>
  <conditionalFormatting sqref="J54">
    <cfRule type="containsText" dxfId="137" priority="8" stopIfTrue="1" operator="containsText" text="超过">
      <formula>NOT(ISERROR(SEARCH("超过",J54)))</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F49">
    <cfRule type="expression" dxfId="133" priority="4">
      <formula>$D$49="简单平均"</formula>
    </cfRule>
  </conditionalFormatting>
  <conditionalFormatting sqref="H49">
    <cfRule type="expression" dxfId="132" priority="3">
      <formula>$D$49="简单平均"</formula>
    </cfRule>
  </conditionalFormatting>
  <conditionalFormatting sqref="J49">
    <cfRule type="expression" dxfId="131" priority="2">
      <formula>$D$49="简单平均"</formula>
    </cfRule>
  </conditionalFormatting>
  <conditionalFormatting sqref="F7:F47 H7:H47 J7:J47">
    <cfRule type="cellIs" dxfId="13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8275.4700000000012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913"/>
      <c r="M5" s="914"/>
      <c r="N5" s="914"/>
      <c r="O5" s="914"/>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3"/>
      <c r="M6" s="914"/>
      <c r="N6" s="914"/>
      <c r="O6" s="914"/>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45362</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1"/>
      <c r="Q16" s="1352"/>
      <c r="R16" s="705"/>
      <c r="S16" s="706"/>
      <c r="T16" s="705"/>
      <c r="U16" s="706"/>
      <c r="V16" s="705"/>
      <c r="W16" s="706"/>
      <c r="X16" s="1355"/>
      <c r="Y16" s="373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1"/>
      <c r="Q18" s="1352"/>
      <c r="R18" s="705"/>
      <c r="S18" s="706"/>
      <c r="T18" s="705"/>
      <c r="U18" s="706"/>
      <c r="V18" s="705"/>
      <c r="W18" s="706"/>
      <c r="X18" s="1355"/>
      <c r="Y18" s="373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1"/>
      <c r="Q19" s="1352" t="str">
        <f>B19</f>
        <v>公共配套设施</v>
      </c>
      <c r="R19" s="705" t="s">
        <v>14</v>
      </c>
      <c r="S19" s="706">
        <f>F19</f>
        <v>100</v>
      </c>
      <c r="T19" s="705" t="s">
        <v>14</v>
      </c>
      <c r="U19" s="706">
        <f>H19</f>
        <v>100</v>
      </c>
      <c r="V19" s="705" t="s">
        <v>14</v>
      </c>
      <c r="W19" s="706">
        <f>J19</f>
        <v>100</v>
      </c>
      <c r="X19" s="1355"/>
      <c r="Y19" s="373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1"/>
      <c r="Q20" s="1352"/>
      <c r="R20" s="705"/>
      <c r="S20" s="706"/>
      <c r="T20" s="705"/>
      <c r="U20" s="706"/>
      <c r="V20" s="705"/>
      <c r="W20" s="706"/>
      <c r="X20" s="1355"/>
      <c r="Y20" s="373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1"/>
      <c r="Q21" s="1352" t="str">
        <f>B21</f>
        <v>基础设施水平</v>
      </c>
      <c r="R21" s="705" t="s">
        <v>14</v>
      </c>
      <c r="S21" s="706">
        <f>F21</f>
        <v>100</v>
      </c>
      <c r="T21" s="705" t="s">
        <v>14</v>
      </c>
      <c r="U21" s="706">
        <f>H21</f>
        <v>100</v>
      </c>
      <c r="V21" s="705" t="s">
        <v>14</v>
      </c>
      <c r="W21" s="706">
        <f>J21</f>
        <v>100</v>
      </c>
      <c r="X21" s="1355"/>
      <c r="Y21" s="373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1"/>
      <c r="Q22" s="1352"/>
      <c r="R22" s="705"/>
      <c r="S22" s="706"/>
      <c r="T22" s="705"/>
      <c r="U22" s="706"/>
      <c r="V22" s="705"/>
      <c r="W22" s="706"/>
      <c r="X22" s="1355"/>
      <c r="Y22" s="373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1"/>
      <c r="Q23" s="1352" t="str">
        <f>B23</f>
        <v>环境质量</v>
      </c>
      <c r="R23" s="705" t="s">
        <v>14</v>
      </c>
      <c r="S23" s="706">
        <f>F23</f>
        <v>100</v>
      </c>
      <c r="T23" s="705" t="s">
        <v>14</v>
      </c>
      <c r="U23" s="706">
        <f>H23</f>
        <v>100</v>
      </c>
      <c r="V23" s="705" t="s">
        <v>14</v>
      </c>
      <c r="W23" s="706">
        <f>J23</f>
        <v>100</v>
      </c>
      <c r="X23" s="1355"/>
      <c r="Y23" s="373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1"/>
      <c r="Q24" s="1352"/>
      <c r="R24" s="705"/>
      <c r="S24" s="706"/>
      <c r="T24" s="705"/>
      <c r="U24" s="706"/>
      <c r="V24" s="705"/>
      <c r="W24" s="706"/>
      <c r="X24" s="1355"/>
      <c r="Y24" s="373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1"/>
      <c r="Q25" s="1352">
        <f>B25</f>
        <v>111</v>
      </c>
      <c r="R25" s="705" t="s">
        <v>14</v>
      </c>
      <c r="S25" s="706">
        <f>F25</f>
        <v>100</v>
      </c>
      <c r="T25" s="705" t="s">
        <v>14</v>
      </c>
      <c r="U25" s="706">
        <f>H25</f>
        <v>100</v>
      </c>
      <c r="V25" s="705" t="s">
        <v>14</v>
      </c>
      <c r="W25" s="706">
        <f>J25</f>
        <v>100</v>
      </c>
      <c r="X25" s="1355"/>
      <c r="Y25" s="373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1"/>
      <c r="Q26" s="1352">
        <f t="shared" ref="Q26:Q40" si="11">B26</f>
        <v>111</v>
      </c>
      <c r="R26" s="705" t="s">
        <v>14</v>
      </c>
      <c r="S26" s="706">
        <f>F26</f>
        <v>100</v>
      </c>
      <c r="T26" s="705" t="s">
        <v>14</v>
      </c>
      <c r="U26" s="706">
        <f>H26</f>
        <v>100</v>
      </c>
      <c r="V26" s="705" t="s">
        <v>14</v>
      </c>
      <c r="W26" s="706">
        <f>J26</f>
        <v>100</v>
      </c>
      <c r="X26" s="1355"/>
      <c r="Y26" s="373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1"/>
      <c r="Q27" s="1343">
        <f t="shared" si="11"/>
        <v>111</v>
      </c>
      <c r="R27" s="701" t="s">
        <v>14</v>
      </c>
      <c r="S27" s="702">
        <f>F27</f>
        <v>100</v>
      </c>
      <c r="T27" s="701" t="s">
        <v>14</v>
      </c>
      <c r="U27" s="702">
        <f>H27</f>
        <v>100</v>
      </c>
      <c r="V27" s="701" t="s">
        <v>14</v>
      </c>
      <c r="W27" s="702">
        <f>J27</f>
        <v>100</v>
      </c>
      <c r="X27" s="703"/>
      <c r="Y27" s="373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1"/>
      <c r="Q28" s="1352">
        <f t="shared" si="11"/>
        <v>111</v>
      </c>
      <c r="R28" s="705" t="s">
        <v>14</v>
      </c>
      <c r="S28" s="706">
        <f t="shared" ref="S28:S40" si="12">F28</f>
        <v>100</v>
      </c>
      <c r="T28" s="705" t="s">
        <v>14</v>
      </c>
      <c r="U28" s="706">
        <f t="shared" ref="U28:U40" si="13">H28</f>
        <v>100</v>
      </c>
      <c r="V28" s="705" t="s">
        <v>14</v>
      </c>
      <c r="W28" s="706">
        <f t="shared" ref="W28:W40" si="14">J28</f>
        <v>100</v>
      </c>
      <c r="X28" s="1355"/>
      <c r="Y28" s="373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3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5"/>
      <c r="Q30" s="707" t="str">
        <f t="shared" si="11"/>
        <v>项目建筑规模</v>
      </c>
      <c r="R30" s="708" t="s">
        <v>14</v>
      </c>
      <c r="S30" s="709" t="e">
        <f t="shared" si="12"/>
        <v>#N/A</v>
      </c>
      <c r="T30" s="708" t="s">
        <v>14</v>
      </c>
      <c r="U30" s="709" t="e">
        <f t="shared" si="13"/>
        <v>#N/A</v>
      </c>
      <c r="V30" s="708" t="s">
        <v>14</v>
      </c>
      <c r="W30" s="709" t="e">
        <f t="shared" si="14"/>
        <v>#N/A</v>
      </c>
      <c r="X30" s="710"/>
      <c r="Y30" s="373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5"/>
      <c r="Q31" s="1352" t="str">
        <f t="shared" si="11"/>
        <v>建筑结构</v>
      </c>
      <c r="R31" s="705" t="s">
        <v>14</v>
      </c>
      <c r="S31" s="706">
        <f t="shared" si="12"/>
        <v>100</v>
      </c>
      <c r="T31" s="705" t="s">
        <v>14</v>
      </c>
      <c r="U31" s="706">
        <f t="shared" si="13"/>
        <v>100</v>
      </c>
      <c r="V31" s="705" t="s">
        <v>14</v>
      </c>
      <c r="W31" s="706">
        <f t="shared" si="14"/>
        <v>100</v>
      </c>
      <c r="X31" s="1355"/>
      <c r="Y31" s="373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5"/>
      <c r="Q32" s="1352" t="str">
        <f t="shared" si="11"/>
        <v>公共部分装修</v>
      </c>
      <c r="R32" s="705" t="s">
        <v>14</v>
      </c>
      <c r="S32" s="706">
        <f t="shared" si="12"/>
        <v>100</v>
      </c>
      <c r="T32" s="705" t="s">
        <v>14</v>
      </c>
      <c r="U32" s="706">
        <f t="shared" si="13"/>
        <v>100</v>
      </c>
      <c r="V32" s="705" t="s">
        <v>14</v>
      </c>
      <c r="W32" s="706">
        <f t="shared" si="14"/>
        <v>100</v>
      </c>
      <c r="X32" s="1355"/>
      <c r="Y32" s="373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5"/>
      <c r="Q33" s="1352" t="str">
        <f t="shared" si="11"/>
        <v>成新度</v>
      </c>
      <c r="R33" s="705" t="s">
        <v>14</v>
      </c>
      <c r="S33" s="706" t="e">
        <f t="shared" si="12"/>
        <v>#N/A</v>
      </c>
      <c r="T33" s="705" t="s">
        <v>14</v>
      </c>
      <c r="U33" s="706" t="e">
        <f t="shared" si="13"/>
        <v>#N/A</v>
      </c>
      <c r="V33" s="705" t="s">
        <v>14</v>
      </c>
      <c r="W33" s="706" t="e">
        <f t="shared" si="14"/>
        <v>#N/A</v>
      </c>
      <c r="X33" s="1355"/>
      <c r="Y33" s="373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5"/>
      <c r="Q34" s="1343" t="str">
        <f t="shared" si="11"/>
        <v>物业管理</v>
      </c>
      <c r="R34" s="701" t="s">
        <v>14</v>
      </c>
      <c r="S34" s="702">
        <f t="shared" si="12"/>
        <v>100</v>
      </c>
      <c r="T34" s="701" t="s">
        <v>14</v>
      </c>
      <c r="U34" s="702">
        <f t="shared" si="13"/>
        <v>100</v>
      </c>
      <c r="V34" s="701" t="s">
        <v>14</v>
      </c>
      <c r="W34" s="702">
        <f t="shared" si="14"/>
        <v>100</v>
      </c>
      <c r="X34" s="703"/>
      <c r="Y34" s="373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5" t="s">
        <v>1696</v>
      </c>
      <c r="Q35" s="1352" t="str">
        <f t="shared" si="11"/>
        <v>市政基础设施</v>
      </c>
      <c r="R35" s="705" t="s">
        <v>14</v>
      </c>
      <c r="S35" s="706">
        <f t="shared" si="12"/>
        <v>100</v>
      </c>
      <c r="T35" s="705" t="s">
        <v>14</v>
      </c>
      <c r="U35" s="706">
        <f t="shared" si="13"/>
        <v>100</v>
      </c>
      <c r="V35" s="705" t="s">
        <v>14</v>
      </c>
      <c r="W35" s="706">
        <f t="shared" si="14"/>
        <v>100</v>
      </c>
      <c r="X35" s="1355"/>
      <c r="Y35" s="373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5"/>
      <c r="Q36" s="1352" t="str">
        <f t="shared" si="11"/>
        <v>内部装修</v>
      </c>
      <c r="R36" s="705" t="s">
        <v>14</v>
      </c>
      <c r="S36" s="706">
        <f t="shared" si="12"/>
        <v>100</v>
      </c>
      <c r="T36" s="705" t="s">
        <v>14</v>
      </c>
      <c r="U36" s="706">
        <f t="shared" si="13"/>
        <v>100</v>
      </c>
      <c r="V36" s="705" t="s">
        <v>14</v>
      </c>
      <c r="W36" s="706">
        <f t="shared" si="14"/>
        <v>100</v>
      </c>
      <c r="X36" s="1355"/>
      <c r="Y36" s="373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5"/>
      <c r="Q37" s="1352" t="str">
        <f t="shared" si="11"/>
        <v>内部装修状况</v>
      </c>
      <c r="R37" s="705" t="s">
        <v>14</v>
      </c>
      <c r="S37" s="706">
        <f t="shared" si="12"/>
        <v>100</v>
      </c>
      <c r="T37" s="705" t="s">
        <v>14</v>
      </c>
      <c r="U37" s="706">
        <f t="shared" si="13"/>
        <v>100</v>
      </c>
      <c r="V37" s="705" t="s">
        <v>14</v>
      </c>
      <c r="W37" s="706">
        <f t="shared" si="14"/>
        <v>100</v>
      </c>
      <c r="X37" s="1355"/>
      <c r="Y37" s="373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5"/>
      <c r="Q38" s="707">
        <f t="shared" si="11"/>
        <v>111</v>
      </c>
      <c r="R38" s="708" t="s">
        <v>14</v>
      </c>
      <c r="S38" s="709">
        <f t="shared" si="12"/>
        <v>100</v>
      </c>
      <c r="T38" s="708" t="s">
        <v>14</v>
      </c>
      <c r="U38" s="709">
        <f t="shared" si="13"/>
        <v>100</v>
      </c>
      <c r="V38" s="708" t="s">
        <v>14</v>
      </c>
      <c r="W38" s="709">
        <f t="shared" si="14"/>
        <v>100</v>
      </c>
      <c r="X38" s="710"/>
      <c r="Y38" s="373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5"/>
      <c r="Q39" s="1352">
        <f t="shared" si="11"/>
        <v>111</v>
      </c>
      <c r="R39" s="705" t="s">
        <v>14</v>
      </c>
      <c r="S39" s="706">
        <f t="shared" si="12"/>
        <v>100</v>
      </c>
      <c r="T39" s="705" t="s">
        <v>14</v>
      </c>
      <c r="U39" s="706">
        <f t="shared" si="13"/>
        <v>100</v>
      </c>
      <c r="V39" s="705" t="s">
        <v>14</v>
      </c>
      <c r="W39" s="706">
        <f t="shared" si="14"/>
        <v>100</v>
      </c>
      <c r="X39" s="1355"/>
      <c r="Y39" s="373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6"/>
      <c r="Q40" s="1352">
        <f t="shared" si="11"/>
        <v>111</v>
      </c>
      <c r="R40" s="705" t="s">
        <v>14</v>
      </c>
      <c r="S40" s="706">
        <f t="shared" si="12"/>
        <v>100</v>
      </c>
      <c r="T40" s="705" t="s">
        <v>14</v>
      </c>
      <c r="U40" s="706">
        <f t="shared" si="13"/>
        <v>100</v>
      </c>
      <c r="V40" s="705" t="s">
        <v>14</v>
      </c>
      <c r="W40" s="706">
        <f t="shared" si="14"/>
        <v>100</v>
      </c>
      <c r="X40" s="1355"/>
      <c r="Y40" s="373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9" priority="20" stopIfTrue="1" operator="containsText" text="超过">
      <formula>NOT(ISERROR(SEARCH("超过",F46)))</formula>
    </cfRule>
  </conditionalFormatting>
  <conditionalFormatting sqref="H48">
    <cfRule type="containsText" dxfId="128" priority="19" stopIfTrue="1" operator="containsText" text="超过">
      <formula>NOT(ISERROR(SEARCH("超过",H48)))</formula>
    </cfRule>
  </conditionalFormatting>
  <conditionalFormatting sqref="F48">
    <cfRule type="containsText" dxfId="127" priority="18" stopIfTrue="1" operator="containsText" text="超过">
      <formula>NOT(ISERROR(SEARCH("超过",F48)))</formula>
    </cfRule>
  </conditionalFormatting>
  <conditionalFormatting sqref="F47 H47">
    <cfRule type="containsText" dxfId="126" priority="17" stopIfTrue="1" operator="containsText" text="超过">
      <formula>NOT(ISERROR(SEARCH("超过",F47)))</formula>
    </cfRule>
  </conditionalFormatting>
  <conditionalFormatting sqref="E46">
    <cfRule type="expression" dxfId="125" priority="16" stopIfTrue="1">
      <formula>$F$46="超过30%"</formula>
    </cfRule>
  </conditionalFormatting>
  <conditionalFormatting sqref="E47">
    <cfRule type="expression" dxfId="124" priority="15" stopIfTrue="1">
      <formula>$F$47="超过20%"</formula>
    </cfRule>
  </conditionalFormatting>
  <conditionalFormatting sqref="E48">
    <cfRule type="expression" dxfId="123" priority="14" stopIfTrue="1">
      <formula>$F$48="超过30%"</formula>
    </cfRule>
  </conditionalFormatting>
  <conditionalFormatting sqref="G48">
    <cfRule type="expression" dxfId="122" priority="13" stopIfTrue="1">
      <formula>$H$48="超过30%"</formula>
    </cfRule>
  </conditionalFormatting>
  <conditionalFormatting sqref="G46">
    <cfRule type="expression" dxfId="121" priority="12" stopIfTrue="1">
      <formula>$H$46="超过30%"</formula>
    </cfRule>
  </conditionalFormatting>
  <conditionalFormatting sqref="G47">
    <cfRule type="expression" dxfId="120" priority="11" stopIfTrue="1">
      <formula>$H$47="超过20%"</formula>
    </cfRule>
  </conditionalFormatting>
  <conditionalFormatting sqref="J46">
    <cfRule type="containsText" dxfId="119" priority="10" stopIfTrue="1" operator="containsText" text="超过">
      <formula>NOT(ISERROR(SEARCH("超过",J46)))</formula>
    </cfRule>
  </conditionalFormatting>
  <conditionalFormatting sqref="J48">
    <cfRule type="containsText" dxfId="118" priority="9" stopIfTrue="1" operator="containsText" text="超过">
      <formula>NOT(ISERROR(SEARCH("超过",J48)))</formula>
    </cfRule>
  </conditionalFormatting>
  <conditionalFormatting sqref="J47">
    <cfRule type="containsText" dxfId="117" priority="8" stopIfTrue="1" operator="containsText" text="超过">
      <formula>NOT(ISERROR(SEARCH("超过",J47)))</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F42">
    <cfRule type="expression" dxfId="113" priority="4">
      <formula>$D$42="简单平均"</formula>
    </cfRule>
  </conditionalFormatting>
  <conditionalFormatting sqref="H42">
    <cfRule type="expression" dxfId="112" priority="3">
      <formula>$D$42="简单平均"</formula>
    </cfRule>
  </conditionalFormatting>
  <conditionalFormatting sqref="J42">
    <cfRule type="expression" dxfId="111" priority="2">
      <formula>$D$42="简单平均"</formula>
    </cfRule>
  </conditionalFormatting>
  <conditionalFormatting sqref="F7:F40 H7:H40 J7:J40">
    <cfRule type="cellIs" dxfId="11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45362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1"/>
      <c r="Q15" s="1352"/>
      <c r="R15" s="705"/>
      <c r="S15" s="706"/>
      <c r="T15" s="705"/>
      <c r="U15" s="706"/>
      <c r="V15" s="705"/>
      <c r="W15" s="706"/>
      <c r="X15" s="1355"/>
      <c r="Y15" s="373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1"/>
      <c r="Q17" s="1352"/>
      <c r="R17" s="705"/>
      <c r="S17" s="706"/>
      <c r="T17" s="705"/>
      <c r="U17" s="706"/>
      <c r="V17" s="705"/>
      <c r="W17" s="706"/>
      <c r="X17" s="1355"/>
      <c r="Y17" s="373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1"/>
      <c r="Q19" s="1352"/>
      <c r="R19" s="705"/>
      <c r="S19" s="706"/>
      <c r="T19" s="705"/>
      <c r="U19" s="706"/>
      <c r="V19" s="705"/>
      <c r="W19" s="706"/>
      <c r="X19" s="1355"/>
      <c r="Y19" s="373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1"/>
      <c r="Q21" s="1352"/>
      <c r="R21" s="705"/>
      <c r="S21" s="706"/>
      <c r="T21" s="705"/>
      <c r="U21" s="706"/>
      <c r="V21" s="705"/>
      <c r="W21" s="706"/>
      <c r="X21" s="1355"/>
      <c r="Y21" s="373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1"/>
      <c r="Q24" s="1352">
        <f t="shared" ref="Q24:Q36"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5"/>
      <c r="Q27" s="707" t="str">
        <f t="shared" si="11"/>
        <v>项目停车位配比</v>
      </c>
      <c r="R27" s="708" t="s">
        <v>14</v>
      </c>
      <c r="S27" s="709">
        <f t="shared" si="12"/>
        <v>100</v>
      </c>
      <c r="T27" s="708" t="s">
        <v>14</v>
      </c>
      <c r="U27" s="709">
        <f t="shared" si="13"/>
        <v>100</v>
      </c>
      <c r="V27" s="708" t="s">
        <v>14</v>
      </c>
      <c r="W27" s="709">
        <f t="shared" si="14"/>
        <v>100</v>
      </c>
      <c r="X27" s="710"/>
      <c r="Y27" s="373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5"/>
      <c r="Q28" s="1352" t="str">
        <f t="shared" si="11"/>
        <v>公共部分装修</v>
      </c>
      <c r="R28" s="705" t="s">
        <v>14</v>
      </c>
      <c r="S28" s="706">
        <f t="shared" si="12"/>
        <v>100</v>
      </c>
      <c r="T28" s="705" t="s">
        <v>14</v>
      </c>
      <c r="U28" s="706">
        <f t="shared" si="13"/>
        <v>100</v>
      </c>
      <c r="V28" s="705" t="s">
        <v>14</v>
      </c>
      <c r="W28" s="706">
        <f t="shared" si="14"/>
        <v>100</v>
      </c>
      <c r="X28" s="1355"/>
      <c r="Y28" s="373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5"/>
      <c r="Q29" s="1352" t="str">
        <f t="shared" si="11"/>
        <v>成新率</v>
      </c>
      <c r="R29" s="705" t="s">
        <v>14</v>
      </c>
      <c r="S29" s="706" t="e">
        <f t="shared" si="12"/>
        <v>#N/A</v>
      </c>
      <c r="T29" s="705" t="s">
        <v>14</v>
      </c>
      <c r="U29" s="706" t="e">
        <f t="shared" si="13"/>
        <v>#N/A</v>
      </c>
      <c r="V29" s="705" t="s">
        <v>14</v>
      </c>
      <c r="W29" s="706" t="e">
        <f t="shared" si="14"/>
        <v>#N/A</v>
      </c>
      <c r="X29" s="1355"/>
      <c r="Y29" s="373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5"/>
      <c r="Q30" s="1352" t="str">
        <f t="shared" si="11"/>
        <v>物业等级</v>
      </c>
      <c r="R30" s="705" t="s">
        <v>14</v>
      </c>
      <c r="S30" s="706">
        <f t="shared" si="12"/>
        <v>100</v>
      </c>
      <c r="T30" s="705" t="s">
        <v>14</v>
      </c>
      <c r="U30" s="706">
        <f t="shared" si="13"/>
        <v>100</v>
      </c>
      <c r="V30" s="705" t="s">
        <v>14</v>
      </c>
      <c r="W30" s="706">
        <f t="shared" si="14"/>
        <v>100</v>
      </c>
      <c r="X30" s="1355"/>
      <c r="Y30" s="373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5"/>
      <c r="Q31" s="1343" t="str">
        <f t="shared" si="11"/>
        <v>停车位面积</v>
      </c>
      <c r="R31" s="701" t="s">
        <v>14</v>
      </c>
      <c r="S31" s="702" t="e">
        <f t="shared" si="12"/>
        <v>#N/A</v>
      </c>
      <c r="T31" s="701" t="s">
        <v>14</v>
      </c>
      <c r="U31" s="702" t="e">
        <f t="shared" si="13"/>
        <v>#N/A</v>
      </c>
      <c r="V31" s="701" t="s">
        <v>14</v>
      </c>
      <c r="W31" s="702" t="e">
        <f t="shared" si="14"/>
        <v>#N/A</v>
      </c>
      <c r="X31" s="703"/>
      <c r="Y31" s="373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5" t="s">
        <v>1696</v>
      </c>
      <c r="Q32" s="1352" t="str">
        <f t="shared" si="11"/>
        <v>车位类型</v>
      </c>
      <c r="R32" s="705" t="s">
        <v>14</v>
      </c>
      <c r="S32" s="706">
        <f t="shared" si="12"/>
        <v>100</v>
      </c>
      <c r="T32" s="705" t="s">
        <v>14</v>
      </c>
      <c r="U32" s="706">
        <f t="shared" si="13"/>
        <v>100</v>
      </c>
      <c r="V32" s="705" t="s">
        <v>14</v>
      </c>
      <c r="W32" s="706">
        <f t="shared" si="14"/>
        <v>100</v>
      </c>
      <c r="X32" s="1355"/>
      <c r="Y32" s="373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5"/>
      <c r="Q33" s="1352" t="str">
        <f t="shared" si="11"/>
        <v>是否直接入户</v>
      </c>
      <c r="R33" s="705" t="s">
        <v>14</v>
      </c>
      <c r="S33" s="706">
        <f t="shared" si="12"/>
        <v>100</v>
      </c>
      <c r="T33" s="705" t="s">
        <v>14</v>
      </c>
      <c r="U33" s="706">
        <f t="shared" si="13"/>
        <v>100</v>
      </c>
      <c r="V33" s="705" t="s">
        <v>14</v>
      </c>
      <c r="W33" s="706">
        <f t="shared" si="14"/>
        <v>100</v>
      </c>
      <c r="X33" s="1355"/>
      <c r="Y33" s="373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5"/>
      <c r="Q35" s="707">
        <f t="shared" si="11"/>
        <v>111</v>
      </c>
      <c r="R35" s="708" t="s">
        <v>14</v>
      </c>
      <c r="S35" s="709">
        <f t="shared" si="12"/>
        <v>100</v>
      </c>
      <c r="T35" s="708" t="s">
        <v>14</v>
      </c>
      <c r="U35" s="709">
        <f t="shared" si="13"/>
        <v>100</v>
      </c>
      <c r="V35" s="708" t="s">
        <v>14</v>
      </c>
      <c r="W35" s="709">
        <f t="shared" si="14"/>
        <v>100</v>
      </c>
      <c r="X35" s="710"/>
      <c r="Y35" s="373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5"/>
      <c r="Q36" s="1352">
        <f t="shared" si="11"/>
        <v>111</v>
      </c>
      <c r="R36" s="705" t="s">
        <v>14</v>
      </c>
      <c r="S36" s="706">
        <f t="shared" si="12"/>
        <v>100</v>
      </c>
      <c r="T36" s="705" t="s">
        <v>14</v>
      </c>
      <c r="U36" s="706">
        <f t="shared" si="13"/>
        <v>100</v>
      </c>
      <c r="V36" s="705" t="s">
        <v>14</v>
      </c>
      <c r="W36" s="706">
        <f t="shared" si="14"/>
        <v>100</v>
      </c>
      <c r="X36" s="1355"/>
      <c r="Y36" s="373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5" t="str">
        <f>A39</f>
        <v>估价对象XX用房的比较价值（楼面单价，元/平方米）</v>
      </c>
      <c r="Q39" s="3726"/>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9" priority="18" stopIfTrue="1" operator="containsText" text="超过">
      <formula>NOT(ISERROR(SEARCH("超过",F42)))</formula>
    </cfRule>
  </conditionalFormatting>
  <conditionalFormatting sqref="J44">
    <cfRule type="containsText" dxfId="108" priority="17" stopIfTrue="1" operator="containsText" text="超过">
      <formula>NOT(ISERROR(SEARCH("超过",J44)))</formula>
    </cfRule>
  </conditionalFormatting>
  <conditionalFormatting sqref="H44">
    <cfRule type="containsText" dxfId="107" priority="16" stopIfTrue="1" operator="containsText" text="超过">
      <formula>NOT(ISERROR(SEARCH("超过",H44)))</formula>
    </cfRule>
  </conditionalFormatting>
  <conditionalFormatting sqref="F44">
    <cfRule type="containsText" dxfId="106" priority="15" stopIfTrue="1" operator="containsText" text="超过">
      <formula>NOT(ISERROR(SEARCH("超过",F44)))</formula>
    </cfRule>
  </conditionalFormatting>
  <conditionalFormatting sqref="F43 H43 J43">
    <cfRule type="containsText" dxfId="105" priority="14" stopIfTrue="1" operator="containsText" text="超过">
      <formula>NOT(ISERROR(SEARCH("超过",F43)))</formula>
    </cfRule>
  </conditionalFormatting>
  <conditionalFormatting sqref="E42">
    <cfRule type="expression" dxfId="104" priority="13" stopIfTrue="1">
      <formula>$F$42="超过30%"</formula>
    </cfRule>
  </conditionalFormatting>
  <conditionalFormatting sqref="G44">
    <cfRule type="expression" dxfId="103" priority="12" stopIfTrue="1">
      <formula>$H$54+$H$44="超过30%"</formula>
    </cfRule>
  </conditionalFormatting>
  <conditionalFormatting sqref="E43">
    <cfRule type="expression" dxfId="102" priority="11" stopIfTrue="1">
      <formula>$F$43="超过20%"</formula>
    </cfRule>
  </conditionalFormatting>
  <conditionalFormatting sqref="E44">
    <cfRule type="expression" dxfId="101" priority="10" stopIfTrue="1">
      <formula>$F$44="超过30%"</formula>
    </cfRule>
  </conditionalFormatting>
  <conditionalFormatting sqref="G42">
    <cfRule type="expression" dxfId="100" priority="9" stopIfTrue="1">
      <formula>$H$52+$H$42="超过30%"</formula>
    </cfRule>
  </conditionalFormatting>
  <conditionalFormatting sqref="G43">
    <cfRule type="expression" dxfId="99" priority="8" stopIfTrue="1">
      <formula>$H$43="超过20%"</formula>
    </cfRule>
  </conditionalFormatting>
  <conditionalFormatting sqref="I42">
    <cfRule type="expression" dxfId="98" priority="7" stopIfTrue="1">
      <formula>$J$52+$J$42="超过30%"</formula>
    </cfRule>
  </conditionalFormatting>
  <conditionalFormatting sqref="I43">
    <cfRule type="expression" dxfId="97" priority="6" stopIfTrue="1">
      <formula>$J$53+$J$43="超过20%"</formula>
    </cfRule>
  </conditionalFormatting>
  <conditionalFormatting sqref="I44">
    <cfRule type="expression" dxfId="96" priority="5" stopIfTrue="1">
      <formula>$J$44="超过30%"</formula>
    </cfRule>
  </conditionalFormatting>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F7:F36 H7:H36 J7:J36">
    <cfRule type="cellIs" dxfId="9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45362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0" t="s">
        <v>1691</v>
      </c>
      <c r="Q14" s="1352" t="str">
        <f t="shared" si="6"/>
        <v>交通便捷度</v>
      </c>
      <c r="R14" s="705" t="s">
        <v>14</v>
      </c>
      <c r="S14" s="706">
        <f t="shared" si="0"/>
        <v>100</v>
      </c>
      <c r="T14" s="705" t="s">
        <v>14</v>
      </c>
      <c r="U14" s="706">
        <f t="shared" si="1"/>
        <v>100</v>
      </c>
      <c r="V14" s="705" t="s">
        <v>14</v>
      </c>
      <c r="W14" s="706">
        <f t="shared" si="2"/>
        <v>100</v>
      </c>
      <c r="X14" s="1355"/>
      <c r="Y14" s="373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1"/>
      <c r="Q15" s="1352"/>
      <c r="R15" s="705"/>
      <c r="S15" s="706"/>
      <c r="T15" s="705"/>
      <c r="U15" s="706"/>
      <c r="V15" s="705"/>
      <c r="W15" s="706"/>
      <c r="X15" s="1355"/>
      <c r="Y15" s="373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1"/>
      <c r="Q16" s="1352" t="str">
        <f>B16</f>
        <v>公共配套设施</v>
      </c>
      <c r="R16" s="705" t="s">
        <v>14</v>
      </c>
      <c r="S16" s="706">
        <f>F16</f>
        <v>100</v>
      </c>
      <c r="T16" s="705" t="s">
        <v>14</v>
      </c>
      <c r="U16" s="706">
        <f>H16</f>
        <v>100</v>
      </c>
      <c r="V16" s="705" t="s">
        <v>14</v>
      </c>
      <c r="W16" s="706">
        <f>J16</f>
        <v>100</v>
      </c>
      <c r="X16" s="1355"/>
      <c r="Y16" s="373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1"/>
      <c r="Q17" s="1352"/>
      <c r="R17" s="705"/>
      <c r="S17" s="706"/>
      <c r="T17" s="705"/>
      <c r="U17" s="706"/>
      <c r="V17" s="705"/>
      <c r="W17" s="706"/>
      <c r="X17" s="1355"/>
      <c r="Y17" s="373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1"/>
      <c r="Q18" s="1352" t="str">
        <f>B18</f>
        <v>基础设施水平</v>
      </c>
      <c r="R18" s="705" t="s">
        <v>14</v>
      </c>
      <c r="S18" s="706">
        <f>F18</f>
        <v>100</v>
      </c>
      <c r="T18" s="705" t="s">
        <v>14</v>
      </c>
      <c r="U18" s="706">
        <f>H18</f>
        <v>100</v>
      </c>
      <c r="V18" s="705" t="s">
        <v>14</v>
      </c>
      <c r="W18" s="706">
        <f>J18</f>
        <v>100</v>
      </c>
      <c r="X18" s="1355"/>
      <c r="Y18" s="373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1"/>
      <c r="Q19" s="1352"/>
      <c r="R19" s="705"/>
      <c r="S19" s="706"/>
      <c r="T19" s="705"/>
      <c r="U19" s="706"/>
      <c r="V19" s="705"/>
      <c r="W19" s="706"/>
      <c r="X19" s="1355"/>
      <c r="Y19" s="373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1"/>
      <c r="Q20" s="1352" t="str">
        <f>B20</f>
        <v>自然及人文环境</v>
      </c>
      <c r="R20" s="705" t="s">
        <v>14</v>
      </c>
      <c r="S20" s="706">
        <f>F20</f>
        <v>100</v>
      </c>
      <c r="T20" s="705" t="s">
        <v>14</v>
      </c>
      <c r="U20" s="706">
        <f>H20</f>
        <v>100</v>
      </c>
      <c r="V20" s="705" t="s">
        <v>14</v>
      </c>
      <c r="W20" s="706">
        <f>J20</f>
        <v>100</v>
      </c>
      <c r="X20" s="1355"/>
      <c r="Y20" s="373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1"/>
      <c r="Q21" s="1352"/>
      <c r="R21" s="705"/>
      <c r="S21" s="706"/>
      <c r="T21" s="705"/>
      <c r="U21" s="706"/>
      <c r="V21" s="705"/>
      <c r="W21" s="706"/>
      <c r="X21" s="1355"/>
      <c r="Y21" s="373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1"/>
      <c r="Q22" s="1352" t="str">
        <f>B22</f>
        <v>楼层</v>
      </c>
      <c r="R22" s="705" t="s">
        <v>14</v>
      </c>
      <c r="S22" s="706">
        <f>F22</f>
        <v>100</v>
      </c>
      <c r="T22" s="705" t="s">
        <v>14</v>
      </c>
      <c r="U22" s="706">
        <f>H22</f>
        <v>100</v>
      </c>
      <c r="V22" s="705" t="s">
        <v>14</v>
      </c>
      <c r="W22" s="706">
        <f>J22</f>
        <v>100</v>
      </c>
      <c r="X22" s="1355"/>
      <c r="Y22" s="373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1"/>
      <c r="Q23" s="1352">
        <f>B23</f>
        <v>111</v>
      </c>
      <c r="R23" s="705" t="s">
        <v>14</v>
      </c>
      <c r="S23" s="706">
        <f>F23</f>
        <v>100</v>
      </c>
      <c r="T23" s="705" t="s">
        <v>14</v>
      </c>
      <c r="U23" s="706">
        <f>H23</f>
        <v>100</v>
      </c>
      <c r="V23" s="705" t="s">
        <v>14</v>
      </c>
      <c r="W23" s="706">
        <f>J23</f>
        <v>100</v>
      </c>
      <c r="X23" s="1355"/>
      <c r="Y23" s="373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1"/>
      <c r="Q24" s="1352">
        <f t="shared" ref="Q24:Q34" si="11">B24</f>
        <v>111</v>
      </c>
      <c r="R24" s="705" t="s">
        <v>14</v>
      </c>
      <c r="S24" s="706">
        <f>F24</f>
        <v>100</v>
      </c>
      <c r="T24" s="705" t="s">
        <v>14</v>
      </c>
      <c r="U24" s="706">
        <f>H24</f>
        <v>100</v>
      </c>
      <c r="V24" s="705" t="s">
        <v>14</v>
      </c>
      <c r="W24" s="706">
        <f>J24</f>
        <v>100</v>
      </c>
      <c r="X24" s="1355"/>
      <c r="Y24" s="373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1"/>
      <c r="Q25" s="1343">
        <f t="shared" si="11"/>
        <v>111</v>
      </c>
      <c r="R25" s="701" t="s">
        <v>14</v>
      </c>
      <c r="S25" s="702">
        <f>F25</f>
        <v>100</v>
      </c>
      <c r="T25" s="701" t="s">
        <v>14</v>
      </c>
      <c r="U25" s="702">
        <f>H25</f>
        <v>100</v>
      </c>
      <c r="V25" s="701" t="s">
        <v>14</v>
      </c>
      <c r="W25" s="702">
        <f>J25</f>
        <v>100</v>
      </c>
      <c r="X25" s="703"/>
      <c r="Y25" s="373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5"/>
      <c r="Q27" s="707" t="str">
        <f t="shared" si="11"/>
        <v>成新率</v>
      </c>
      <c r="R27" s="708" t="s">
        <v>14</v>
      </c>
      <c r="S27" s="709" t="e">
        <f t="shared" si="12"/>
        <v>#N/A</v>
      </c>
      <c r="T27" s="708" t="s">
        <v>14</v>
      </c>
      <c r="U27" s="709" t="e">
        <f t="shared" si="13"/>
        <v>#N/A</v>
      </c>
      <c r="V27" s="708" t="s">
        <v>14</v>
      </c>
      <c r="W27" s="709" t="e">
        <f t="shared" si="14"/>
        <v>#N/A</v>
      </c>
      <c r="X27" s="710"/>
      <c r="Y27" s="373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5"/>
      <c r="Q28" s="1352" t="str">
        <f t="shared" si="11"/>
        <v>物业等级</v>
      </c>
      <c r="R28" s="705" t="s">
        <v>14</v>
      </c>
      <c r="S28" s="706">
        <f t="shared" si="12"/>
        <v>100</v>
      </c>
      <c r="T28" s="705" t="s">
        <v>14</v>
      </c>
      <c r="U28" s="706">
        <f t="shared" si="13"/>
        <v>100</v>
      </c>
      <c r="V28" s="705" t="s">
        <v>14</v>
      </c>
      <c r="W28" s="706">
        <f t="shared" si="14"/>
        <v>100</v>
      </c>
      <c r="X28" s="1355"/>
      <c r="Y28" s="373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5"/>
      <c r="Q29" s="1352" t="str">
        <f t="shared" si="11"/>
        <v>有无电梯</v>
      </c>
      <c r="R29" s="705" t="s">
        <v>14</v>
      </c>
      <c r="S29" s="706">
        <f t="shared" si="12"/>
        <v>100</v>
      </c>
      <c r="T29" s="705" t="s">
        <v>14</v>
      </c>
      <c r="U29" s="706">
        <f t="shared" si="13"/>
        <v>100</v>
      </c>
      <c r="V29" s="705" t="s">
        <v>14</v>
      </c>
      <c r="W29" s="706">
        <f t="shared" si="14"/>
        <v>100</v>
      </c>
      <c r="X29" s="1355"/>
      <c r="Y29" s="373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5"/>
      <c r="Q30" s="1352" t="str">
        <f t="shared" si="11"/>
        <v>建筑面积</v>
      </c>
      <c r="R30" s="705" t="s">
        <v>14</v>
      </c>
      <c r="S30" s="706" t="e">
        <f t="shared" si="12"/>
        <v>#N/A</v>
      </c>
      <c r="T30" s="705" t="s">
        <v>14</v>
      </c>
      <c r="U30" s="706" t="e">
        <f t="shared" si="13"/>
        <v>#N/A</v>
      </c>
      <c r="V30" s="705" t="s">
        <v>14</v>
      </c>
      <c r="W30" s="706" t="e">
        <f t="shared" si="14"/>
        <v>#N/A</v>
      </c>
      <c r="X30" s="1355"/>
      <c r="Y30" s="373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5"/>
      <c r="Q31" s="1343" t="str">
        <f t="shared" si="11"/>
        <v>是否封闭</v>
      </c>
      <c r="R31" s="701" t="s">
        <v>14</v>
      </c>
      <c r="S31" s="702">
        <f t="shared" si="12"/>
        <v>100</v>
      </c>
      <c r="T31" s="701" t="s">
        <v>14</v>
      </c>
      <c r="U31" s="702">
        <f t="shared" si="13"/>
        <v>100</v>
      </c>
      <c r="V31" s="701" t="s">
        <v>14</v>
      </c>
      <c r="W31" s="702">
        <f t="shared" si="14"/>
        <v>100</v>
      </c>
      <c r="X31" s="703"/>
      <c r="Y31" s="373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5" t="s">
        <v>1696</v>
      </c>
      <c r="Q32" s="1352">
        <f t="shared" si="11"/>
        <v>111</v>
      </c>
      <c r="R32" s="705" t="s">
        <v>14</v>
      </c>
      <c r="S32" s="706">
        <f t="shared" si="12"/>
        <v>100</v>
      </c>
      <c r="T32" s="705" t="s">
        <v>14</v>
      </c>
      <c r="U32" s="706">
        <f t="shared" si="13"/>
        <v>100</v>
      </c>
      <c r="V32" s="705" t="s">
        <v>14</v>
      </c>
      <c r="W32" s="706">
        <f t="shared" si="14"/>
        <v>100</v>
      </c>
      <c r="X32" s="1355"/>
      <c r="Y32" s="373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5"/>
      <c r="Q33" s="1352">
        <f t="shared" si="11"/>
        <v>111</v>
      </c>
      <c r="R33" s="705" t="s">
        <v>14</v>
      </c>
      <c r="S33" s="706">
        <f t="shared" si="12"/>
        <v>100</v>
      </c>
      <c r="T33" s="705" t="s">
        <v>14</v>
      </c>
      <c r="U33" s="706">
        <f t="shared" si="13"/>
        <v>100</v>
      </c>
      <c r="V33" s="705" t="s">
        <v>14</v>
      </c>
      <c r="W33" s="706">
        <f t="shared" si="14"/>
        <v>100</v>
      </c>
      <c r="X33" s="1355"/>
      <c r="Y33" s="373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5"/>
      <c r="Q34" s="1352">
        <f t="shared" si="11"/>
        <v>111</v>
      </c>
      <c r="R34" s="705" t="s">
        <v>14</v>
      </c>
      <c r="S34" s="706">
        <f t="shared" si="12"/>
        <v>100</v>
      </c>
      <c r="T34" s="705" t="s">
        <v>14</v>
      </c>
      <c r="U34" s="706">
        <f t="shared" si="13"/>
        <v>100</v>
      </c>
      <c r="V34" s="705" t="s">
        <v>14</v>
      </c>
      <c r="W34" s="706">
        <f t="shared" si="14"/>
        <v>100</v>
      </c>
      <c r="X34" s="1355"/>
      <c r="Y34" s="373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5" t="str">
        <f>A37</f>
        <v>估价对象XX用房的比较价值（楼面单价，元/平方米）</v>
      </c>
      <c r="Q37" s="3726"/>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1" priority="18" stopIfTrue="1" operator="containsText" text="超过">
      <formula>NOT(ISERROR(SEARCH("超过",F40)))</formula>
    </cfRule>
  </conditionalFormatting>
  <conditionalFormatting sqref="J42">
    <cfRule type="containsText" dxfId="90" priority="17" stopIfTrue="1" operator="containsText" text="超过">
      <formula>NOT(ISERROR(SEARCH("超过",J42)))</formula>
    </cfRule>
  </conditionalFormatting>
  <conditionalFormatting sqref="H42">
    <cfRule type="containsText" dxfId="89" priority="16" stopIfTrue="1" operator="containsText" text="超过">
      <formula>NOT(ISERROR(SEARCH("超过",H42)))</formula>
    </cfRule>
  </conditionalFormatting>
  <conditionalFormatting sqref="F42">
    <cfRule type="containsText" dxfId="88" priority="15" stopIfTrue="1" operator="containsText" text="超过">
      <formula>NOT(ISERROR(SEARCH("超过",F42)))</formula>
    </cfRule>
  </conditionalFormatting>
  <conditionalFormatting sqref="F41 H41 J41">
    <cfRule type="containsText" dxfId="87" priority="14" stopIfTrue="1" operator="containsText" text="超过">
      <formula>NOT(ISERROR(SEARCH("超过",F41)))</formula>
    </cfRule>
  </conditionalFormatting>
  <conditionalFormatting sqref="E40">
    <cfRule type="expression" dxfId="86" priority="13" stopIfTrue="1">
      <formula>$F$40="超过30%"</formula>
    </cfRule>
  </conditionalFormatting>
  <conditionalFormatting sqref="G42">
    <cfRule type="expression" dxfId="85" priority="12" stopIfTrue="1">
      <formula>$H$54+$H$42="超过30%"</formula>
    </cfRule>
  </conditionalFormatting>
  <conditionalFormatting sqref="E41">
    <cfRule type="expression" dxfId="84" priority="11" stopIfTrue="1">
      <formula>$F$41="超过20%"</formula>
    </cfRule>
  </conditionalFormatting>
  <conditionalFormatting sqref="E42">
    <cfRule type="expression" dxfId="83" priority="10" stopIfTrue="1">
      <formula>$F$42="超过30%"</formula>
    </cfRule>
  </conditionalFormatting>
  <conditionalFormatting sqref="G40">
    <cfRule type="expression" dxfId="82" priority="9" stopIfTrue="1">
      <formula>$H$52+$H$40="超过30%"</formula>
    </cfRule>
  </conditionalFormatting>
  <conditionalFormatting sqref="G41">
    <cfRule type="expression" dxfId="81" priority="8" stopIfTrue="1">
      <formula>$H$53+$H$41="超过20%"</formula>
    </cfRule>
  </conditionalFormatting>
  <conditionalFormatting sqref="I40">
    <cfRule type="expression" dxfId="80" priority="7" stopIfTrue="1">
      <formula>$J$40="超过30%"</formula>
    </cfRule>
  </conditionalFormatting>
  <conditionalFormatting sqref="I41">
    <cfRule type="expression" dxfId="79" priority="6" stopIfTrue="1">
      <formula>$J$41="超过20%"</formula>
    </cfRule>
  </conditionalFormatting>
  <conditionalFormatting sqref="I42">
    <cfRule type="expression" dxfId="78" priority="5" stopIfTrue="1">
      <formula>$J$42="超过30%"</formula>
    </cfRule>
  </conditionalFormatting>
  <conditionalFormatting sqref="F36">
    <cfRule type="expression" dxfId="77" priority="4">
      <formula>$D$36="简单平均"</formula>
    </cfRule>
  </conditionalFormatting>
  <conditionalFormatting sqref="H36">
    <cfRule type="expression" dxfId="76" priority="3">
      <formula>$D$36="简单平均"</formula>
    </cfRule>
  </conditionalFormatting>
  <conditionalFormatting sqref="J36">
    <cfRule type="expression" dxfId="75" priority="2">
      <formula>$D$36="简单平均"</formula>
    </cfRule>
  </conditionalFormatting>
  <conditionalFormatting sqref="F7:F34 H7:H34 J7:J34">
    <cfRule type="cellIs" dxfId="7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30"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30" s="108" customFormat="1" ht="15.75" thickBot="1">
      <c r="A7" s="362" t="s">
        <v>1679</v>
      </c>
      <c r="B7" s="363"/>
      <c r="C7" s="364">
        <f>'数据-取费表'!B2</f>
        <v>45362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0" t="s">
        <v>1691</v>
      </c>
      <c r="Q15" s="1352" t="str">
        <f t="shared" si="6"/>
        <v>居住社区成熟度</v>
      </c>
      <c r="R15" s="705" t="s">
        <v>14</v>
      </c>
      <c r="S15" s="706">
        <f t="shared" si="0"/>
        <v>100</v>
      </c>
      <c r="T15" s="705" t="s">
        <v>14</v>
      </c>
      <c r="U15" s="706">
        <f t="shared" si="1"/>
        <v>100</v>
      </c>
      <c r="V15" s="705" t="s">
        <v>14</v>
      </c>
      <c r="W15" s="706">
        <f t="shared" si="2"/>
        <v>100</v>
      </c>
      <c r="X15" s="1355"/>
      <c r="Y15" s="373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1"/>
      <c r="Q17" s="1352" t="str">
        <f>B17</f>
        <v>商业繁华度</v>
      </c>
      <c r="R17" s="705" t="s">
        <v>14</v>
      </c>
      <c r="S17" s="706">
        <f>F17</f>
        <v>100</v>
      </c>
      <c r="T17" s="705" t="s">
        <v>14</v>
      </c>
      <c r="U17" s="706">
        <f>H17</f>
        <v>100</v>
      </c>
      <c r="V17" s="705" t="s">
        <v>14</v>
      </c>
      <c r="W17" s="706">
        <f>J17</f>
        <v>100</v>
      </c>
      <c r="X17" s="1355"/>
      <c r="Y17" s="373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1"/>
      <c r="Q19" s="1352" t="str">
        <f>B19</f>
        <v>办公集聚程度</v>
      </c>
      <c r="R19" s="705" t="s">
        <v>14</v>
      </c>
      <c r="S19" s="706">
        <f>F19</f>
        <v>100</v>
      </c>
      <c r="T19" s="705" t="s">
        <v>14</v>
      </c>
      <c r="U19" s="706">
        <f>H19</f>
        <v>100</v>
      </c>
      <c r="V19" s="705" t="s">
        <v>14</v>
      </c>
      <c r="W19" s="706">
        <f>J19</f>
        <v>100</v>
      </c>
      <c r="X19" s="1355"/>
      <c r="Y19" s="373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1"/>
      <c r="Q20" s="1352"/>
      <c r="R20" s="705"/>
      <c r="S20" s="706"/>
      <c r="T20" s="705"/>
      <c r="U20" s="706"/>
      <c r="V20" s="705"/>
      <c r="W20" s="706"/>
      <c r="X20" s="1355"/>
      <c r="Y20" s="373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1"/>
      <c r="Q21" s="1352" t="str">
        <f>B21</f>
        <v>交通便捷度</v>
      </c>
      <c r="R21" s="705" t="s">
        <v>14</v>
      </c>
      <c r="S21" s="706">
        <f>F21</f>
        <v>100</v>
      </c>
      <c r="T21" s="705" t="s">
        <v>14</v>
      </c>
      <c r="U21" s="706">
        <f>H21</f>
        <v>100</v>
      </c>
      <c r="V21" s="705" t="s">
        <v>14</v>
      </c>
      <c r="W21" s="706">
        <f>J21</f>
        <v>100</v>
      </c>
      <c r="X21" s="1355"/>
      <c r="Y21" s="373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1"/>
      <c r="Q23" s="1352" t="str">
        <f t="shared" ref="Q23:Q37" si="8">B23</f>
        <v>区域土地利用方向</v>
      </c>
      <c r="R23" s="705" t="s">
        <v>14</v>
      </c>
      <c r="S23" s="706">
        <f>F23</f>
        <v>100</v>
      </c>
      <c r="T23" s="705" t="s">
        <v>14</v>
      </c>
      <c r="U23" s="706">
        <f>H23</f>
        <v>100</v>
      </c>
      <c r="V23" s="705" t="s">
        <v>14</v>
      </c>
      <c r="W23" s="706">
        <f>J23</f>
        <v>100</v>
      </c>
      <c r="X23" s="1355"/>
      <c r="Y23" s="373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1"/>
      <c r="Q24" s="1352"/>
      <c r="R24" s="705"/>
      <c r="S24" s="706"/>
      <c r="T24" s="705"/>
      <c r="U24" s="706"/>
      <c r="V24" s="705"/>
      <c r="W24" s="706"/>
      <c r="X24" s="1355"/>
      <c r="Y24" s="373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1"/>
      <c r="Q25" s="1352" t="str">
        <f t="shared" si="8"/>
        <v>自然及人文环境状况</v>
      </c>
      <c r="R25" s="705" t="s">
        <v>14</v>
      </c>
      <c r="S25" s="706">
        <f>F25</f>
        <v>100</v>
      </c>
      <c r="T25" s="705" t="s">
        <v>14</v>
      </c>
      <c r="U25" s="706">
        <f>H25</f>
        <v>100</v>
      </c>
      <c r="V25" s="705" t="s">
        <v>14</v>
      </c>
      <c r="W25" s="706">
        <f>J25</f>
        <v>100</v>
      </c>
      <c r="X25" s="1355"/>
      <c r="Y25" s="373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1"/>
      <c r="Q26" s="1352"/>
      <c r="R26" s="705"/>
      <c r="S26" s="706"/>
      <c r="T26" s="705"/>
      <c r="U26" s="706"/>
      <c r="V26" s="705"/>
      <c r="W26" s="706"/>
      <c r="X26" s="1355"/>
      <c r="Y26" s="373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1"/>
      <c r="Q27" s="1343" t="str">
        <f t="shared" si="8"/>
        <v>公共配套设施</v>
      </c>
      <c r="R27" s="701" t="s">
        <v>14</v>
      </c>
      <c r="S27" s="702">
        <f>F27</f>
        <v>100</v>
      </c>
      <c r="T27" s="701" t="s">
        <v>14</v>
      </c>
      <c r="U27" s="702">
        <f>H27</f>
        <v>100</v>
      </c>
      <c r="V27" s="701" t="s">
        <v>14</v>
      </c>
      <c r="W27" s="702">
        <f>J27</f>
        <v>100</v>
      </c>
      <c r="X27" s="703"/>
      <c r="Y27" s="373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1"/>
      <c r="Q28" s="1343"/>
      <c r="R28" s="701"/>
      <c r="S28" s="702"/>
      <c r="T28" s="701"/>
      <c r="U28" s="702"/>
      <c r="V28" s="701"/>
      <c r="W28" s="702"/>
      <c r="X28" s="703"/>
      <c r="Y28" s="373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1"/>
      <c r="Q29" s="1343" t="str">
        <f t="shared" ref="Q29" si="9">B29</f>
        <v>基础设施水平</v>
      </c>
      <c r="R29" s="701" t="s">
        <v>14</v>
      </c>
      <c r="S29" s="702">
        <f>F29</f>
        <v>100</v>
      </c>
      <c r="T29" s="701" t="s">
        <v>14</v>
      </c>
      <c r="U29" s="702">
        <f>H29</f>
        <v>100</v>
      </c>
      <c r="V29" s="701" t="s">
        <v>14</v>
      </c>
      <c r="W29" s="702">
        <f>J29</f>
        <v>100</v>
      </c>
      <c r="X29" s="703"/>
      <c r="Y29" s="373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1"/>
      <c r="Q30" s="1343"/>
      <c r="R30" s="701"/>
      <c r="S30" s="702"/>
      <c r="T30" s="701"/>
      <c r="U30" s="702"/>
      <c r="V30" s="701"/>
      <c r="W30" s="702"/>
      <c r="X30" s="703"/>
      <c r="Y30" s="373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1"/>
      <c r="Q32" s="1352" t="str">
        <f t="shared" si="8"/>
        <v>毗邻道路的类型与等级</v>
      </c>
      <c r="R32" s="705" t="s">
        <v>14</v>
      </c>
      <c r="S32" s="706">
        <f t="shared" si="10"/>
        <v>100</v>
      </c>
      <c r="T32" s="705" t="s">
        <v>14</v>
      </c>
      <c r="U32" s="706">
        <f t="shared" si="11"/>
        <v>100</v>
      </c>
      <c r="V32" s="705" t="s">
        <v>14</v>
      </c>
      <c r="W32" s="706">
        <f t="shared" si="12"/>
        <v>100</v>
      </c>
      <c r="X32" s="1355"/>
      <c r="Y32" s="373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1"/>
      <c r="Q33" s="1352"/>
      <c r="R33" s="705"/>
      <c r="S33" s="706"/>
      <c r="T33" s="705"/>
      <c r="U33" s="706"/>
      <c r="V33" s="705"/>
      <c r="W33" s="706"/>
      <c r="X33" s="1355"/>
      <c r="Y33" s="373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1"/>
      <c r="Q34" s="1352" t="str">
        <f t="shared" si="8"/>
        <v>土地级别</v>
      </c>
      <c r="R34" s="705" t="s">
        <v>14</v>
      </c>
      <c r="S34" s="706">
        <f t="shared" si="10"/>
        <v>100</v>
      </c>
      <c r="T34" s="705" t="s">
        <v>14</v>
      </c>
      <c r="U34" s="706">
        <f t="shared" si="11"/>
        <v>100</v>
      </c>
      <c r="V34" s="705" t="s">
        <v>14</v>
      </c>
      <c r="W34" s="706">
        <f t="shared" si="12"/>
        <v>100</v>
      </c>
      <c r="X34" s="1355"/>
      <c r="Y34" s="373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1"/>
      <c r="Q35" s="1352">
        <f t="shared" si="8"/>
        <v>111</v>
      </c>
      <c r="R35" s="705" t="s">
        <v>14</v>
      </c>
      <c r="S35" s="706">
        <f t="shared" si="10"/>
        <v>100</v>
      </c>
      <c r="T35" s="705" t="s">
        <v>14</v>
      </c>
      <c r="U35" s="706">
        <f t="shared" si="11"/>
        <v>100</v>
      </c>
      <c r="V35" s="705" t="s">
        <v>14</v>
      </c>
      <c r="W35" s="706">
        <f t="shared" si="12"/>
        <v>100</v>
      </c>
      <c r="X35" s="1355"/>
      <c r="Y35" s="373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4" t="s">
        <v>1696</v>
      </c>
      <c r="Q36" s="1352">
        <f t="shared" si="8"/>
        <v>111</v>
      </c>
      <c r="R36" s="705" t="s">
        <v>14</v>
      </c>
      <c r="S36" s="706">
        <f t="shared" si="10"/>
        <v>100</v>
      </c>
      <c r="T36" s="705" t="s">
        <v>14</v>
      </c>
      <c r="U36" s="706">
        <f t="shared" si="11"/>
        <v>100</v>
      </c>
      <c r="V36" s="705" t="s">
        <v>14</v>
      </c>
      <c r="W36" s="706">
        <f t="shared" si="12"/>
        <v>100</v>
      </c>
      <c r="X36" s="1355"/>
      <c r="Y36" s="373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5"/>
      <c r="Q37" s="1352">
        <f t="shared" si="8"/>
        <v>111</v>
      </c>
      <c r="R37" s="708" t="s">
        <v>14</v>
      </c>
      <c r="S37" s="709">
        <f t="shared" si="10"/>
        <v>100</v>
      </c>
      <c r="T37" s="708" t="s">
        <v>14</v>
      </c>
      <c r="U37" s="709">
        <f t="shared" si="11"/>
        <v>100</v>
      </c>
      <c r="V37" s="708" t="s">
        <v>14</v>
      </c>
      <c r="W37" s="709">
        <f t="shared" si="12"/>
        <v>100</v>
      </c>
      <c r="X37" s="710"/>
      <c r="Y37" s="373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5"/>
      <c r="Q38" s="1352" t="str">
        <f>B38</f>
        <v>宗地面积</v>
      </c>
      <c r="R38" s="705" t="s">
        <v>14</v>
      </c>
      <c r="S38" s="706" t="e">
        <f t="shared" si="10"/>
        <v>#N/A</v>
      </c>
      <c r="T38" s="705" t="s">
        <v>14</v>
      </c>
      <c r="U38" s="706" t="e">
        <f t="shared" si="11"/>
        <v>#N/A</v>
      </c>
      <c r="V38" s="705" t="s">
        <v>14</v>
      </c>
      <c r="W38" s="706" t="e">
        <f t="shared" si="12"/>
        <v>#N/A</v>
      </c>
      <c r="X38" s="1355"/>
      <c r="Y38" s="373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5"/>
      <c r="Q39" s="1352" t="str">
        <f t="shared" ref="Q39:Q45" si="14">B39</f>
        <v>宗地形状</v>
      </c>
      <c r="R39" s="705" t="s">
        <v>14</v>
      </c>
      <c r="S39" s="706">
        <f t="shared" si="10"/>
        <v>100</v>
      </c>
      <c r="T39" s="705" t="s">
        <v>14</v>
      </c>
      <c r="U39" s="706">
        <f t="shared" si="11"/>
        <v>100</v>
      </c>
      <c r="V39" s="705" t="s">
        <v>14</v>
      </c>
      <c r="W39" s="706">
        <f t="shared" si="12"/>
        <v>100</v>
      </c>
      <c r="X39" s="1355"/>
      <c r="Y39" s="373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5"/>
      <c r="Q40" s="1352" t="str">
        <f t="shared" si="14"/>
        <v>临街宽度及深度</v>
      </c>
      <c r="R40" s="705" t="s">
        <v>14</v>
      </c>
      <c r="S40" s="706">
        <f t="shared" si="10"/>
        <v>100</v>
      </c>
      <c r="T40" s="705" t="s">
        <v>14</v>
      </c>
      <c r="U40" s="706">
        <f t="shared" si="11"/>
        <v>100</v>
      </c>
      <c r="V40" s="705" t="s">
        <v>14</v>
      </c>
      <c r="W40" s="706">
        <f t="shared" si="12"/>
        <v>100</v>
      </c>
      <c r="X40" s="1355"/>
      <c r="Y40" s="373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5"/>
      <c r="Q41" s="1352" t="str">
        <f t="shared" si="14"/>
        <v>宗地开发程度</v>
      </c>
      <c r="R41" s="701" t="s">
        <v>14</v>
      </c>
      <c r="S41" s="702">
        <f t="shared" si="10"/>
        <v>100</v>
      </c>
      <c r="T41" s="701" t="s">
        <v>14</v>
      </c>
      <c r="U41" s="702">
        <f t="shared" si="11"/>
        <v>100</v>
      </c>
      <c r="V41" s="701" t="s">
        <v>14</v>
      </c>
      <c r="W41" s="702">
        <f t="shared" si="12"/>
        <v>100</v>
      </c>
      <c r="X41" s="703"/>
      <c r="Y41" s="373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5" t="s">
        <v>1696</v>
      </c>
      <c r="Q42" s="1352" t="str">
        <f t="shared" si="14"/>
        <v>工程地质条件</v>
      </c>
      <c r="R42" s="705" t="s">
        <v>14</v>
      </c>
      <c r="S42" s="706">
        <f t="shared" si="10"/>
        <v>100</v>
      </c>
      <c r="T42" s="705" t="s">
        <v>14</v>
      </c>
      <c r="U42" s="706">
        <f t="shared" si="11"/>
        <v>100</v>
      </c>
      <c r="V42" s="705" t="s">
        <v>14</v>
      </c>
      <c r="W42" s="706">
        <f t="shared" si="12"/>
        <v>100</v>
      </c>
      <c r="X42" s="1355"/>
      <c r="Y42" s="373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5"/>
      <c r="Q43" s="1352">
        <f t="shared" si="14"/>
        <v>111</v>
      </c>
      <c r="R43" s="705" t="s">
        <v>14</v>
      </c>
      <c r="S43" s="706">
        <f t="shared" si="10"/>
        <v>100</v>
      </c>
      <c r="T43" s="705" t="s">
        <v>14</v>
      </c>
      <c r="U43" s="706">
        <f t="shared" si="11"/>
        <v>100</v>
      </c>
      <c r="V43" s="705" t="s">
        <v>14</v>
      </c>
      <c r="W43" s="706">
        <f t="shared" si="12"/>
        <v>100</v>
      </c>
      <c r="X43" s="1355"/>
      <c r="Y43" s="373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5"/>
      <c r="Q44" s="1352">
        <f t="shared" si="14"/>
        <v>111</v>
      </c>
      <c r="R44" s="705" t="s">
        <v>14</v>
      </c>
      <c r="S44" s="706">
        <f t="shared" si="10"/>
        <v>100</v>
      </c>
      <c r="T44" s="705" t="s">
        <v>14</v>
      </c>
      <c r="U44" s="706">
        <f t="shared" si="11"/>
        <v>100</v>
      </c>
      <c r="V44" s="705" t="s">
        <v>14</v>
      </c>
      <c r="W44" s="706">
        <f t="shared" si="12"/>
        <v>100</v>
      </c>
      <c r="X44" s="1355"/>
      <c r="Y44" s="373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5"/>
      <c r="Q45" s="1352">
        <f t="shared" si="14"/>
        <v>111</v>
      </c>
      <c r="R45" s="708" t="s">
        <v>14</v>
      </c>
      <c r="S45" s="709">
        <f t="shared" si="10"/>
        <v>100</v>
      </c>
      <c r="T45" s="708" t="s">
        <v>14</v>
      </c>
      <c r="U45" s="709">
        <f t="shared" si="11"/>
        <v>100</v>
      </c>
      <c r="V45" s="708" t="s">
        <v>14</v>
      </c>
      <c r="W45" s="709">
        <f t="shared" si="12"/>
        <v>100</v>
      </c>
      <c r="X45" s="710"/>
      <c r="Y45" s="373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8" t="str">
        <f>A46</f>
        <v>成交单价</v>
      </c>
      <c r="Q46" s="3728"/>
      <c r="R46" s="3723">
        <f>E46</f>
        <v>0</v>
      </c>
      <c r="S46" s="3723"/>
      <c r="T46" s="3723">
        <f>G46</f>
        <v>0</v>
      </c>
      <c r="U46" s="3723"/>
      <c r="V46" s="3723">
        <f>I46</f>
        <v>0</v>
      </c>
      <c r="W46" s="372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5" t="str">
        <f>A48</f>
        <v>估价对象XX用房的比较价值（楼面单价，元/平方米）</v>
      </c>
      <c r="Q48" s="3726"/>
      <c r="R48" s="3757" t="e">
        <f>ROUND(IF(D47="简单平均",AVERAGE(R47:W47),R47*F47+T47*H47+V47*J47),0)</f>
        <v>#DIV/0!</v>
      </c>
      <c r="S48" s="3757"/>
      <c r="T48" s="3757"/>
      <c r="U48" s="3757"/>
      <c r="V48" s="3757"/>
      <c r="W48" s="375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8275.4700000000012</v>
      </c>
      <c r="F56" s="886" t="e">
        <f t="shared" ref="F56:F64" si="15">ROUND(B56*E56/10000,0)</f>
        <v>#DIV/0!</v>
      </c>
      <c r="G56" s="3710"/>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8275.4700000000012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3" priority="18" stopIfTrue="1" operator="containsText" text="超过">
      <formula>NOT(ISERROR(SEARCH("超过",F51)))</formula>
    </cfRule>
  </conditionalFormatting>
  <conditionalFormatting sqref="J53">
    <cfRule type="containsText" dxfId="72" priority="17" stopIfTrue="1" operator="containsText" text="超过">
      <formula>NOT(ISERROR(SEARCH("超过",J53)))</formula>
    </cfRule>
  </conditionalFormatting>
  <conditionalFormatting sqref="H53">
    <cfRule type="containsText" dxfId="71" priority="16" stopIfTrue="1" operator="containsText" text="超过">
      <formula>NOT(ISERROR(SEARCH("超过",H53)))</formula>
    </cfRule>
  </conditionalFormatting>
  <conditionalFormatting sqref="F53">
    <cfRule type="containsText" dxfId="70" priority="15" stopIfTrue="1" operator="containsText" text="超过">
      <formula>NOT(ISERROR(SEARCH("超过",F53)))</formula>
    </cfRule>
  </conditionalFormatting>
  <conditionalFormatting sqref="F52 H52 J52">
    <cfRule type="containsText" dxfId="69" priority="14" stopIfTrue="1" operator="containsText" text="超过">
      <formula>NOT(ISERROR(SEARCH("超过",F52)))</formula>
    </cfRule>
  </conditionalFormatting>
  <conditionalFormatting sqref="E51">
    <cfRule type="expression" dxfId="68" priority="13" stopIfTrue="1">
      <formula>$F$51="超过30%"</formula>
    </cfRule>
  </conditionalFormatting>
  <conditionalFormatting sqref="G53">
    <cfRule type="expression" dxfId="67" priority="12" stopIfTrue="1">
      <formula>$H$53="超过30%"</formula>
    </cfRule>
  </conditionalFormatting>
  <conditionalFormatting sqref="E52">
    <cfRule type="expression" dxfId="66" priority="11" stopIfTrue="1">
      <formula>$F$52="超过20%"</formula>
    </cfRule>
  </conditionalFormatting>
  <conditionalFormatting sqref="E53">
    <cfRule type="expression" dxfId="65" priority="10" stopIfTrue="1">
      <formula>$F$53="超过30%"</formula>
    </cfRule>
  </conditionalFormatting>
  <conditionalFormatting sqref="G51">
    <cfRule type="expression" dxfId="64" priority="9" stopIfTrue="1">
      <formula>$H$53+$H$51="超过30%"</formula>
    </cfRule>
  </conditionalFormatting>
  <conditionalFormatting sqref="G52">
    <cfRule type="expression" dxfId="63" priority="8" stopIfTrue="1">
      <formula>$H$52="超过20%"</formula>
    </cfRule>
  </conditionalFormatting>
  <conditionalFormatting sqref="I51">
    <cfRule type="expression" dxfId="62" priority="7" stopIfTrue="1">
      <formula>$J$51="超过30%"</formula>
    </cfRule>
  </conditionalFormatting>
  <conditionalFormatting sqref="I52">
    <cfRule type="expression" dxfId="61" priority="6" stopIfTrue="1">
      <formula>$J$52="超过20%"</formula>
    </cfRule>
  </conditionalFormatting>
  <conditionalFormatting sqref="I53">
    <cfRule type="expression" dxfId="60" priority="5" stopIfTrue="1">
      <formula>$J$53="超过30%"</formula>
    </cfRule>
  </conditionalFormatting>
  <conditionalFormatting sqref="F47">
    <cfRule type="expression" dxfId="59" priority="4">
      <formula>$D$47="简单平均"</formula>
    </cfRule>
  </conditionalFormatting>
  <conditionalFormatting sqref="H47">
    <cfRule type="expression" dxfId="58" priority="3">
      <formula>$D$47="简单平均"</formula>
    </cfRule>
  </conditionalFormatting>
  <conditionalFormatting sqref="J47">
    <cfRule type="expression" dxfId="57" priority="2">
      <formula>$D$47="简单平均"</formula>
    </cfRule>
  </conditionalFormatting>
  <conditionalFormatting sqref="F7:F45 H7:H45 J7:J45">
    <cfRule type="cellIs" dxfId="5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1673</v>
      </c>
      <c r="D5" s="3705"/>
      <c r="E5" s="3702" t="s">
        <v>1674</v>
      </c>
      <c r="F5" s="3703"/>
      <c r="G5" s="3704" t="s">
        <v>1675</v>
      </c>
      <c r="H5" s="3705"/>
      <c r="I5" s="3704"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59" t="s">
        <v>1919</v>
      </c>
      <c r="D6" s="3760"/>
      <c r="E6" s="3761" t="s">
        <v>1919</v>
      </c>
      <c r="F6" s="3762"/>
      <c r="G6" s="3759" t="s">
        <v>1919</v>
      </c>
      <c r="H6" s="3760"/>
      <c r="I6" s="3759" t="s">
        <v>1919</v>
      </c>
      <c r="J6" s="3760"/>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45362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0" t="s">
        <v>1691</v>
      </c>
      <c r="Q15" s="1352" t="str">
        <f t="shared" si="6"/>
        <v>产业集聚程度</v>
      </c>
      <c r="R15" s="705" t="s">
        <v>14</v>
      </c>
      <c r="S15" s="706">
        <f t="shared" si="0"/>
        <v>100</v>
      </c>
      <c r="T15" s="705" t="s">
        <v>14</v>
      </c>
      <c r="U15" s="706">
        <f t="shared" si="1"/>
        <v>100</v>
      </c>
      <c r="V15" s="705" t="s">
        <v>14</v>
      </c>
      <c r="W15" s="706">
        <f t="shared" si="2"/>
        <v>100</v>
      </c>
      <c r="X15" s="1355"/>
      <c r="Y15" s="373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1"/>
      <c r="Q16" s="1352"/>
      <c r="R16" s="705"/>
      <c r="S16" s="706"/>
      <c r="T16" s="705"/>
      <c r="U16" s="706"/>
      <c r="V16" s="705"/>
      <c r="W16" s="706"/>
      <c r="X16" s="1355"/>
      <c r="Y16" s="373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1"/>
      <c r="Q17" s="1352" t="str">
        <f>B17</f>
        <v>交通便捷度</v>
      </c>
      <c r="R17" s="705" t="s">
        <v>14</v>
      </c>
      <c r="S17" s="706">
        <f>F17</f>
        <v>100</v>
      </c>
      <c r="T17" s="705" t="s">
        <v>14</v>
      </c>
      <c r="U17" s="706">
        <f>H17</f>
        <v>100</v>
      </c>
      <c r="V17" s="705" t="s">
        <v>14</v>
      </c>
      <c r="W17" s="706">
        <f>J17</f>
        <v>100</v>
      </c>
      <c r="X17" s="1355"/>
      <c r="Y17" s="373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1"/>
      <c r="Q18" s="1352"/>
      <c r="R18" s="705"/>
      <c r="S18" s="706"/>
      <c r="T18" s="705"/>
      <c r="U18" s="706"/>
      <c r="V18" s="705"/>
      <c r="W18" s="706"/>
      <c r="X18" s="1355"/>
      <c r="Y18" s="373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1"/>
      <c r="Q19" s="1352" t="str">
        <f t="shared" ref="Q19:Q33" si="8">B19</f>
        <v>区域土地利用方向</v>
      </c>
      <c r="R19" s="705" t="s">
        <v>14</v>
      </c>
      <c r="S19" s="706">
        <f>F19</f>
        <v>100</v>
      </c>
      <c r="T19" s="705" t="s">
        <v>14</v>
      </c>
      <c r="U19" s="706">
        <f>H19</f>
        <v>100</v>
      </c>
      <c r="V19" s="705" t="s">
        <v>14</v>
      </c>
      <c r="W19" s="706">
        <f>J19</f>
        <v>100</v>
      </c>
      <c r="X19" s="1355"/>
      <c r="Y19" s="373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1"/>
      <c r="Q20" s="1352"/>
      <c r="R20" s="705"/>
      <c r="S20" s="706"/>
      <c r="T20" s="705"/>
      <c r="U20" s="706"/>
      <c r="V20" s="705"/>
      <c r="W20" s="706"/>
      <c r="X20" s="1355"/>
      <c r="Y20" s="373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1"/>
      <c r="Q21" s="1352" t="str">
        <f t="shared" si="8"/>
        <v>环境状况</v>
      </c>
      <c r="R21" s="705" t="s">
        <v>14</v>
      </c>
      <c r="S21" s="706">
        <f>F21</f>
        <v>100</v>
      </c>
      <c r="T21" s="705" t="s">
        <v>14</v>
      </c>
      <c r="U21" s="706">
        <f>H21</f>
        <v>100</v>
      </c>
      <c r="V21" s="705" t="s">
        <v>14</v>
      </c>
      <c r="W21" s="706">
        <f>J21</f>
        <v>100</v>
      </c>
      <c r="X21" s="1355"/>
      <c r="Y21" s="373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1"/>
      <c r="Q22" s="1352"/>
      <c r="R22" s="705"/>
      <c r="S22" s="706"/>
      <c r="T22" s="705"/>
      <c r="U22" s="706"/>
      <c r="V22" s="705"/>
      <c r="W22" s="706"/>
      <c r="X22" s="1355"/>
      <c r="Y22" s="373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1"/>
      <c r="Q23" s="1343" t="str">
        <f t="shared" si="8"/>
        <v>公共配套设施</v>
      </c>
      <c r="R23" s="701" t="s">
        <v>14</v>
      </c>
      <c r="S23" s="702">
        <f>F23</f>
        <v>100</v>
      </c>
      <c r="T23" s="701" t="s">
        <v>14</v>
      </c>
      <c r="U23" s="702">
        <f>H23</f>
        <v>100</v>
      </c>
      <c r="V23" s="701" t="s">
        <v>14</v>
      </c>
      <c r="W23" s="702">
        <f>J23</f>
        <v>100</v>
      </c>
      <c r="X23" s="703"/>
      <c r="Y23" s="373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1"/>
      <c r="Q24" s="1343"/>
      <c r="R24" s="701"/>
      <c r="S24" s="702"/>
      <c r="T24" s="701"/>
      <c r="U24" s="702"/>
      <c r="V24" s="701"/>
      <c r="W24" s="702"/>
      <c r="X24" s="703"/>
      <c r="Y24" s="373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1"/>
      <c r="Q25" s="1343" t="str">
        <f t="shared" ref="Q25" si="9">B25</f>
        <v>基础设施水平</v>
      </c>
      <c r="R25" s="701" t="s">
        <v>14</v>
      </c>
      <c r="S25" s="702">
        <f>F25</f>
        <v>100</v>
      </c>
      <c r="T25" s="701" t="s">
        <v>14</v>
      </c>
      <c r="U25" s="702">
        <f>H25</f>
        <v>100</v>
      </c>
      <c r="V25" s="701" t="s">
        <v>14</v>
      </c>
      <c r="W25" s="702">
        <f>J25</f>
        <v>100</v>
      </c>
      <c r="X25" s="703"/>
      <c r="Y25" s="373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1"/>
      <c r="Q26" s="1343"/>
      <c r="R26" s="701"/>
      <c r="S26" s="702"/>
      <c r="T26" s="701"/>
      <c r="U26" s="702"/>
      <c r="V26" s="701"/>
      <c r="W26" s="702"/>
      <c r="X26" s="703"/>
      <c r="Y26" s="373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1"/>
      <c r="Q28" s="1352" t="str">
        <f t="shared" si="8"/>
        <v>毗邻道路的类型与等级</v>
      </c>
      <c r="R28" s="705" t="s">
        <v>14</v>
      </c>
      <c r="S28" s="706">
        <f t="shared" si="10"/>
        <v>100</v>
      </c>
      <c r="T28" s="705" t="s">
        <v>14</v>
      </c>
      <c r="U28" s="706">
        <f t="shared" si="11"/>
        <v>100</v>
      </c>
      <c r="V28" s="705" t="s">
        <v>14</v>
      </c>
      <c r="W28" s="706">
        <f t="shared" si="12"/>
        <v>100</v>
      </c>
      <c r="X28" s="1355"/>
      <c r="Y28" s="373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1"/>
      <c r="Q29" s="1352"/>
      <c r="R29" s="705"/>
      <c r="S29" s="706"/>
      <c r="T29" s="705"/>
      <c r="U29" s="706"/>
      <c r="V29" s="705"/>
      <c r="W29" s="706"/>
      <c r="X29" s="1355"/>
      <c r="Y29" s="373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1"/>
      <c r="Q30" s="1352" t="str">
        <f t="shared" si="8"/>
        <v>土地级别</v>
      </c>
      <c r="R30" s="705" t="s">
        <v>14</v>
      </c>
      <c r="S30" s="706">
        <f t="shared" si="10"/>
        <v>100</v>
      </c>
      <c r="T30" s="705" t="s">
        <v>14</v>
      </c>
      <c r="U30" s="706">
        <f t="shared" si="11"/>
        <v>100</v>
      </c>
      <c r="V30" s="705" t="s">
        <v>14</v>
      </c>
      <c r="W30" s="706">
        <f t="shared" si="12"/>
        <v>100</v>
      </c>
      <c r="X30" s="1355"/>
      <c r="Y30" s="373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1"/>
      <c r="Q31" s="1352">
        <f t="shared" si="8"/>
        <v>111</v>
      </c>
      <c r="R31" s="705" t="s">
        <v>14</v>
      </c>
      <c r="S31" s="706">
        <f t="shared" si="10"/>
        <v>100</v>
      </c>
      <c r="T31" s="705" t="s">
        <v>14</v>
      </c>
      <c r="U31" s="706">
        <f t="shared" si="11"/>
        <v>100</v>
      </c>
      <c r="V31" s="705" t="s">
        <v>14</v>
      </c>
      <c r="W31" s="706">
        <f t="shared" si="12"/>
        <v>100</v>
      </c>
      <c r="X31" s="1355"/>
      <c r="Y31" s="373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4" t="s">
        <v>1696</v>
      </c>
      <c r="Q32" s="1352">
        <f t="shared" si="8"/>
        <v>111</v>
      </c>
      <c r="R32" s="705" t="s">
        <v>14</v>
      </c>
      <c r="S32" s="706">
        <f t="shared" si="10"/>
        <v>100</v>
      </c>
      <c r="T32" s="705" t="s">
        <v>14</v>
      </c>
      <c r="U32" s="706">
        <f t="shared" si="11"/>
        <v>100</v>
      </c>
      <c r="V32" s="705" t="s">
        <v>14</v>
      </c>
      <c r="W32" s="706">
        <f t="shared" si="12"/>
        <v>100</v>
      </c>
      <c r="X32" s="1355"/>
      <c r="Y32" s="373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5"/>
      <c r="Q33" s="1352">
        <f t="shared" si="8"/>
        <v>111</v>
      </c>
      <c r="R33" s="708" t="s">
        <v>14</v>
      </c>
      <c r="S33" s="709">
        <f t="shared" si="10"/>
        <v>100</v>
      </c>
      <c r="T33" s="708" t="s">
        <v>14</v>
      </c>
      <c r="U33" s="709">
        <f t="shared" si="11"/>
        <v>100</v>
      </c>
      <c r="V33" s="708" t="s">
        <v>14</v>
      </c>
      <c r="W33" s="709">
        <f t="shared" si="12"/>
        <v>100</v>
      </c>
      <c r="X33" s="710"/>
      <c r="Y33" s="373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5"/>
      <c r="Q34" s="1352" t="str">
        <f>B34</f>
        <v>宗地面积</v>
      </c>
      <c r="R34" s="705" t="s">
        <v>14</v>
      </c>
      <c r="S34" s="706" t="e">
        <f t="shared" si="10"/>
        <v>#N/A</v>
      </c>
      <c r="T34" s="705" t="s">
        <v>14</v>
      </c>
      <c r="U34" s="706" t="e">
        <f t="shared" si="11"/>
        <v>#N/A</v>
      </c>
      <c r="V34" s="705" t="s">
        <v>14</v>
      </c>
      <c r="W34" s="706" t="e">
        <f t="shared" si="12"/>
        <v>#N/A</v>
      </c>
      <c r="X34" s="1355"/>
      <c r="Y34" s="373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5"/>
      <c r="Q35" s="1352" t="str">
        <f t="shared" ref="Q35:Q40" si="14">B35</f>
        <v>宗地形状</v>
      </c>
      <c r="R35" s="705" t="s">
        <v>14</v>
      </c>
      <c r="S35" s="706">
        <f t="shared" si="10"/>
        <v>100</v>
      </c>
      <c r="T35" s="705" t="s">
        <v>14</v>
      </c>
      <c r="U35" s="706">
        <f t="shared" si="11"/>
        <v>100</v>
      </c>
      <c r="V35" s="705" t="s">
        <v>14</v>
      </c>
      <c r="W35" s="706">
        <f t="shared" si="12"/>
        <v>100</v>
      </c>
      <c r="X35" s="1355"/>
      <c r="Y35" s="373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5"/>
      <c r="Q36" s="1352" t="str">
        <f t="shared" si="14"/>
        <v>宗地开发程度</v>
      </c>
      <c r="R36" s="701" t="s">
        <v>14</v>
      </c>
      <c r="S36" s="702">
        <f t="shared" si="10"/>
        <v>100</v>
      </c>
      <c r="T36" s="701" t="s">
        <v>14</v>
      </c>
      <c r="U36" s="702">
        <f t="shared" si="11"/>
        <v>100</v>
      </c>
      <c r="V36" s="701" t="s">
        <v>14</v>
      </c>
      <c r="W36" s="702">
        <f t="shared" si="12"/>
        <v>100</v>
      </c>
      <c r="X36" s="703"/>
      <c r="Y36" s="373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5" t="s">
        <v>1696</v>
      </c>
      <c r="Q37" s="1352" t="str">
        <f t="shared" si="14"/>
        <v>工程地质条件</v>
      </c>
      <c r="R37" s="705" t="s">
        <v>14</v>
      </c>
      <c r="S37" s="706">
        <f t="shared" si="10"/>
        <v>100</v>
      </c>
      <c r="T37" s="705" t="s">
        <v>14</v>
      </c>
      <c r="U37" s="706">
        <f t="shared" si="11"/>
        <v>100</v>
      </c>
      <c r="V37" s="705" t="s">
        <v>14</v>
      </c>
      <c r="W37" s="706">
        <f t="shared" si="12"/>
        <v>100</v>
      </c>
      <c r="X37" s="1355"/>
      <c r="Y37" s="373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5"/>
      <c r="Q38" s="1352">
        <f t="shared" si="14"/>
        <v>111</v>
      </c>
      <c r="R38" s="705" t="s">
        <v>14</v>
      </c>
      <c r="S38" s="706">
        <f t="shared" si="10"/>
        <v>100</v>
      </c>
      <c r="T38" s="705" t="s">
        <v>14</v>
      </c>
      <c r="U38" s="706">
        <f t="shared" si="11"/>
        <v>100</v>
      </c>
      <c r="V38" s="705" t="s">
        <v>14</v>
      </c>
      <c r="W38" s="706">
        <f t="shared" si="12"/>
        <v>100</v>
      </c>
      <c r="X38" s="1355"/>
      <c r="Y38" s="373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5"/>
      <c r="Q39" s="1352">
        <f t="shared" si="14"/>
        <v>111</v>
      </c>
      <c r="R39" s="705" t="s">
        <v>14</v>
      </c>
      <c r="S39" s="706">
        <f t="shared" si="10"/>
        <v>100</v>
      </c>
      <c r="T39" s="705" t="s">
        <v>14</v>
      </c>
      <c r="U39" s="706">
        <f t="shared" si="11"/>
        <v>100</v>
      </c>
      <c r="V39" s="705" t="s">
        <v>14</v>
      </c>
      <c r="W39" s="706">
        <f t="shared" si="12"/>
        <v>100</v>
      </c>
      <c r="X39" s="1355"/>
      <c r="Y39" s="373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5"/>
      <c r="Q40" s="1352">
        <f t="shared" si="14"/>
        <v>111</v>
      </c>
      <c r="R40" s="708" t="s">
        <v>14</v>
      </c>
      <c r="S40" s="709">
        <f t="shared" si="10"/>
        <v>100</v>
      </c>
      <c r="T40" s="708" t="s">
        <v>14</v>
      </c>
      <c r="U40" s="709">
        <f t="shared" si="11"/>
        <v>100</v>
      </c>
      <c r="V40" s="708" t="s">
        <v>14</v>
      </c>
      <c r="W40" s="709">
        <f t="shared" si="12"/>
        <v>100</v>
      </c>
      <c r="X40" s="710"/>
      <c r="Y40" s="373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8" t="str">
        <f>A41</f>
        <v>成交单价</v>
      </c>
      <c r="Q41" s="3728"/>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8" t="str">
        <f>A42</f>
        <v>比较价值（元/平方米）</v>
      </c>
      <c r="Q42" s="3728"/>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5" t="str">
        <f>A43</f>
        <v>估价对象XX用房的比较价值（楼面单价，元/平方米）</v>
      </c>
      <c r="Q43" s="3726"/>
      <c r="R43" s="3757" t="e">
        <f>ROUND(IF(D42="简单平均",AVERAGE(R42:W42),R42*F42+T42*H42+V42*J42),0)</f>
        <v>#DIV/0!</v>
      </c>
      <c r="S43" s="3757"/>
      <c r="T43" s="3757"/>
      <c r="U43" s="3757"/>
      <c r="V43" s="3757"/>
      <c r="W43" s="375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8275.4700000000012</v>
      </c>
      <c r="F51" s="639" t="e">
        <f t="shared" ref="F51:F60" si="15">ROUND(B51*E51/10000,0)</f>
        <v>#DIV/0!</v>
      </c>
      <c r="G51" s="3710"/>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5" priority="18" stopIfTrue="1" operator="containsText" text="超过">
      <formula>NOT(ISERROR(SEARCH("超过",F46)))</formula>
    </cfRule>
  </conditionalFormatting>
  <conditionalFormatting sqref="J48">
    <cfRule type="containsText" dxfId="54" priority="17" stopIfTrue="1" operator="containsText" text="超过">
      <formula>NOT(ISERROR(SEARCH("超过",J48)))</formula>
    </cfRule>
  </conditionalFormatting>
  <conditionalFormatting sqref="H48">
    <cfRule type="containsText" dxfId="53" priority="16" stopIfTrue="1" operator="containsText" text="超过">
      <formula>NOT(ISERROR(SEARCH("超过",H48)))</formula>
    </cfRule>
  </conditionalFormatting>
  <conditionalFormatting sqref="F48">
    <cfRule type="containsText" dxfId="52" priority="15" stopIfTrue="1" operator="containsText" text="超过">
      <formula>NOT(ISERROR(SEARCH("超过",F48)))</formula>
    </cfRule>
  </conditionalFormatting>
  <conditionalFormatting sqref="F47 H47 J47">
    <cfRule type="containsText" dxfId="51" priority="14" stopIfTrue="1" operator="containsText" text="超过">
      <formula>NOT(ISERROR(SEARCH("超过",F47)))</formula>
    </cfRule>
  </conditionalFormatting>
  <conditionalFormatting sqref="E46">
    <cfRule type="expression" dxfId="50" priority="13" stopIfTrue="1">
      <formula>$F$46="超过30%"</formula>
    </cfRule>
  </conditionalFormatting>
  <conditionalFormatting sqref="G48">
    <cfRule type="expression" dxfId="49" priority="12" stopIfTrue="1">
      <formula>$H$48="超过30%"</formula>
    </cfRule>
  </conditionalFormatting>
  <conditionalFormatting sqref="E48">
    <cfRule type="expression" dxfId="48" priority="10" stopIfTrue="1">
      <formula>$F$48="超过30%"</formula>
    </cfRule>
  </conditionalFormatting>
  <conditionalFormatting sqref="G46">
    <cfRule type="expression" dxfId="47" priority="9" stopIfTrue="1">
      <formula>$H$46="超过30%"</formula>
    </cfRule>
  </conditionalFormatting>
  <conditionalFormatting sqref="G47">
    <cfRule type="expression" dxfId="46" priority="8" stopIfTrue="1">
      <formula>$H$47="超过20%"</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E47">
    <cfRule type="expression" dxfId="42" priority="53" stopIfTrue="1">
      <formula>#REF!+$F$47="超过20%"</formula>
    </cfRule>
  </conditionalFormatting>
  <conditionalFormatting sqref="F42">
    <cfRule type="expression" dxfId="41" priority="4">
      <formula>$D$42="简单平均"</formula>
    </cfRule>
  </conditionalFormatting>
  <conditionalFormatting sqref="H42">
    <cfRule type="expression" dxfId="40" priority="3">
      <formula>$D$42="简单平均"</formula>
    </cfRule>
  </conditionalFormatting>
  <conditionalFormatting sqref="J42">
    <cfRule type="expression" dxfId="39" priority="2">
      <formula>$D$42="简单平均"</formula>
    </cfRule>
  </conditionalFormatting>
  <conditionalFormatting sqref="F7:F40 H7:H40 J7:J40">
    <cfRule type="cellIs" dxfId="3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6" t="s">
        <v>2083</v>
      </c>
      <c r="D1" s="3767"/>
      <c r="E1" s="3767"/>
      <c r="F1" s="3767"/>
      <c r="G1" s="3767"/>
      <c r="H1" s="3767"/>
      <c r="I1" s="3767"/>
      <c r="J1" s="3767"/>
      <c r="K1" s="3767"/>
      <c r="L1" s="3767"/>
      <c r="M1" s="3767"/>
      <c r="N1" s="3767"/>
      <c r="O1" s="3767"/>
      <c r="P1" s="3767"/>
      <c r="Q1" s="3767"/>
      <c r="R1" s="3767"/>
      <c r="S1" s="376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8" sqref="D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2073</v>
      </c>
      <c r="B2" s="2602">
        <f ca="1">SUMIF(B6:B13,"&lt;&gt;#ref!",B6:B13)</f>
        <v>22487</v>
      </c>
      <c r="C2" s="2145" t="s">
        <v>2074</v>
      </c>
      <c r="D2" s="2145" t="s">
        <v>2075</v>
      </c>
      <c r="E2" s="2612">
        <f ca="1">SUMIF(E6:E13,"&lt;&gt;#ref!",E6:E13)</f>
        <v>8275.4700000000012</v>
      </c>
      <c r="F2" s="2793"/>
      <c r="G2" s="2793"/>
      <c r="H2" s="2793"/>
      <c r="I2" s="2793"/>
      <c r="J2" s="2793"/>
      <c r="K2" s="2793"/>
      <c r="L2" s="2793"/>
      <c r="M2" s="2793"/>
      <c r="N2" s="2793"/>
      <c r="O2" s="2793"/>
      <c r="P2" s="2793"/>
    </row>
    <row r="3" spans="1:16" ht="15.75">
      <c r="A3" s="2145" t="s">
        <v>2076</v>
      </c>
      <c r="B3" s="2602">
        <f ca="1">ROUND(B2*10000/E2,0)</f>
        <v>27173</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3401</v>
      </c>
      <c r="B6" s="2602">
        <f ca="1">SUMIF(INDIRECT("'"&amp;A6&amp;"'"&amp;"!A:A"),"总价",INDIRECT("'"&amp;A6&amp;"'"&amp;"!B:B"))</f>
        <v>12848</v>
      </c>
      <c r="C6" s="2145" t="s">
        <v>2074</v>
      </c>
      <c r="D6" s="2793"/>
      <c r="E6" s="2612">
        <f ca="1">SUMIF(INDIRECT("'"&amp;A6&amp;"'"&amp;"!C:C"),"建筑面积",INDIRECT("'"&amp;A6&amp;"'"&amp;"!D:D"))</f>
        <v>5192.1000000000004</v>
      </c>
      <c r="F6" s="2793"/>
      <c r="G6" s="2793"/>
      <c r="H6" s="2793"/>
      <c r="I6" s="2793"/>
      <c r="J6" s="2793"/>
      <c r="K6" s="2793"/>
      <c r="L6" s="2793"/>
      <c r="M6" s="2793"/>
      <c r="N6" s="2793"/>
      <c r="O6" s="2793"/>
      <c r="P6" s="2793"/>
    </row>
    <row r="7" spans="1:16" ht="15.75">
      <c r="A7" s="2609" t="s">
        <v>3402</v>
      </c>
      <c r="B7" s="2602">
        <f ca="1">SUMIF(INDIRECT("'"&amp;A7&amp;"'"&amp;"!A:A"),"总价",INDIRECT("'"&amp;A7&amp;"'"&amp;"!B:B"))</f>
        <v>9639</v>
      </c>
      <c r="C7" s="2145" t="s">
        <v>2074</v>
      </c>
      <c r="D7" s="2793"/>
      <c r="E7" s="2612">
        <f t="shared" ref="E7:E13" ca="1" si="0">SUMIF(INDIRECT("'"&amp;A7&amp;"'"&amp;"!C:C"),"建筑面积",INDIRECT("'"&amp;A7&amp;"'"&amp;"!D:D"))</f>
        <v>3083.37</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9" sqref="E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5192.1000000000004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12848</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Ⅱ—04</v>
      </c>
      <c r="J2" s="2002"/>
      <c r="K2" s="1119"/>
      <c r="L2" s="2003" t="s">
        <v>1939</v>
      </c>
      <c r="M2" s="864">
        <f>SUMPRODUCT((区片价!B10:B29=I2)*(区片价!C3:G3=E2)*(区片价!C10:G29))</f>
        <v>27660</v>
      </c>
      <c r="N2" s="866">
        <f>SUMPRODUCT((因素修正幅度!B10:B29=I2)*(因素修正幅度!C3:G3=E2)*(因素修正幅度!C10:G29))</f>
        <v>9.1999999999999998E-2</v>
      </c>
      <c r="O2" s="1119"/>
      <c r="P2" s="1119"/>
      <c r="Q2" s="1119"/>
      <c r="R2" s="1212">
        <v>1</v>
      </c>
      <c r="S2" s="3361">
        <f>ROUND(SUMPRODUCT((B106:B110=R2)*(C105:N105=G2)*(C106:N110)),4)</f>
        <v>1.5206</v>
      </c>
      <c r="T2" s="3361">
        <f t="shared" ref="T2:T16" si="0">ROUND($C$5*$C$22*$C$23*$C$24*S2*$C$28,0)</f>
        <v>37627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24745</v>
      </c>
      <c r="C3" s="1999" t="s">
        <v>1941</v>
      </c>
      <c r="D3" s="2000" t="s">
        <v>1942</v>
      </c>
      <c r="E3" s="3420" t="s">
        <v>3391</v>
      </c>
      <c r="F3" s="2004" t="s">
        <v>3392</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29872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25811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28213</v>
      </c>
      <c r="D5" s="1339">
        <f>ROUND(C6*C17+C20,0)</f>
        <v>27660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23356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27660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22260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v>1.02</v>
      </c>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0" t="s">
        <v>3257</v>
      </c>
      <c r="B20" s="167" t="s">
        <v>1994</v>
      </c>
      <c r="C20" s="3325">
        <f>ROUND(IF(F21="与级别开发程度一致",0,(G21-E21)/C21),0)</f>
        <v>0</v>
      </c>
      <c r="D20" s="3341" t="s">
        <v>1998</v>
      </c>
      <c r="E20" s="3342"/>
      <c r="F20" s="3786" t="s">
        <v>1995</v>
      </c>
      <c r="G20" s="378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2002</v>
      </c>
      <c r="E23" s="761">
        <v>44197</v>
      </c>
      <c r="F23" s="2054" t="s">
        <v>2003</v>
      </c>
      <c r="G23" s="762">
        <f>'数据-取费表'!B2</f>
        <v>45362</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0.81559999999999999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26.62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12848</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24745</v>
      </c>
      <c r="D33" s="2098">
        <f>'数据-汇总表'!F20</f>
        <v>5192.1000000000004</v>
      </c>
      <c r="E33" s="773">
        <f>ROUND(C33*D33/10000,0)</f>
        <v>12848</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6186</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f>ROUND(D5*C22*C23*C24*C28*F37,0)</f>
        <v>16982</v>
      </c>
      <c r="D37" s="2098"/>
      <c r="E37" s="171">
        <f>ROUND(C37*D37/10000,0)</f>
        <v>0</v>
      </c>
      <c r="F37" s="171">
        <f>SUMIF(修正!A57:A68,G2,修正!B57:B68)</f>
        <v>0.7</v>
      </c>
      <c r="G37" s="171">
        <f>ROUND(IF(E2="工业",C37*$M$42,C37*$M$41),0)</f>
        <v>4246</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f>ROUND(D5*C22*C23*C24*C28*F38,0)</f>
        <v>9704</v>
      </c>
      <c r="D38" s="2098"/>
      <c r="E38" s="171">
        <f t="shared" ref="E38:E42" si="4">ROUND(C38*D38/10000,0)</f>
        <v>0</v>
      </c>
      <c r="F38" s="171">
        <f>SUMIF(修正!A57:A68,G2,修正!C57:C68)</f>
        <v>0.4</v>
      </c>
      <c r="G38" s="171">
        <f>ROUND(IF(E2="工业",C38*$M$42,C38*$M$41),0)</f>
        <v>2426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5"/>
      <c r="B39" s="2041" t="s">
        <v>3262</v>
      </c>
      <c r="C39" s="175">
        <f>ROUND(D5*C22*C23*C24*C28*F39,0)</f>
        <v>7278</v>
      </c>
      <c r="D39" s="2098"/>
      <c r="E39" s="171">
        <f t="shared" si="4"/>
        <v>0</v>
      </c>
      <c r="F39" s="171">
        <f>SUMIF(修正!A57:A68,G2,修正!D57:D68)</f>
        <v>0.3</v>
      </c>
      <c r="G39" s="171">
        <f>ROUND(IF(E2="工业",C39*$M$42,C39*$M$41),0)</f>
        <v>1820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7278</v>
      </c>
      <c r="D40" s="2098"/>
      <c r="E40" s="171">
        <f t="shared" si="4"/>
        <v>0</v>
      </c>
      <c r="F40" s="175">
        <f>SUMIF(修正!A57:A68,G2,修正!E57:E68)</f>
        <v>0.3</v>
      </c>
      <c r="G40" s="171">
        <f>ROUND(IF(E2="工业",C40*$M$42,C40*$M$41),0)</f>
        <v>1820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1.0475000000000001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f t="shared" ref="D61:D69" si="12">SUMIF($J$60:$N$60,C61,J61:N61)</f>
        <v>1.15E-2</v>
      </c>
      <c r="E61" s="744">
        <f>ROUND(SUM(D61:D69),4)</f>
        <v>4.7500000000000001E-2</v>
      </c>
      <c r="F61" s="1814">
        <f>IF(E2="办公",SUMIF(L1:L12,G2,N1:N12),"——")</f>
        <v>9.1999999999999998E-2</v>
      </c>
      <c r="G61" s="1063">
        <f>H61</f>
        <v>1.15E-2</v>
      </c>
      <c r="H61" s="1066">
        <f t="shared" ref="H61:H69" si="13">IFERROR(ROUNDDOWN($F$61*I61/2,4),"——")</f>
        <v>1.15E-2</v>
      </c>
      <c r="I61" s="3367">
        <v>0.25</v>
      </c>
      <c r="J61" s="1064">
        <f t="shared" ref="J61:J69" si="14">K61+$G61</f>
        <v>2.3E-2</v>
      </c>
      <c r="K61" s="1064">
        <f t="shared" ref="K61:K69" si="15">$L61+$G61</f>
        <v>1.15E-2</v>
      </c>
      <c r="L61" s="1064">
        <v>0</v>
      </c>
      <c r="M61" s="1064">
        <f t="shared" ref="M61:N69" si="16">L61-$G61</f>
        <v>-1.15E-2</v>
      </c>
      <c r="N61" s="1064">
        <f t="shared" si="16"/>
        <v>-2.3E-2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1.1900000000000001E-2</v>
      </c>
      <c r="E62" s="745"/>
      <c r="F62" s="1814"/>
      <c r="G62" s="1063">
        <f t="shared" ref="G62:G69" si="17">H62</f>
        <v>1.1900000000000001E-2</v>
      </c>
      <c r="H62" s="1066">
        <f t="shared" si="13"/>
        <v>1.1900000000000001E-2</v>
      </c>
      <c r="I62" s="3367">
        <v>0.26</v>
      </c>
      <c r="J62" s="1064">
        <f t="shared" si="14"/>
        <v>2.3800000000000002E-2</v>
      </c>
      <c r="K62" s="1064">
        <f t="shared" si="15"/>
        <v>1.1900000000000001E-2</v>
      </c>
      <c r="L62" s="1064">
        <v>0</v>
      </c>
      <c r="M62" s="1064">
        <f t="shared" si="16"/>
        <v>-1.1900000000000001E-2</v>
      </c>
      <c r="N62" s="1064">
        <f t="shared" si="16"/>
        <v>-2.3800000000000002E-2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3394</v>
      </c>
      <c r="D63" s="1065">
        <f t="shared" si="12"/>
        <v>5.0000000000000001E-3</v>
      </c>
      <c r="E63" s="745"/>
      <c r="F63" s="1814"/>
      <c r="G63" s="1063">
        <f t="shared" si="17"/>
        <v>5.0000000000000001E-3</v>
      </c>
      <c r="H63" s="1066">
        <f t="shared" si="13"/>
        <v>5.0000000000000001E-3</v>
      </c>
      <c r="I63" s="3367">
        <v>0.11</v>
      </c>
      <c r="J63" s="1064">
        <f t="shared" si="14"/>
        <v>0.01</v>
      </c>
      <c r="K63" s="1064">
        <f t="shared" si="15"/>
        <v>5.0000000000000001E-3</v>
      </c>
      <c r="L63" s="1064">
        <v>0</v>
      </c>
      <c r="M63" s="1064">
        <f t="shared" si="16"/>
        <v>-5.0000000000000001E-3</v>
      </c>
      <c r="N63" s="1064">
        <f t="shared" si="16"/>
        <v>-0.01</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2.3E-3</v>
      </c>
      <c r="E64" s="745"/>
      <c r="F64" s="1814"/>
      <c r="G64" s="1063">
        <f t="shared" si="17"/>
        <v>2.3E-3</v>
      </c>
      <c r="H64" s="1066">
        <f t="shared" si="13"/>
        <v>2.3E-3</v>
      </c>
      <c r="I64" s="3367">
        <v>0.05</v>
      </c>
      <c r="J64" s="1064">
        <f t="shared" si="14"/>
        <v>4.5999999999999999E-3</v>
      </c>
      <c r="K64" s="1064">
        <f t="shared" si="15"/>
        <v>2.3E-3</v>
      </c>
      <c r="L64" s="1064">
        <v>0</v>
      </c>
      <c r="M64" s="1064">
        <f t="shared" si="16"/>
        <v>-2.3E-3</v>
      </c>
      <c r="N64" s="1064">
        <f t="shared" si="16"/>
        <v>-4.5999999999999999E-3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3395</v>
      </c>
      <c r="D65" s="1065">
        <f t="shared" si="12"/>
        <v>0</v>
      </c>
      <c r="E65" s="745"/>
      <c r="F65" s="1814"/>
      <c r="G65" s="1063">
        <f t="shared" si="17"/>
        <v>2.3E-3</v>
      </c>
      <c r="H65" s="1066">
        <f t="shared" si="13"/>
        <v>2.3E-3</v>
      </c>
      <c r="I65" s="3367">
        <v>0.05</v>
      </c>
      <c r="J65" s="1064">
        <f t="shared" si="14"/>
        <v>4.5999999999999999E-3</v>
      </c>
      <c r="K65" s="1064">
        <f t="shared" si="15"/>
        <v>2.3E-3</v>
      </c>
      <c r="L65" s="1064">
        <v>0</v>
      </c>
      <c r="M65" s="1064">
        <f t="shared" si="16"/>
        <v>-2.3E-3</v>
      </c>
      <c r="N65" s="1064">
        <f t="shared" si="16"/>
        <v>-4.5999999999999999E-3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2.7000000000000001E-3</v>
      </c>
      <c r="E66" s="745"/>
      <c r="F66" s="1814"/>
      <c r="G66" s="1063">
        <f t="shared" si="17"/>
        <v>2.7000000000000001E-3</v>
      </c>
      <c r="H66" s="1066">
        <f t="shared" si="13"/>
        <v>2.7000000000000001E-3</v>
      </c>
      <c r="I66" s="3367">
        <v>0.06</v>
      </c>
      <c r="J66" s="1064">
        <f t="shared" si="14"/>
        <v>5.4000000000000003E-3</v>
      </c>
      <c r="K66" s="1064">
        <f t="shared" si="15"/>
        <v>2.7000000000000001E-3</v>
      </c>
      <c r="L66" s="1064">
        <v>0</v>
      </c>
      <c r="M66" s="1064">
        <f t="shared" si="16"/>
        <v>-2.7000000000000001E-3</v>
      </c>
      <c r="N66" s="1064">
        <f t="shared" si="16"/>
        <v>-5.4000000000000003E-3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f t="shared" si="12"/>
        <v>2.7000000000000001E-3</v>
      </c>
      <c r="E67" s="745"/>
      <c r="F67" s="1814"/>
      <c r="G67" s="1063">
        <f t="shared" si="17"/>
        <v>2.7000000000000001E-3</v>
      </c>
      <c r="H67" s="1066">
        <f t="shared" si="13"/>
        <v>2.7000000000000001E-3</v>
      </c>
      <c r="I67" s="3367">
        <v>0.06</v>
      </c>
      <c r="J67" s="1064">
        <f t="shared" si="14"/>
        <v>5.4000000000000003E-3</v>
      </c>
      <c r="K67" s="1064">
        <f t="shared" si="15"/>
        <v>2.7000000000000001E-3</v>
      </c>
      <c r="L67" s="1064">
        <v>0</v>
      </c>
      <c r="M67" s="1064">
        <f t="shared" si="16"/>
        <v>-2.7000000000000001E-3</v>
      </c>
      <c r="N67" s="1064">
        <f t="shared" si="16"/>
        <v>-5.4000000000000003E-3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3396</v>
      </c>
      <c r="D68" s="1065">
        <f t="shared" si="12"/>
        <v>8.2000000000000007E-3</v>
      </c>
      <c r="E68" s="745"/>
      <c r="F68" s="1814"/>
      <c r="G68" s="1063">
        <f t="shared" si="17"/>
        <v>4.1000000000000003E-3</v>
      </c>
      <c r="H68" s="1066">
        <f t="shared" si="13"/>
        <v>4.1000000000000003E-3</v>
      </c>
      <c r="I68" s="3367">
        <v>0.09</v>
      </c>
      <c r="J68" s="1064">
        <f t="shared" si="14"/>
        <v>8.2000000000000007E-3</v>
      </c>
      <c r="K68" s="1064">
        <f t="shared" si="15"/>
        <v>4.1000000000000003E-3</v>
      </c>
      <c r="L68" s="1064">
        <v>0</v>
      </c>
      <c r="M68" s="1064">
        <f t="shared" si="16"/>
        <v>-4.1000000000000003E-3</v>
      </c>
      <c r="N68" s="1064">
        <f t="shared" si="16"/>
        <v>-8.2000000000000007E-3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f t="shared" si="12"/>
        <v>3.2000000000000002E-3</v>
      </c>
      <c r="E69" s="746"/>
      <c r="F69" s="1814"/>
      <c r="G69" s="1063">
        <f t="shared" si="17"/>
        <v>3.2000000000000002E-3</v>
      </c>
      <c r="H69" s="1066">
        <f t="shared" si="13"/>
        <v>3.2000000000000002E-3</v>
      </c>
      <c r="I69" s="3368">
        <v>7.0000000000000007E-2</v>
      </c>
      <c r="J69" s="1064">
        <f t="shared" si="14"/>
        <v>6.4000000000000003E-3</v>
      </c>
      <c r="K69" s="1064">
        <f t="shared" si="15"/>
        <v>3.2000000000000002E-3</v>
      </c>
      <c r="L69" s="1064">
        <v>0</v>
      </c>
      <c r="M69" s="1064">
        <f t="shared" si="16"/>
        <v>-3.2000000000000002E-3</v>
      </c>
      <c r="N69" s="1064">
        <f t="shared" si="16"/>
        <v>-6.4000000000000003E-3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3394</v>
      </c>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3394</v>
      </c>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t="s">
        <v>3394</v>
      </c>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3395</v>
      </c>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t="s">
        <v>3394</v>
      </c>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t="s">
        <v>3396</v>
      </c>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t="s">
        <v>3394</v>
      </c>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t="s">
        <v>3394</v>
      </c>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t="s">
        <v>3394</v>
      </c>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2" t="s">
        <v>3297</v>
      </c>
      <c r="B103" s="3782"/>
      <c r="C103" s="3782"/>
      <c r="D103" s="3782"/>
      <c r="E103" s="3782"/>
      <c r="F103" s="3782"/>
      <c r="G103" s="3782"/>
      <c r="H103" s="3782"/>
      <c r="I103" s="3782"/>
      <c r="J103" s="3782"/>
      <c r="K103" s="3390"/>
      <c r="L103" s="3390"/>
      <c r="M103" s="3390"/>
      <c r="N103" s="3390"/>
    </row>
    <row r="104" spans="1:14">
      <c r="A104" s="3783" t="s">
        <v>3298</v>
      </c>
      <c r="B104" s="3783" t="s">
        <v>3299</v>
      </c>
      <c r="C104" s="3391" t="s">
        <v>3300</v>
      </c>
      <c r="D104" s="3392"/>
      <c r="E104" s="3392"/>
      <c r="F104" s="3392"/>
      <c r="G104" s="3392"/>
      <c r="H104" s="3392"/>
      <c r="I104" s="3392"/>
      <c r="J104" s="3393"/>
      <c r="K104" s="3394"/>
      <c r="L104" s="3394"/>
      <c r="M104" s="3394"/>
      <c r="N104" s="3394"/>
    </row>
    <row r="105" spans="1:14">
      <c r="A105" s="3783"/>
      <c r="B105" s="378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6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0"/>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2" t="s">
        <v>3314</v>
      </c>
      <c r="B113" s="3772"/>
      <c r="C113" s="3772"/>
      <c r="D113" s="3772"/>
      <c r="E113" s="3772"/>
      <c r="F113" s="3772"/>
      <c r="G113" s="3772"/>
      <c r="H113" s="3772"/>
      <c r="I113" s="3772"/>
      <c r="J113" s="377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3.5</v>
      </c>
      <c r="C116" s="3400" t="s">
        <v>3316</v>
      </c>
      <c r="D116" s="3401">
        <f>SUMPRODUCT((A118:A122=F116)*(B117:M117=H116)*B118:M122)</f>
        <v>0.95379999999999998</v>
      </c>
      <c r="E116" s="2000" t="s">
        <v>3317</v>
      </c>
      <c r="F116" s="3402" t="str">
        <f>E2</f>
        <v>办公</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3332</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3333</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3334</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2615</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6" priority="6" stopIfTrue="1" operator="notEqual">
      <formula>"——"</formula>
    </cfRule>
  </conditionalFormatting>
  <conditionalFormatting sqref="F61">
    <cfRule type="cellIs" dxfId="35" priority="5" stopIfTrue="1" operator="notEqual">
      <formula>"——"</formula>
    </cfRule>
  </conditionalFormatting>
  <conditionalFormatting sqref="F72">
    <cfRule type="cellIs" dxfId="34" priority="4" stopIfTrue="1" operator="notEqual">
      <formula>"——"</formula>
    </cfRule>
  </conditionalFormatting>
  <conditionalFormatting sqref="F83">
    <cfRule type="cellIs" dxfId="33" priority="3" stopIfTrue="1" operator="notEqual">
      <formula>"——"</formula>
    </cfRule>
  </conditionalFormatting>
  <conditionalFormatting sqref="H50:H58 H61:H69 H72:H80 H83:H91">
    <cfRule type="cellIs" dxfId="32" priority="2" operator="notEqual">
      <formula>"——"</formula>
    </cfRule>
  </conditionalFormatting>
  <conditionalFormatting sqref="H93:H101">
    <cfRule type="cellIs" dxfId="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3"/>
      <c r="B4" s="3485" t="s">
        <v>917</v>
      </c>
      <c r="C4" s="3485"/>
      <c r="D4" s="3485"/>
      <c r="E4" s="1493"/>
    </row>
    <row r="5" spans="1:5" ht="16.5" thickTop="1">
      <c r="A5" s="1491"/>
      <c r="B5" s="3483" t="s">
        <v>909</v>
      </c>
      <c r="C5" s="1494" t="s">
        <v>910</v>
      </c>
      <c r="D5" s="850" t="e">
        <f ca="1">结果表!H101</f>
        <v>#REF!</v>
      </c>
      <c r="E5" s="1491"/>
    </row>
    <row r="6" spans="1:5" ht="15.75">
      <c r="A6" s="1491"/>
      <c r="B6" s="3483"/>
      <c r="C6" s="1494" t="s">
        <v>911</v>
      </c>
      <c r="D6" s="850" t="e">
        <f ca="1">NUMBERSTRING(INT(D5*10000),2)&amp;"元整"</f>
        <v>#REF!</v>
      </c>
      <c r="E6" s="1491"/>
    </row>
    <row r="7" spans="1:5" ht="15.75">
      <c r="A7" s="1491"/>
      <c r="B7" s="3488"/>
      <c r="C7" s="1495" t="s">
        <v>912</v>
      </c>
      <c r="D7" s="851" t="e">
        <f ca="1">结果表!H102</f>
        <v>#REF!</v>
      </c>
      <c r="E7" s="1491"/>
    </row>
    <row r="8" spans="1:5" ht="15.75">
      <c r="A8" s="1491"/>
      <c r="B8" s="3489" t="str">
        <f>结果表!E103</f>
        <v>2.估价师知悉的法定优先受偿款</v>
      </c>
      <c r="C8" s="1496" t="s">
        <v>913</v>
      </c>
      <c r="D8" s="851">
        <f>结果表!H103</f>
        <v>0</v>
      </c>
      <c r="E8" s="1491"/>
    </row>
    <row r="9" spans="1:5" ht="15.75">
      <c r="A9" s="1491"/>
      <c r="B9" s="34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2" t="str">
        <f>结果表!E107</f>
        <v>3.房地产抵押价值</v>
      </c>
      <c r="C13" s="1499" t="s">
        <v>910</v>
      </c>
      <c r="D13" s="853" t="e">
        <f ca="1">结果表!H107</f>
        <v>#REF!</v>
      </c>
      <c r="E13" s="1491"/>
    </row>
    <row r="14" spans="1:5" ht="15.75">
      <c r="A14" s="1491"/>
      <c r="B14" s="3483"/>
      <c r="C14" s="1494" t="s">
        <v>911</v>
      </c>
      <c r="D14" s="850" t="e">
        <f ca="1">NUMBERSTRING(INT(D13*10000),2)&amp;"元整"</f>
        <v>#REF!</v>
      </c>
      <c r="E14" s="1491"/>
    </row>
    <row r="15" spans="1:5" ht="15">
      <c r="A15" s="1491"/>
      <c r="B15" s="3488"/>
      <c r="C15" s="1495" t="s">
        <v>921</v>
      </c>
      <c r="D15" s="859" t="e">
        <f ca="1">结果表!H108</f>
        <v>#REF!</v>
      </c>
      <c r="E15" s="1491"/>
    </row>
    <row r="16" spans="1:5" ht="15">
      <c r="A16" s="1491"/>
      <c r="B16" s="3489" t="str">
        <f>结果表!E109</f>
        <v>——</v>
      </c>
      <c r="C16" s="1499" t="s">
        <v>922</v>
      </c>
      <c r="D16" s="1500" t="str">
        <f>结果表!H109</f>
        <v>——</v>
      </c>
      <c r="E16" s="1491"/>
    </row>
    <row r="17" spans="1:5" ht="15.75">
      <c r="A17" s="1491"/>
      <c r="B17" s="3490"/>
      <c r="C17" s="1494" t="s">
        <v>923</v>
      </c>
      <c r="D17" s="850" t="e">
        <f>NUMBERSTRING(INT(D16*10000),2)&amp;"元整"</f>
        <v>#VALUE!</v>
      </c>
      <c r="E17" s="1491"/>
    </row>
    <row r="18" spans="1:5" ht="15">
      <c r="A18" s="1491"/>
      <c r="B18" s="3491"/>
      <c r="C18" s="1495" t="s">
        <v>912</v>
      </c>
      <c r="D18" s="859" t="str">
        <f>结果表!H110</f>
        <v>——</v>
      </c>
      <c r="E18" s="1491"/>
    </row>
    <row r="19" spans="1:5" ht="15.75">
      <c r="A19" s="1491"/>
      <c r="B19" s="3482" t="str">
        <f>结果表!E111</f>
        <v>——</v>
      </c>
      <c r="C19" s="1499" t="s">
        <v>910</v>
      </c>
      <c r="D19" s="851" t="str">
        <f>结果表!H111</f>
        <v>——</v>
      </c>
      <c r="E19" s="1491"/>
    </row>
    <row r="20" spans="1:5" ht="15.75">
      <c r="A20" s="1491"/>
      <c r="B20" s="3483"/>
      <c r="C20" s="1494" t="s">
        <v>923</v>
      </c>
      <c r="D20" s="850" t="e">
        <f>NUMBERSTRING(INT(D19*10000),2)&amp;"元整"</f>
        <v>#VALUE!</v>
      </c>
      <c r="E20" s="1491"/>
    </row>
    <row r="21" spans="1:5" ht="15.75" thickBot="1">
      <c r="A21" s="1491"/>
      <c r="B21" s="348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17" sqref="I1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3083.37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9639</v>
      </c>
      <c r="C2" s="1999" t="s">
        <v>1935</v>
      </c>
      <c r="D2" s="2000" t="s">
        <v>1936</v>
      </c>
      <c r="E2" s="3422"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Ⅱ—04</v>
      </c>
      <c r="J2" s="2002"/>
      <c r="K2" s="1119"/>
      <c r="L2" s="2003" t="s">
        <v>1939</v>
      </c>
      <c r="M2" s="864">
        <f>SUMPRODUCT((区片价!B10:B29=I2)*(区片价!C3:G3=E2)*(区片价!C10:G29))</f>
        <v>28210</v>
      </c>
      <c r="N2" s="866">
        <f>SUMPRODUCT((因素修正幅度!B10:B29=I2)*(因素修正幅度!C3:G3=E2)*(因素修正幅度!C10:G29))</f>
        <v>9.5000000000000001E-2</v>
      </c>
      <c r="O2" s="1119"/>
      <c r="P2" s="1119"/>
      <c r="Q2" s="1119"/>
      <c r="R2" s="1212">
        <v>1</v>
      </c>
      <c r="S2" s="3361">
        <f>ROUND(SUMPRODUCT((B106:B110=R2)*(C105:N105=G2)*(C106:N110)),4)</f>
        <v>1.5206</v>
      </c>
      <c r="T2" s="3361">
        <f t="shared" ref="T2:T16" si="0">ROUND($C$5*$C$22*$C$23*$C$24*S2*$C$28,0)</f>
        <v>47534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31261</v>
      </c>
      <c r="C3" s="1999" t="s">
        <v>1941</v>
      </c>
      <c r="D3" s="2000" t="s">
        <v>1942</v>
      </c>
      <c r="E3" s="3420" t="s">
        <v>3398</v>
      </c>
      <c r="F3" s="2004" t="s">
        <v>3392</v>
      </c>
      <c r="G3" s="3821">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37737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6"/>
      <c r="B4" s="3777"/>
      <c r="C4" s="3777"/>
      <c r="D4" s="3778"/>
      <c r="E4" s="3778"/>
      <c r="F4" s="3778"/>
      <c r="G4" s="3778"/>
      <c r="H4" s="3778"/>
      <c r="I4" s="3778"/>
      <c r="J4" s="377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32608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31031</v>
      </c>
      <c r="D5" s="1339">
        <f>ROUND(C6*C17+C20,0)</f>
        <v>28210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29507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28122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3460"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77" t="s">
        <v>1955</v>
      </c>
      <c r="X7" s="1214" t="str">
        <f>G2</f>
        <v>二级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3" t="s">
        <v>1960</v>
      </c>
      <c r="X8" s="377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1.1000000000000001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67"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68"/>
      <c r="C15" s="2043" t="s">
        <v>3400</v>
      </c>
      <c r="D15" s="2044" t="s">
        <v>3400</v>
      </c>
      <c r="E15" s="2045" t="s">
        <v>3399</v>
      </c>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1.1000000000000001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66"/>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0" t="s">
        <v>3257</v>
      </c>
      <c r="B20" s="167" t="s">
        <v>1994</v>
      </c>
      <c r="C20" s="3325">
        <f>ROUND(IF(F21="与级别开发程度一致",0,(G21-E21)/C21),0)</f>
        <v>0</v>
      </c>
      <c r="D20" s="3341" t="s">
        <v>1998</v>
      </c>
      <c r="E20" s="3342"/>
      <c r="F20" s="3786" t="s">
        <v>1995</v>
      </c>
      <c r="G20" s="378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054" t="s">
        <v>2002</v>
      </c>
      <c r="E23" s="761">
        <v>44197</v>
      </c>
      <c r="F23" s="2054" t="s">
        <v>2003</v>
      </c>
      <c r="G23" s="762">
        <f>'数据-取费表'!B2</f>
        <v>45362</v>
      </c>
      <c r="H23" s="3343" t="s">
        <v>3259</v>
      </c>
      <c r="I23" s="3344" t="str">
        <f>IF(H23="季度增幅（自定义）",SUMIF(N25:N28,E2,O25:O28),"")</f>
        <v/>
      </c>
      <c r="J23" s="3446" t="s">
        <v>3258</v>
      </c>
      <c r="K23" s="1125"/>
      <c r="L23" s="2055" t="s">
        <v>2004</v>
      </c>
      <c r="M23" s="1328">
        <f>ROUND(SUMIF(地价!B2:G2,E2,地价!B16:G16),0)</f>
        <v>687</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0.92769999999999997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46.63</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3473">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3472">
        <f>IF(E26=G26,F26,IF(G3&lt;10,ROUND(F26+(H26-F26)*(G3-E26)/(G26-E26),4),"——"))</f>
        <v>1</v>
      </c>
      <c r="E26" s="752">
        <f>ROUNDDOWN(G3,1)</f>
        <v>2.5</v>
      </c>
      <c r="F26" s="34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9639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31260</v>
      </c>
      <c r="D33" s="2098">
        <f>'数据-汇总表'!F19</f>
        <v>3083.37</v>
      </c>
      <c r="E33" s="773">
        <f>ROUND(C33*D33/10000,0)</f>
        <v>9639</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7815</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4"/>
      <c r="B37" s="2113" t="s">
        <v>2036</v>
      </c>
      <c r="C37" s="175">
        <f>ROUND(D5*C22*C23*C24*C28*F37,0)</f>
        <v>19893</v>
      </c>
      <c r="D37" s="2098"/>
      <c r="E37" s="171">
        <f>ROUND(C37*D37/10000,0)</f>
        <v>0</v>
      </c>
      <c r="F37" s="171">
        <f>SUMIF(修正!A57:A68,G2,修正!B57:B68)</f>
        <v>0.7</v>
      </c>
      <c r="G37" s="171">
        <f>ROUND(IF(E2="工业",C37*$M$42,C37*$M$41),0)</f>
        <v>4973</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5"/>
      <c r="B38" s="2041" t="s">
        <v>2037</v>
      </c>
      <c r="C38" s="175">
        <f>ROUND(D5*C22*C23*C24*C28*F38,0)</f>
        <v>11367</v>
      </c>
      <c r="D38" s="2098"/>
      <c r="E38" s="171">
        <f t="shared" ref="E38:E42" si="4">ROUND(C38*D38/10000,0)</f>
        <v>0</v>
      </c>
      <c r="F38" s="171">
        <f>SUMIF(修正!A57:A68,G2,修正!C57:C68)</f>
        <v>0.4</v>
      </c>
      <c r="G38" s="171">
        <f>ROUND(IF(E2="工业",C38*$M$42,C38*$M$41),0)</f>
        <v>2842</v>
      </c>
      <c r="H38" s="171">
        <f t="shared" ref="H38:H42" si="5">D38</f>
        <v>0</v>
      </c>
      <c r="I38" s="171">
        <f t="shared" ref="I38:I42" si="6">ROUND(G38*H38/10000,0)</f>
        <v>0</v>
      </c>
      <c r="J38" s="3480"/>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5"/>
      <c r="B39" s="2041" t="s">
        <v>3262</v>
      </c>
      <c r="C39" s="175">
        <f>ROUND(D5*C22*C23*C24*C28*F39,0)</f>
        <v>8526</v>
      </c>
      <c r="D39" s="2098"/>
      <c r="E39" s="171">
        <f t="shared" si="4"/>
        <v>0</v>
      </c>
      <c r="F39" s="171">
        <f>SUMIF(修正!A57:A68,G2,修正!D57:D68)</f>
        <v>0.3</v>
      </c>
      <c r="G39" s="171">
        <f>ROUND(IF(E2="工业",C39*$M$42,C39*$M$41),0)</f>
        <v>2132</v>
      </c>
      <c r="H39" s="171">
        <f t="shared" si="5"/>
        <v>0</v>
      </c>
      <c r="I39" s="171">
        <f t="shared" si="6"/>
        <v>0</v>
      </c>
      <c r="J39" s="348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8526</v>
      </c>
      <c r="D40" s="2098"/>
      <c r="E40" s="171">
        <f t="shared" si="4"/>
        <v>0</v>
      </c>
      <c r="F40" s="175">
        <f>SUMIF(修正!A57:A68,G2,修正!E57:E68)</f>
        <v>0.3</v>
      </c>
      <c r="G40" s="171">
        <f>ROUND(IF(E2="工业",C40*$M$42,C40*$M$41),0)</f>
        <v>2132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3394</v>
      </c>
      <c r="D61" s="1065" t="e">
        <f t="shared" ref="D61:D69" si="12">SUMIF($J$60:$N$60,C61,J61:N61)</f>
        <v>#VALUE!</v>
      </c>
      <c r="E61" s="744" t="e">
        <f>ROUND(SUM(D61:D69),4)</f>
        <v>#VALUE!</v>
      </c>
      <c r="F61" s="1814" t="str">
        <f>IF(E2="办公",SUMIF(L1:L12,G2,N1:N12),"——")</f>
        <v>——</v>
      </c>
      <c r="G61" s="1063" t="str">
        <f>H61</f>
        <v>——</v>
      </c>
      <c r="H61" s="1066" t="str">
        <f t="shared" ref="H61:H69" si="13">IFERROR(ROUNDDOWN($F$61*I61/2,4),"——")</f>
        <v>——</v>
      </c>
      <c r="I61" s="3367">
        <v>0.25</v>
      </c>
      <c r="J61" s="1064" t="e">
        <f t="shared" ref="J61:J69" si="14">K61+$G61</f>
        <v>#VALUE!</v>
      </c>
      <c r="K61" s="1064" t="e">
        <f t="shared" ref="K61:K69" si="15">$L61+$G61</f>
        <v>#VALUE!</v>
      </c>
      <c r="L61" s="1064">
        <v>0</v>
      </c>
      <c r="M61" s="1064" t="e">
        <f t="shared" ref="M61:N69" si="16">L61-$G61</f>
        <v>#VALUE!</v>
      </c>
      <c r="N61" s="1064" t="e">
        <f t="shared" si="16"/>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t="e">
        <f t="shared" si="12"/>
        <v>#VALUE!</v>
      </c>
      <c r="E62" s="745"/>
      <c r="F62" s="1814"/>
      <c r="G62" s="1063" t="str">
        <f t="shared" ref="G62:G69" si="17">H62</f>
        <v>——</v>
      </c>
      <c r="H62" s="1066" t="str">
        <f t="shared" si="13"/>
        <v>——</v>
      </c>
      <c r="I62" s="3367">
        <v>0.26</v>
      </c>
      <c r="J62" s="1064" t="e">
        <f t="shared" si="14"/>
        <v>#VALUE!</v>
      </c>
      <c r="K62" s="1064" t="e">
        <f t="shared" si="15"/>
        <v>#VALUE!</v>
      </c>
      <c r="L62" s="1064">
        <v>0</v>
      </c>
      <c r="M62" s="1064" t="e">
        <f t="shared" si="16"/>
        <v>#VALUE!</v>
      </c>
      <c r="N62" s="1064" t="e">
        <f t="shared" si="16"/>
        <v>#VALUE!</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3394</v>
      </c>
      <c r="D63" s="1065" t="e">
        <f t="shared" si="12"/>
        <v>#VALUE!</v>
      </c>
      <c r="E63" s="745"/>
      <c r="F63" s="1814"/>
      <c r="G63" s="1063" t="str">
        <f t="shared" si="17"/>
        <v>——</v>
      </c>
      <c r="H63" s="1066" t="str">
        <f t="shared" si="13"/>
        <v>——</v>
      </c>
      <c r="I63" s="3367">
        <v>0.11</v>
      </c>
      <c r="J63" s="1064" t="e">
        <f t="shared" si="14"/>
        <v>#VALUE!</v>
      </c>
      <c r="K63" s="1064" t="e">
        <f t="shared" si="15"/>
        <v>#VALUE!</v>
      </c>
      <c r="L63" s="1064">
        <v>0</v>
      </c>
      <c r="M63" s="1064" t="e">
        <f t="shared" si="16"/>
        <v>#VALUE!</v>
      </c>
      <c r="N63" s="1064" t="e">
        <f t="shared" si="16"/>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t="e">
        <f t="shared" si="12"/>
        <v>#VALUE!</v>
      </c>
      <c r="E64" s="745"/>
      <c r="F64" s="1814"/>
      <c r="G64" s="1063" t="str">
        <f t="shared" si="17"/>
        <v>——</v>
      </c>
      <c r="H64" s="1066" t="str">
        <f t="shared" si="13"/>
        <v>——</v>
      </c>
      <c r="I64" s="3367">
        <v>0.05</v>
      </c>
      <c r="J64" s="1064" t="e">
        <f t="shared" si="14"/>
        <v>#VALUE!</v>
      </c>
      <c r="K64" s="1064" t="e">
        <f t="shared" si="15"/>
        <v>#VALUE!</v>
      </c>
      <c r="L64" s="1064">
        <v>0</v>
      </c>
      <c r="M64" s="1064" t="e">
        <f t="shared" si="16"/>
        <v>#VALUE!</v>
      </c>
      <c r="N64" s="1064" t="e">
        <f t="shared" si="16"/>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3395</v>
      </c>
      <c r="D65" s="1065">
        <f t="shared" si="12"/>
        <v>0</v>
      </c>
      <c r="E65" s="745"/>
      <c r="F65" s="1814"/>
      <c r="G65" s="1063" t="str">
        <f t="shared" si="17"/>
        <v>——</v>
      </c>
      <c r="H65" s="1066" t="str">
        <f t="shared" si="13"/>
        <v>——</v>
      </c>
      <c r="I65" s="3367">
        <v>0.05</v>
      </c>
      <c r="J65" s="1064" t="e">
        <f t="shared" si="14"/>
        <v>#VALUE!</v>
      </c>
      <c r="K65" s="1064" t="e">
        <f t="shared" si="15"/>
        <v>#VALUE!</v>
      </c>
      <c r="L65" s="1064">
        <v>0</v>
      </c>
      <c r="M65" s="1064" t="e">
        <f t="shared" si="16"/>
        <v>#VALUE!</v>
      </c>
      <c r="N65" s="1064" t="e">
        <f t="shared" si="16"/>
        <v>#VALUE!</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t="e">
        <f t="shared" si="12"/>
        <v>#VALUE!</v>
      </c>
      <c r="E66" s="745"/>
      <c r="F66" s="1814"/>
      <c r="G66" s="1063" t="str">
        <f t="shared" si="17"/>
        <v>——</v>
      </c>
      <c r="H66" s="1066" t="str">
        <f t="shared" si="13"/>
        <v>——</v>
      </c>
      <c r="I66" s="3367">
        <v>0.06</v>
      </c>
      <c r="J66" s="1064" t="e">
        <f t="shared" si="14"/>
        <v>#VALUE!</v>
      </c>
      <c r="K66" s="1064" t="e">
        <f t="shared" si="15"/>
        <v>#VALUE!</v>
      </c>
      <c r="L66" s="1064">
        <v>0</v>
      </c>
      <c r="M66" s="1064" t="e">
        <f t="shared" si="16"/>
        <v>#VALUE!</v>
      </c>
      <c r="N66" s="1064" t="e">
        <f t="shared" si="16"/>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3394</v>
      </c>
      <c r="D67" s="1065" t="e">
        <f t="shared" si="12"/>
        <v>#VALUE!</v>
      </c>
      <c r="E67" s="745"/>
      <c r="F67" s="1814"/>
      <c r="G67" s="1063" t="str">
        <f t="shared" si="17"/>
        <v>——</v>
      </c>
      <c r="H67" s="1066" t="str">
        <f t="shared" si="13"/>
        <v>——</v>
      </c>
      <c r="I67" s="3367">
        <v>0.06</v>
      </c>
      <c r="J67" s="1064" t="e">
        <f t="shared" si="14"/>
        <v>#VALUE!</v>
      </c>
      <c r="K67" s="1064" t="e">
        <f t="shared" si="15"/>
        <v>#VALUE!</v>
      </c>
      <c r="L67" s="1064">
        <v>0</v>
      </c>
      <c r="M67" s="1064" t="e">
        <f t="shared" si="16"/>
        <v>#VALUE!</v>
      </c>
      <c r="N67" s="1064" t="e">
        <f t="shared" si="16"/>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3396</v>
      </c>
      <c r="D68" s="1065" t="e">
        <f t="shared" si="12"/>
        <v>#VALUE!</v>
      </c>
      <c r="E68" s="745"/>
      <c r="F68" s="1814"/>
      <c r="G68" s="1063" t="str">
        <f t="shared" si="17"/>
        <v>——</v>
      </c>
      <c r="H68" s="1066" t="str">
        <f t="shared" si="13"/>
        <v>——</v>
      </c>
      <c r="I68" s="3367">
        <v>0.09</v>
      </c>
      <c r="J68" s="1064" t="e">
        <f t="shared" si="14"/>
        <v>#VALUE!</v>
      </c>
      <c r="K68" s="1064" t="e">
        <f t="shared" si="15"/>
        <v>#VALUE!</v>
      </c>
      <c r="L68" s="1064">
        <v>0</v>
      </c>
      <c r="M68" s="1064" t="e">
        <f t="shared" si="16"/>
        <v>#VALUE!</v>
      </c>
      <c r="N68" s="1064" t="e">
        <f t="shared" si="16"/>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3394</v>
      </c>
      <c r="D69" s="1065" t="e">
        <f t="shared" si="12"/>
        <v>#VALUE!</v>
      </c>
      <c r="E69" s="746"/>
      <c r="F69" s="1814"/>
      <c r="G69" s="1063" t="str">
        <f t="shared" si="17"/>
        <v>——</v>
      </c>
      <c r="H69" s="1066" t="str">
        <f t="shared" si="13"/>
        <v>——</v>
      </c>
      <c r="I69" s="3368">
        <v>7.0000000000000007E-2</v>
      </c>
      <c r="J69" s="1064" t="e">
        <f t="shared" si="14"/>
        <v>#VALUE!</v>
      </c>
      <c r="K69" s="1064" t="e">
        <f t="shared" si="15"/>
        <v>#VALUE!</v>
      </c>
      <c r="L69" s="1064">
        <v>0</v>
      </c>
      <c r="M69" s="1064" t="e">
        <f t="shared" si="16"/>
        <v>#VALUE!</v>
      </c>
      <c r="N69" s="1064" t="e">
        <f t="shared" si="16"/>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3394</v>
      </c>
      <c r="D72" s="1065">
        <f t="shared" ref="D72:D80" si="18">SUMIF($J$71:$N$71,C72,J72:N72)</f>
        <v>0</v>
      </c>
      <c r="E72" s="744">
        <f>ROUND(SUM(D72:D80),4)</f>
        <v>0</v>
      </c>
      <c r="F72" s="1814">
        <f>IF(E2="住宅",SUMIF(L1:L12,G2,N1:N12),"——")</f>
        <v>9.5000000000000001E-2</v>
      </c>
      <c r="G72" s="1063"/>
      <c r="H72" s="1066">
        <f t="shared" ref="H72:H80" si="19">IFERROR(ROUNDDOWN($F$72*I72/2,4),"——")</f>
        <v>9.4999999999999998E-3</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3394</v>
      </c>
      <c r="D73" s="1065">
        <f t="shared" si="18"/>
        <v>0</v>
      </c>
      <c r="E73" s="747"/>
      <c r="F73" s="1814"/>
      <c r="G73" s="1063"/>
      <c r="H73" s="1066">
        <f t="shared" si="19"/>
        <v>1.23E-2</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t="s">
        <v>3394</v>
      </c>
      <c r="D74" s="1065">
        <f t="shared" si="18"/>
        <v>0</v>
      </c>
      <c r="E74" s="747"/>
      <c r="F74" s="1814"/>
      <c r="G74" s="1063"/>
      <c r="H74" s="1066">
        <f t="shared" si="19"/>
        <v>4.7000000000000002E-3</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3395</v>
      </c>
      <c r="D75" s="1065">
        <f t="shared" si="18"/>
        <v>0</v>
      </c>
      <c r="E75" s="747"/>
      <c r="F75" s="1814"/>
      <c r="G75" s="1063"/>
      <c r="H75" s="1066">
        <f t="shared" si="19"/>
        <v>2.3E-3</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t="s">
        <v>3394</v>
      </c>
      <c r="D76" s="1065">
        <f t="shared" si="18"/>
        <v>0</v>
      </c>
      <c r="E76" s="747"/>
      <c r="F76" s="1814"/>
      <c r="G76" s="1063"/>
      <c r="H76" s="1066">
        <f t="shared" si="19"/>
        <v>3.8E-3</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t="s">
        <v>3396</v>
      </c>
      <c r="D77" s="1065">
        <f t="shared" si="18"/>
        <v>0</v>
      </c>
      <c r="E77" s="747"/>
      <c r="F77" s="1814"/>
      <c r="G77" s="1063"/>
      <c r="H77" s="1066">
        <f t="shared" si="19"/>
        <v>4.1999999999999997E-3</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t="s">
        <v>3394</v>
      </c>
      <c r="D78" s="1065">
        <f t="shared" si="18"/>
        <v>0</v>
      </c>
      <c r="E78" s="747"/>
      <c r="F78" s="1814"/>
      <c r="G78" s="1063"/>
      <c r="H78" s="1066">
        <f t="shared" si="19"/>
        <v>2.3E-3</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t="s">
        <v>3394</v>
      </c>
      <c r="D79" s="1065">
        <f t="shared" si="18"/>
        <v>0</v>
      </c>
      <c r="E79" s="747"/>
      <c r="F79" s="1814"/>
      <c r="G79" s="1063"/>
      <c r="H79" s="1066">
        <f t="shared" si="19"/>
        <v>5.7000000000000002E-3</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t="s">
        <v>3394</v>
      </c>
      <c r="D80" s="1065">
        <f t="shared" si="18"/>
        <v>0</v>
      </c>
      <c r="E80" s="748"/>
      <c r="F80" s="1814"/>
      <c r="G80" s="1063"/>
      <c r="H80" s="1066">
        <f t="shared" si="19"/>
        <v>2.3E-3</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2" t="s">
        <v>3297</v>
      </c>
      <c r="B103" s="3782"/>
      <c r="C103" s="3782"/>
      <c r="D103" s="3782"/>
      <c r="E103" s="3782"/>
      <c r="F103" s="3782"/>
      <c r="G103" s="3782"/>
      <c r="H103" s="3782"/>
      <c r="I103" s="3782"/>
      <c r="J103" s="3782"/>
      <c r="K103" s="3478"/>
      <c r="L103" s="3478"/>
      <c r="M103" s="3478"/>
      <c r="N103" s="3478"/>
    </row>
    <row r="104" spans="1:14">
      <c r="A104" s="3783" t="s">
        <v>3298</v>
      </c>
      <c r="B104" s="3783" t="s">
        <v>3299</v>
      </c>
      <c r="C104" s="3391" t="s">
        <v>3300</v>
      </c>
      <c r="D104" s="3392"/>
      <c r="E104" s="3392"/>
      <c r="F104" s="3392"/>
      <c r="G104" s="3392"/>
      <c r="H104" s="3392"/>
      <c r="I104" s="3392"/>
      <c r="J104" s="3393"/>
      <c r="K104" s="3394"/>
      <c r="L104" s="3394"/>
      <c r="M104" s="3394"/>
      <c r="N104" s="3394"/>
    </row>
    <row r="105" spans="1:14">
      <c r="A105" s="3783"/>
      <c r="B105" s="3783"/>
      <c r="C105" s="3479" t="s">
        <v>3301</v>
      </c>
      <c r="D105" s="3479" t="s">
        <v>3302</v>
      </c>
      <c r="E105" s="3479" t="s">
        <v>3303</v>
      </c>
      <c r="F105" s="3479" t="s">
        <v>3304</v>
      </c>
      <c r="G105" s="3479" t="s">
        <v>3305</v>
      </c>
      <c r="H105" s="3479" t="s">
        <v>3306</v>
      </c>
      <c r="I105" s="3479" t="s">
        <v>3307</v>
      </c>
      <c r="J105" s="3479" t="s">
        <v>3308</v>
      </c>
      <c r="K105" s="3479" t="s">
        <v>3309</v>
      </c>
      <c r="L105" s="3479" t="s">
        <v>3310</v>
      </c>
      <c r="M105" s="3479" t="s">
        <v>3311</v>
      </c>
      <c r="N105" s="3479" t="s">
        <v>3312</v>
      </c>
    </row>
    <row r="106" spans="1:14">
      <c r="A106" s="3769" t="s">
        <v>3313</v>
      </c>
      <c r="B106" s="3479">
        <v>1</v>
      </c>
      <c r="C106" s="3479">
        <v>1.5206</v>
      </c>
      <c r="D106" s="3479">
        <v>1.5206</v>
      </c>
      <c r="E106" s="3479">
        <v>1.5019</v>
      </c>
      <c r="F106" s="3479">
        <v>1.5019</v>
      </c>
      <c r="G106" s="3479">
        <v>1.5019</v>
      </c>
      <c r="H106" s="3479">
        <v>1.5019</v>
      </c>
      <c r="I106" s="3479">
        <v>1.5019</v>
      </c>
      <c r="J106" s="3479">
        <v>1.5418000000000001</v>
      </c>
      <c r="K106" s="3479">
        <v>1.5418000000000001</v>
      </c>
      <c r="L106" s="3479">
        <v>1.5418000000000001</v>
      </c>
      <c r="M106" s="3479">
        <v>1.5418000000000001</v>
      </c>
      <c r="N106" s="3479">
        <v>1.5418000000000001</v>
      </c>
    </row>
    <row r="107" spans="1:14">
      <c r="A107" s="3770"/>
      <c r="B107" s="3479">
        <v>2</v>
      </c>
      <c r="C107" s="3479">
        <v>1.2072000000000001</v>
      </c>
      <c r="D107" s="3479">
        <v>1.2072000000000001</v>
      </c>
      <c r="E107" s="3479">
        <v>1.1838</v>
      </c>
      <c r="F107" s="3479">
        <v>1.1838</v>
      </c>
      <c r="G107" s="3479">
        <v>1.1838</v>
      </c>
      <c r="H107" s="3479">
        <v>1.1838</v>
      </c>
      <c r="I107" s="3479">
        <v>1.1838</v>
      </c>
      <c r="J107" s="3479">
        <v>1.1883999999999999</v>
      </c>
      <c r="K107" s="3479">
        <v>1.1883999999999999</v>
      </c>
      <c r="L107" s="3479">
        <v>1.1883999999999999</v>
      </c>
      <c r="M107" s="3479">
        <v>1.1883999999999999</v>
      </c>
      <c r="N107" s="3479">
        <v>1.1883999999999999</v>
      </c>
    </row>
    <row r="108" spans="1:14">
      <c r="A108" s="3770"/>
      <c r="B108" s="3479">
        <v>3</v>
      </c>
      <c r="C108" s="3479">
        <v>1.0430999999999999</v>
      </c>
      <c r="D108" s="3479">
        <v>1.0430999999999999</v>
      </c>
      <c r="E108" s="3479">
        <v>1.0004999999999999</v>
      </c>
      <c r="F108" s="3479">
        <v>1.0004999999999999</v>
      </c>
      <c r="G108" s="3479">
        <v>1.0004999999999999</v>
      </c>
      <c r="H108" s="3479">
        <v>1.0004999999999999</v>
      </c>
      <c r="I108" s="3479">
        <v>1.0004999999999999</v>
      </c>
      <c r="J108" s="3479">
        <v>0.96940000000000004</v>
      </c>
      <c r="K108" s="3479">
        <v>0.96940000000000004</v>
      </c>
      <c r="L108" s="3479">
        <v>0.96940000000000004</v>
      </c>
      <c r="M108" s="3479">
        <v>0.96940000000000004</v>
      </c>
      <c r="N108" s="3479">
        <v>0.96940000000000004</v>
      </c>
    </row>
    <row r="109" spans="1:14">
      <c r="A109" s="3770"/>
      <c r="B109" s="3479">
        <v>4</v>
      </c>
      <c r="C109" s="3479">
        <v>0.94389999999999996</v>
      </c>
      <c r="D109" s="3479">
        <v>0.94389999999999996</v>
      </c>
      <c r="E109" s="3479">
        <v>0.88239999999999996</v>
      </c>
      <c r="F109" s="3479">
        <v>0.88239999999999996</v>
      </c>
      <c r="G109" s="3479">
        <v>0.88239999999999996</v>
      </c>
      <c r="H109" s="3479">
        <v>0.88239999999999996</v>
      </c>
      <c r="I109" s="3479">
        <v>0.88239999999999996</v>
      </c>
      <c r="J109" s="3479">
        <v>0.82299999999999995</v>
      </c>
      <c r="K109" s="3479">
        <v>0.82299999999999995</v>
      </c>
      <c r="L109" s="3479">
        <v>0.82299999999999995</v>
      </c>
      <c r="M109" s="3479">
        <v>0.82299999999999995</v>
      </c>
      <c r="N109" s="3479">
        <v>0.82299999999999995</v>
      </c>
    </row>
    <row r="110" spans="1:14">
      <c r="A110" s="3770"/>
      <c r="B110" s="3479">
        <v>5</v>
      </c>
      <c r="C110" s="3479">
        <v>0.89959999999999996</v>
      </c>
      <c r="D110" s="3479">
        <v>0.89959999999999996</v>
      </c>
      <c r="E110" s="3479">
        <v>0.84799999999999998</v>
      </c>
      <c r="F110" s="3479">
        <v>0.84799999999999998</v>
      </c>
      <c r="G110" s="3479">
        <v>0.84799999999999998</v>
      </c>
      <c r="H110" s="3479">
        <v>0.84799999999999998</v>
      </c>
      <c r="I110" s="3479">
        <v>0.84799999999999998</v>
      </c>
      <c r="J110" s="3479">
        <v>0.74980000000000002</v>
      </c>
      <c r="K110" s="3479">
        <v>0.74980000000000002</v>
      </c>
      <c r="L110" s="3479">
        <v>0.74980000000000002</v>
      </c>
      <c r="M110" s="3479">
        <v>0.74980000000000002</v>
      </c>
      <c r="N110" s="3479">
        <v>0.74980000000000002</v>
      </c>
    </row>
    <row r="111" spans="1:14">
      <c r="A111" s="3770"/>
      <c r="B111" s="3479"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1"/>
      <c r="B112" s="3479">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2" t="s">
        <v>3314</v>
      </c>
      <c r="B113" s="3772"/>
      <c r="C113" s="3772"/>
      <c r="D113" s="3772"/>
      <c r="E113" s="3772"/>
      <c r="F113" s="3772"/>
      <c r="G113" s="3772"/>
      <c r="H113" s="3772"/>
      <c r="I113" s="3772"/>
      <c r="J113" s="3772"/>
      <c r="K113" s="3476"/>
      <c r="L113" s="3476"/>
      <c r="M113" s="3476"/>
      <c r="N113" s="3476"/>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0.91610000000000003</v>
      </c>
      <c r="E116" s="2000" t="s">
        <v>3317</v>
      </c>
      <c r="F116" s="3402" t="str">
        <f>E2</f>
        <v>住宅</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3333</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5" t="s">
        <v>2610</v>
      </c>
      <c r="B20" s="3788" t="s">
        <v>2631</v>
      </c>
      <c r="C20" s="3103" t="s">
        <v>2442</v>
      </c>
      <c r="D20" s="3104"/>
      <c r="E20" s="3105">
        <v>1</v>
      </c>
      <c r="F20" s="3106" t="s">
        <v>2443</v>
      </c>
      <c r="G20" s="3106"/>
    </row>
    <row r="21" spans="1:13" ht="19.5" customHeight="1">
      <c r="A21" s="3796"/>
      <c r="B21" s="3789"/>
      <c r="C21" s="3107" t="s">
        <v>2444</v>
      </c>
      <c r="D21" s="3108"/>
      <c r="E21" s="3109">
        <v>1</v>
      </c>
      <c r="F21" s="3106" t="s">
        <v>2445</v>
      </c>
      <c r="G21" s="3106"/>
    </row>
    <row r="22" spans="1:13" ht="19.5" customHeight="1">
      <c r="A22" s="3796"/>
      <c r="B22" s="3789"/>
      <c r="C22" s="3107" t="s">
        <v>2446</v>
      </c>
      <c r="D22" s="3108"/>
      <c r="E22" s="3109">
        <v>0.9</v>
      </c>
      <c r="F22" s="3106" t="s">
        <v>2447</v>
      </c>
      <c r="G22" s="3106"/>
    </row>
    <row r="23" spans="1:13" ht="19.5" customHeight="1">
      <c r="A23" s="3796"/>
      <c r="B23" s="3789"/>
      <c r="C23" s="3107" t="s">
        <v>2448</v>
      </c>
      <c r="D23" s="3108"/>
      <c r="E23" s="3109">
        <v>0.9</v>
      </c>
      <c r="F23" s="3106" t="s">
        <v>2449</v>
      </c>
      <c r="G23" s="3106"/>
    </row>
    <row r="24" spans="1:13" ht="19.5" customHeight="1">
      <c r="A24" s="3796"/>
      <c r="B24" s="3789"/>
      <c r="C24" s="3107" t="s">
        <v>2450</v>
      </c>
      <c r="D24" s="3108"/>
      <c r="E24" s="3109">
        <v>0.8</v>
      </c>
      <c r="F24" s="3106" t="s">
        <v>2451</v>
      </c>
      <c r="G24" s="3106"/>
    </row>
    <row r="25" spans="1:13" ht="19.5" customHeight="1" thickBot="1">
      <c r="A25" s="3797"/>
      <c r="B25" s="379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1" t="s">
        <v>2634</v>
      </c>
      <c r="B27" s="3788" t="s">
        <v>2615</v>
      </c>
      <c r="C27" s="3103" t="s">
        <v>2455</v>
      </c>
      <c r="D27" s="3104"/>
      <c r="E27" s="3105">
        <v>1</v>
      </c>
      <c r="F27" s="3106" t="s">
        <v>2456</v>
      </c>
      <c r="G27" s="3106"/>
    </row>
    <row r="28" spans="1:13" ht="19.5" customHeight="1">
      <c r="A28" s="3792"/>
      <c r="B28" s="3789"/>
      <c r="C28" s="3107" t="s">
        <v>2457</v>
      </c>
      <c r="D28" s="3108"/>
      <c r="E28" s="3109">
        <v>1</v>
      </c>
      <c r="F28" s="3106" t="s">
        <v>2458</v>
      </c>
      <c r="G28" s="3106"/>
    </row>
    <row r="29" spans="1:13" ht="19.5" customHeight="1">
      <c r="A29" s="3792"/>
      <c r="B29" s="3789"/>
      <c r="C29" s="3107" t="s">
        <v>2459</v>
      </c>
      <c r="D29" s="3108"/>
      <c r="E29" s="3109">
        <v>0.8</v>
      </c>
      <c r="F29" s="3106" t="s">
        <v>2460</v>
      </c>
      <c r="G29" s="3106"/>
    </row>
    <row r="30" spans="1:13" ht="19.5" customHeight="1">
      <c r="A30" s="3792"/>
      <c r="B30" s="3789"/>
      <c r="C30" s="3107" t="s">
        <v>2461</v>
      </c>
      <c r="D30" s="3108"/>
      <c r="E30" s="3109">
        <v>0.8</v>
      </c>
      <c r="F30" s="3106" t="s">
        <v>2462</v>
      </c>
      <c r="G30" s="3106"/>
    </row>
    <row r="31" spans="1:13" ht="19.5" customHeight="1">
      <c r="A31" s="3792"/>
      <c r="B31" s="3789"/>
      <c r="C31" s="3107" t="s">
        <v>2463</v>
      </c>
      <c r="D31" s="3108"/>
      <c r="E31" s="3109">
        <v>0.8</v>
      </c>
      <c r="F31" s="3106" t="s">
        <v>2464</v>
      </c>
      <c r="G31" s="3106"/>
    </row>
    <row r="32" spans="1:13" ht="19.5" customHeight="1">
      <c r="A32" s="3792"/>
      <c r="B32" s="3789"/>
      <c r="C32" s="3107" t="s">
        <v>2465</v>
      </c>
      <c r="D32" s="3108"/>
      <c r="E32" s="3109">
        <v>0.7</v>
      </c>
      <c r="F32" s="3106" t="s">
        <v>2466</v>
      </c>
      <c r="G32" s="3106"/>
    </row>
    <row r="33" spans="1:7" ht="19.5" customHeight="1">
      <c r="A33" s="3792"/>
      <c r="B33" s="3789"/>
      <c r="C33" s="3107" t="s">
        <v>2467</v>
      </c>
      <c r="D33" s="3108"/>
      <c r="E33" s="3109">
        <v>0.8</v>
      </c>
      <c r="F33" s="3106" t="s">
        <v>2468</v>
      </c>
      <c r="G33" s="3106"/>
    </row>
    <row r="34" spans="1:7" ht="19.5" customHeight="1">
      <c r="A34" s="3792"/>
      <c r="B34" s="3789"/>
      <c r="C34" s="3107" t="s">
        <v>2469</v>
      </c>
      <c r="D34" s="3108"/>
      <c r="E34" s="3109">
        <v>0.6</v>
      </c>
      <c r="F34" s="3106" t="s">
        <v>2470</v>
      </c>
      <c r="G34" s="3106"/>
    </row>
    <row r="35" spans="1:7" ht="19.5" customHeight="1">
      <c r="A35" s="3792"/>
      <c r="B35" s="3789"/>
      <c r="C35" s="3107" t="s">
        <v>2471</v>
      </c>
      <c r="D35" s="3108"/>
      <c r="E35" s="3109">
        <v>0.2</v>
      </c>
      <c r="F35" s="3106" t="s">
        <v>2472</v>
      </c>
      <c r="G35" s="3106"/>
    </row>
    <row r="36" spans="1:7" ht="19.5" customHeight="1">
      <c r="A36" s="3792"/>
      <c r="B36" s="3789"/>
      <c r="C36" s="3107" t="s">
        <v>2473</v>
      </c>
      <c r="D36" s="3108"/>
      <c r="E36" s="3109">
        <v>0.2</v>
      </c>
      <c r="F36" s="3106" t="s">
        <v>2474</v>
      </c>
      <c r="G36" s="3106"/>
    </row>
    <row r="37" spans="1:7" ht="19.5" customHeight="1">
      <c r="A37" s="3792"/>
      <c r="B37" s="3794" t="s">
        <v>2635</v>
      </c>
      <c r="C37" s="3107" t="s">
        <v>2475</v>
      </c>
      <c r="D37" s="3108"/>
      <c r="E37" s="3109">
        <v>0.6</v>
      </c>
      <c r="F37" s="3106" t="s">
        <v>2476</v>
      </c>
      <c r="G37" s="3106"/>
    </row>
    <row r="38" spans="1:7" ht="19.5" customHeight="1">
      <c r="A38" s="3792"/>
      <c r="B38" s="3789"/>
      <c r="C38" s="3107" t="s">
        <v>2477</v>
      </c>
      <c r="D38" s="3108"/>
      <c r="E38" s="3109">
        <v>0.6</v>
      </c>
      <c r="F38" s="3106" t="s">
        <v>2478</v>
      </c>
      <c r="G38" s="3106"/>
    </row>
    <row r="39" spans="1:7" ht="19.5" customHeight="1" thickBot="1">
      <c r="A39" s="3793"/>
      <c r="B39" s="379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5" t="s">
        <v>2613</v>
      </c>
      <c r="B41" s="3788" t="s">
        <v>2637</v>
      </c>
      <c r="C41" s="3103" t="s">
        <v>2482</v>
      </c>
      <c r="D41" s="3104"/>
      <c r="E41" s="3105">
        <v>1</v>
      </c>
      <c r="F41" s="3106" t="s">
        <v>2483</v>
      </c>
      <c r="G41" s="3106"/>
    </row>
    <row r="42" spans="1:7" ht="19.5" customHeight="1">
      <c r="A42" s="3796"/>
      <c r="B42" s="3789"/>
      <c r="C42" s="3107" t="s">
        <v>2484</v>
      </c>
      <c r="D42" s="3108"/>
      <c r="E42" s="3109">
        <v>1</v>
      </c>
      <c r="F42" s="3106" t="s">
        <v>2485</v>
      </c>
      <c r="G42" s="3106"/>
    </row>
    <row r="43" spans="1:7" ht="19.5" customHeight="1">
      <c r="A43" s="3796"/>
      <c r="B43" s="3798"/>
      <c r="C43" s="3107" t="s">
        <v>2486</v>
      </c>
      <c r="D43" s="3108"/>
      <c r="E43" s="3109">
        <v>1.5</v>
      </c>
      <c r="F43" s="3106" t="s">
        <v>2487</v>
      </c>
      <c r="G43" s="3106"/>
    </row>
    <row r="44" spans="1:7" ht="19.5" customHeight="1">
      <c r="A44" s="3796"/>
      <c r="B44" s="3118" t="s">
        <v>2638</v>
      </c>
      <c r="C44" s="3107" t="s">
        <v>2639</v>
      </c>
      <c r="D44" s="3108"/>
      <c r="E44" s="3109">
        <v>2</v>
      </c>
      <c r="F44" s="3106" t="s">
        <v>2488</v>
      </c>
      <c r="G44" s="3106"/>
    </row>
    <row r="45" spans="1:7" ht="19.5" customHeight="1">
      <c r="A45" s="3796"/>
      <c r="B45" s="3794" t="s">
        <v>2640</v>
      </c>
      <c r="C45" s="3107" t="s">
        <v>2489</v>
      </c>
      <c r="D45" s="3108"/>
      <c r="E45" s="3109">
        <v>1</v>
      </c>
      <c r="F45" s="3106" t="s">
        <v>2490</v>
      </c>
      <c r="G45" s="3106"/>
    </row>
    <row r="46" spans="1:7" ht="19.5" customHeight="1">
      <c r="A46" s="3796"/>
      <c r="B46" s="3789"/>
      <c r="C46" s="3107" t="s">
        <v>2491</v>
      </c>
      <c r="D46" s="3108"/>
      <c r="E46" s="3109">
        <v>1</v>
      </c>
      <c r="F46" s="3106" t="s">
        <v>2492</v>
      </c>
      <c r="G46" s="3106"/>
    </row>
    <row r="47" spans="1:7" ht="19.5" customHeight="1">
      <c r="A47" s="3796"/>
      <c r="B47" s="3789"/>
      <c r="C47" s="3107" t="s">
        <v>2493</v>
      </c>
      <c r="D47" s="3108"/>
      <c r="E47" s="3109">
        <v>1</v>
      </c>
      <c r="F47" s="3106" t="s">
        <v>2494</v>
      </c>
      <c r="G47" s="3106"/>
    </row>
    <row r="48" spans="1:7" ht="19.5" customHeight="1">
      <c r="A48" s="3796"/>
      <c r="B48" s="3789"/>
      <c r="C48" s="3107" t="s">
        <v>2495</v>
      </c>
      <c r="D48" s="3108"/>
      <c r="E48" s="3109">
        <v>1</v>
      </c>
      <c r="F48" s="3106" t="s">
        <v>2496</v>
      </c>
      <c r="G48" s="3106"/>
    </row>
    <row r="49" spans="1:7" ht="19.5" customHeight="1">
      <c r="A49" s="3796"/>
      <c r="B49" s="3789"/>
      <c r="C49" s="3107" t="s">
        <v>2497</v>
      </c>
      <c r="D49" s="3108"/>
      <c r="E49" s="3109">
        <v>1</v>
      </c>
      <c r="F49" s="3106" t="s">
        <v>2498</v>
      </c>
      <c r="G49" s="3106"/>
    </row>
    <row r="50" spans="1:7" ht="19.5" customHeight="1">
      <c r="A50" s="3796"/>
      <c r="B50" s="3789"/>
      <c r="C50" s="3107" t="s">
        <v>2499</v>
      </c>
      <c r="D50" s="3108"/>
      <c r="E50" s="3109">
        <v>1</v>
      </c>
      <c r="F50" s="3106" t="s">
        <v>2500</v>
      </c>
      <c r="G50" s="3106"/>
    </row>
    <row r="51" spans="1:7" ht="19.5" customHeight="1" thickBot="1">
      <c r="A51" s="3797"/>
      <c r="B51" s="379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4" t="s">
        <v>2654</v>
      </c>
      <c r="C73" s="3092" t="s">
        <v>2655</v>
      </c>
      <c r="D73" s="3092" t="s">
        <v>2656</v>
      </c>
      <c r="E73" s="3118">
        <v>0.2</v>
      </c>
      <c r="F73" s="3118">
        <v>25</v>
      </c>
    </row>
    <row r="74" spans="1:7" ht="24">
      <c r="A74" s="3118">
        <v>2</v>
      </c>
      <c r="B74" s="3789"/>
      <c r="C74" s="3092" t="s">
        <v>2657</v>
      </c>
      <c r="D74" s="3092" t="s">
        <v>2658</v>
      </c>
      <c r="E74" s="3118">
        <v>0.2</v>
      </c>
      <c r="F74" s="3118">
        <v>25</v>
      </c>
    </row>
    <row r="75" spans="1:7" ht="24">
      <c r="A75" s="3118">
        <v>3</v>
      </c>
      <c r="B75" s="3789"/>
      <c r="C75" s="3092" t="s">
        <v>2659</v>
      </c>
      <c r="D75" s="3092" t="s">
        <v>2660</v>
      </c>
      <c r="E75" s="3118">
        <v>0.2</v>
      </c>
      <c r="F75" s="3118">
        <v>25</v>
      </c>
    </row>
    <row r="76" spans="1:7" ht="13.5">
      <c r="A76" s="3118">
        <v>4</v>
      </c>
      <c r="B76" s="3789"/>
      <c r="C76" s="3092" t="s">
        <v>2661</v>
      </c>
      <c r="D76" s="3092" t="s">
        <v>2662</v>
      </c>
      <c r="E76" s="3118">
        <v>0.15</v>
      </c>
      <c r="F76" s="3118">
        <v>20</v>
      </c>
    </row>
    <row r="77" spans="1:7" ht="24">
      <c r="A77" s="3118">
        <v>5</v>
      </c>
      <c r="B77" s="3789"/>
      <c r="C77" s="3092" t="s">
        <v>2663</v>
      </c>
      <c r="D77" s="3092" t="s">
        <v>2664</v>
      </c>
      <c r="E77" s="3118">
        <v>0.15</v>
      </c>
      <c r="F77" s="3118">
        <v>20</v>
      </c>
    </row>
    <row r="78" spans="1:7" ht="24">
      <c r="A78" s="3118">
        <v>6</v>
      </c>
      <c r="B78" s="3789"/>
      <c r="C78" s="3092" t="s">
        <v>2665</v>
      </c>
      <c r="D78" s="3092" t="s">
        <v>2666</v>
      </c>
      <c r="E78" s="3118">
        <v>0.15</v>
      </c>
      <c r="F78" s="3118">
        <v>20</v>
      </c>
    </row>
    <row r="79" spans="1:7" ht="24">
      <c r="A79" s="3118">
        <v>7</v>
      </c>
      <c r="B79" s="3789"/>
      <c r="C79" s="3092" t="s">
        <v>2667</v>
      </c>
      <c r="D79" s="3092" t="s">
        <v>2668</v>
      </c>
      <c r="E79" s="3118">
        <v>0.15</v>
      </c>
      <c r="F79" s="3118">
        <v>20</v>
      </c>
    </row>
    <row r="80" spans="1:7" ht="24">
      <c r="A80" s="3118">
        <v>8</v>
      </c>
      <c r="B80" s="3789"/>
      <c r="C80" s="3092" t="s">
        <v>2669</v>
      </c>
      <c r="D80" s="3092" t="s">
        <v>2670</v>
      </c>
      <c r="E80" s="3118">
        <v>0.1</v>
      </c>
      <c r="F80" s="3118">
        <v>15</v>
      </c>
    </row>
    <row r="81" spans="1:6" ht="24">
      <c r="A81" s="3118">
        <v>9</v>
      </c>
      <c r="B81" s="3789"/>
      <c r="C81" s="3092" t="s">
        <v>2671</v>
      </c>
      <c r="D81" s="3092" t="s">
        <v>2672</v>
      </c>
      <c r="E81" s="3118">
        <v>0.1</v>
      </c>
      <c r="F81" s="3118">
        <v>15</v>
      </c>
    </row>
    <row r="82" spans="1:6" ht="24">
      <c r="A82" s="3118">
        <v>10</v>
      </c>
      <c r="B82" s="3789"/>
      <c r="C82" s="3092" t="s">
        <v>2673</v>
      </c>
      <c r="D82" s="3092" t="s">
        <v>2674</v>
      </c>
      <c r="E82" s="3118">
        <v>0.1</v>
      </c>
      <c r="F82" s="3118">
        <v>15</v>
      </c>
    </row>
    <row r="83" spans="1:6" ht="24">
      <c r="A83" s="3118">
        <v>11</v>
      </c>
      <c r="B83" s="3789"/>
      <c r="C83" s="3092" t="s">
        <v>2675</v>
      </c>
      <c r="D83" s="3092" t="s">
        <v>2676</v>
      </c>
      <c r="E83" s="3118">
        <v>0.1</v>
      </c>
      <c r="F83" s="3118">
        <v>15</v>
      </c>
    </row>
    <row r="84" spans="1:6" ht="24">
      <c r="A84" s="3118">
        <v>12</v>
      </c>
      <c r="B84" s="3789"/>
      <c r="C84" s="3092" t="s">
        <v>2677</v>
      </c>
      <c r="D84" s="3092" t="s">
        <v>2678</v>
      </c>
      <c r="E84" s="3118">
        <v>0.1</v>
      </c>
      <c r="F84" s="3118">
        <v>15</v>
      </c>
    </row>
    <row r="85" spans="1:6" ht="13.5">
      <c r="A85" s="3118">
        <v>13</v>
      </c>
      <c r="B85" s="3789"/>
      <c r="C85" s="3092" t="s">
        <v>2679</v>
      </c>
      <c r="D85" s="3092" t="s">
        <v>2680</v>
      </c>
      <c r="E85" s="3118">
        <v>0.1</v>
      </c>
      <c r="F85" s="3118">
        <v>15</v>
      </c>
    </row>
    <row r="86" spans="1:6" ht="13.5">
      <c r="A86" s="3118">
        <v>14</v>
      </c>
      <c r="B86" s="3789"/>
      <c r="C86" s="3092" t="s">
        <v>2681</v>
      </c>
      <c r="D86" s="3092" t="s">
        <v>2682</v>
      </c>
      <c r="E86" s="3118">
        <v>0.1</v>
      </c>
      <c r="F86" s="3118">
        <v>15</v>
      </c>
    </row>
    <row r="87" spans="1:6" ht="13.5">
      <c r="A87" s="3118">
        <v>15</v>
      </c>
      <c r="B87" s="3789"/>
      <c r="C87" s="3092" t="s">
        <v>2683</v>
      </c>
      <c r="D87" s="3092" t="s">
        <v>2684</v>
      </c>
      <c r="E87" s="3118">
        <v>0.1</v>
      </c>
      <c r="F87" s="3118">
        <v>15</v>
      </c>
    </row>
    <row r="88" spans="1:6" ht="24">
      <c r="A88" s="3118">
        <v>16</v>
      </c>
      <c r="B88" s="3789"/>
      <c r="C88" s="3092" t="s">
        <v>2685</v>
      </c>
      <c r="D88" s="3092" t="s">
        <v>2686</v>
      </c>
      <c r="E88" s="3118">
        <v>0.1</v>
      </c>
      <c r="F88" s="3118">
        <v>15</v>
      </c>
    </row>
    <row r="89" spans="1:6" ht="24">
      <c r="A89" s="3118">
        <v>17</v>
      </c>
      <c r="B89" s="3798"/>
      <c r="C89" s="3092" t="s">
        <v>2687</v>
      </c>
      <c r="D89" s="3092" t="s">
        <v>2688</v>
      </c>
      <c r="E89" s="3118">
        <v>0.1</v>
      </c>
      <c r="F89" s="3118">
        <v>15</v>
      </c>
    </row>
    <row r="90" spans="1:6" ht="13.5">
      <c r="A90" s="3118">
        <v>18</v>
      </c>
      <c r="B90" s="3794" t="s">
        <v>2689</v>
      </c>
      <c r="C90" s="3092" t="s">
        <v>2690</v>
      </c>
      <c r="D90" s="3092" t="s">
        <v>2691</v>
      </c>
      <c r="E90" s="3118">
        <v>0.2</v>
      </c>
      <c r="F90" s="3118">
        <v>25</v>
      </c>
    </row>
    <row r="91" spans="1:6" ht="24">
      <c r="A91" s="3118">
        <v>19</v>
      </c>
      <c r="B91" s="3789"/>
      <c r="C91" s="3092" t="s">
        <v>2692</v>
      </c>
      <c r="D91" s="3092" t="s">
        <v>2693</v>
      </c>
      <c r="E91" s="3118">
        <v>0.2</v>
      </c>
      <c r="F91" s="3118">
        <v>25</v>
      </c>
    </row>
    <row r="92" spans="1:6" ht="13.5">
      <c r="A92" s="3118">
        <v>20</v>
      </c>
      <c r="B92" s="3789"/>
      <c r="C92" s="3092" t="s">
        <v>2694</v>
      </c>
      <c r="D92" s="3092" t="s">
        <v>2695</v>
      </c>
      <c r="E92" s="3118">
        <v>0.15</v>
      </c>
      <c r="F92" s="3118">
        <v>20</v>
      </c>
    </row>
    <row r="93" spans="1:6" ht="13.5">
      <c r="A93" s="3118">
        <v>21</v>
      </c>
      <c r="B93" s="3789"/>
      <c r="C93" s="3092" t="s">
        <v>2696</v>
      </c>
      <c r="D93" s="3092" t="s">
        <v>2697</v>
      </c>
      <c r="E93" s="3118">
        <v>0.15</v>
      </c>
      <c r="F93" s="3118">
        <v>20</v>
      </c>
    </row>
    <row r="94" spans="1:6" ht="13.5">
      <c r="A94" s="3118">
        <v>22</v>
      </c>
      <c r="B94" s="3789"/>
      <c r="C94" s="3092" t="s">
        <v>2698</v>
      </c>
      <c r="D94" s="3092" t="s">
        <v>2699</v>
      </c>
      <c r="E94" s="3118">
        <v>0.15</v>
      </c>
      <c r="F94" s="3118">
        <v>20</v>
      </c>
    </row>
    <row r="95" spans="1:6" ht="36">
      <c r="A95" s="3118">
        <v>23</v>
      </c>
      <c r="B95" s="3789"/>
      <c r="C95" s="3092" t="s">
        <v>2700</v>
      </c>
      <c r="D95" s="3092" t="s">
        <v>2701</v>
      </c>
      <c r="E95" s="3118">
        <v>0.15</v>
      </c>
      <c r="F95" s="3118">
        <v>20</v>
      </c>
    </row>
    <row r="96" spans="1:6" ht="13.5">
      <c r="A96" s="3118">
        <v>24</v>
      </c>
      <c r="B96" s="3789"/>
      <c r="C96" s="3092" t="s">
        <v>2702</v>
      </c>
      <c r="D96" s="3092" t="s">
        <v>2703</v>
      </c>
      <c r="E96" s="3118">
        <v>0.1</v>
      </c>
      <c r="F96" s="3118">
        <v>15</v>
      </c>
    </row>
    <row r="97" spans="1:6" ht="13.5">
      <c r="A97" s="3118">
        <v>25</v>
      </c>
      <c r="B97" s="3789"/>
      <c r="C97" s="3092" t="s">
        <v>2704</v>
      </c>
      <c r="D97" s="3092" t="s">
        <v>2705</v>
      </c>
      <c r="E97" s="3118">
        <v>0.1</v>
      </c>
      <c r="F97" s="3118">
        <v>15</v>
      </c>
    </row>
    <row r="98" spans="1:6" ht="24">
      <c r="A98" s="3118">
        <v>26</v>
      </c>
      <c r="B98" s="3789"/>
      <c r="C98" s="3092" t="s">
        <v>2706</v>
      </c>
      <c r="D98" s="3092" t="s">
        <v>2707</v>
      </c>
      <c r="E98" s="3118">
        <v>0.1</v>
      </c>
      <c r="F98" s="3118">
        <v>15</v>
      </c>
    </row>
    <row r="99" spans="1:6" ht="24">
      <c r="A99" s="3118">
        <v>27</v>
      </c>
      <c r="B99" s="3789"/>
      <c r="C99" s="3092" t="s">
        <v>2708</v>
      </c>
      <c r="D99" s="3092" t="s">
        <v>2709</v>
      </c>
      <c r="E99" s="3118">
        <v>0.1</v>
      </c>
      <c r="F99" s="3118">
        <v>15</v>
      </c>
    </row>
    <row r="100" spans="1:6" ht="13.5">
      <c r="A100" s="3118">
        <v>28</v>
      </c>
      <c r="B100" s="3789"/>
      <c r="C100" s="3092" t="s">
        <v>2710</v>
      </c>
      <c r="D100" s="3092" t="s">
        <v>2711</v>
      </c>
      <c r="E100" s="3118">
        <v>0.1</v>
      </c>
      <c r="F100" s="3118">
        <v>15</v>
      </c>
    </row>
    <row r="101" spans="1:6" ht="13.5">
      <c r="A101" s="3118">
        <v>29</v>
      </c>
      <c r="B101" s="3789"/>
      <c r="C101" s="3092" t="s">
        <v>2712</v>
      </c>
      <c r="D101" s="3092" t="s">
        <v>2713</v>
      </c>
      <c r="E101" s="3118">
        <v>0.1</v>
      </c>
      <c r="F101" s="3118">
        <v>15</v>
      </c>
    </row>
    <row r="102" spans="1:6" ht="13.5">
      <c r="A102" s="3118">
        <v>30</v>
      </c>
      <c r="B102" s="3789"/>
      <c r="C102" s="3092" t="s">
        <v>2714</v>
      </c>
      <c r="D102" s="3092" t="s">
        <v>2715</v>
      </c>
      <c r="E102" s="3118">
        <v>0.1</v>
      </c>
      <c r="F102" s="3118">
        <v>15</v>
      </c>
    </row>
    <row r="103" spans="1:6" ht="24">
      <c r="A103" s="3118">
        <v>31</v>
      </c>
      <c r="B103" s="3789"/>
      <c r="C103" s="3092" t="s">
        <v>2716</v>
      </c>
      <c r="D103" s="3092" t="s">
        <v>2717</v>
      </c>
      <c r="E103" s="3118">
        <v>0.1</v>
      </c>
      <c r="F103" s="3118">
        <v>15</v>
      </c>
    </row>
    <row r="104" spans="1:6" ht="24">
      <c r="A104" s="3118">
        <v>32</v>
      </c>
      <c r="B104" s="3789"/>
      <c r="C104" s="3092" t="s">
        <v>2718</v>
      </c>
      <c r="D104" s="3092" t="s">
        <v>2719</v>
      </c>
      <c r="E104" s="3118">
        <v>0.1</v>
      </c>
      <c r="F104" s="3118">
        <v>15</v>
      </c>
    </row>
    <row r="105" spans="1:6" ht="24">
      <c r="A105" s="3118">
        <v>33</v>
      </c>
      <c r="B105" s="3789"/>
      <c r="C105" s="3092" t="s">
        <v>2720</v>
      </c>
      <c r="D105" s="3092" t="s">
        <v>2721</v>
      </c>
      <c r="E105" s="3118">
        <v>0.1</v>
      </c>
      <c r="F105" s="3118">
        <v>15</v>
      </c>
    </row>
    <row r="106" spans="1:6" ht="24">
      <c r="A106" s="3118">
        <v>34</v>
      </c>
      <c r="B106" s="3798"/>
      <c r="C106" s="3092" t="s">
        <v>2722</v>
      </c>
      <c r="D106" s="3092" t="s">
        <v>2723</v>
      </c>
      <c r="E106" s="3118">
        <v>0.1</v>
      </c>
      <c r="F106" s="3118">
        <v>15</v>
      </c>
    </row>
    <row r="107" spans="1:6" ht="24">
      <c r="A107" s="3118">
        <v>35</v>
      </c>
      <c r="B107" s="3794" t="s">
        <v>2724</v>
      </c>
      <c r="C107" s="3118" t="s">
        <v>2725</v>
      </c>
      <c r="D107" s="3092" t="s">
        <v>2726</v>
      </c>
      <c r="E107" s="3118">
        <v>0.15</v>
      </c>
      <c r="F107" s="3118">
        <v>20</v>
      </c>
    </row>
    <row r="108" spans="1:6" ht="13.5">
      <c r="A108" s="3118">
        <v>36</v>
      </c>
      <c r="B108" s="3789"/>
      <c r="C108" s="3118" t="s">
        <v>2727</v>
      </c>
      <c r="D108" s="3092" t="s">
        <v>2728</v>
      </c>
      <c r="E108" s="3118">
        <v>0.15</v>
      </c>
      <c r="F108" s="3118">
        <v>20</v>
      </c>
    </row>
    <row r="109" spans="1:6" ht="13.5">
      <c r="A109" s="3118">
        <v>37</v>
      </c>
      <c r="B109" s="3789"/>
      <c r="C109" s="3118" t="s">
        <v>2729</v>
      </c>
      <c r="D109" s="3092" t="s">
        <v>2730</v>
      </c>
      <c r="E109" s="3118">
        <v>0.15</v>
      </c>
      <c r="F109" s="3118">
        <v>20</v>
      </c>
    </row>
    <row r="110" spans="1:6" ht="13.5">
      <c r="A110" s="3118">
        <v>38</v>
      </c>
      <c r="B110" s="3789"/>
      <c r="C110" s="3118" t="s">
        <v>2731</v>
      </c>
      <c r="D110" s="3092" t="s">
        <v>2732</v>
      </c>
      <c r="E110" s="3118">
        <v>0.1</v>
      </c>
      <c r="F110" s="3118">
        <v>15</v>
      </c>
    </row>
    <row r="111" spans="1:6" ht="24">
      <c r="A111" s="3118">
        <v>39</v>
      </c>
      <c r="B111" s="3789"/>
      <c r="C111" s="3118" t="s">
        <v>2733</v>
      </c>
      <c r="D111" s="3092" t="s">
        <v>2734</v>
      </c>
      <c r="E111" s="3118">
        <v>0.1</v>
      </c>
      <c r="F111" s="3118">
        <v>15</v>
      </c>
    </row>
    <row r="112" spans="1:6" ht="24">
      <c r="A112" s="3118">
        <v>40</v>
      </c>
      <c r="B112" s="3798"/>
      <c r="C112" s="3118" t="s">
        <v>2735</v>
      </c>
      <c r="D112" s="3092" t="s">
        <v>2736</v>
      </c>
      <c r="E112" s="3118">
        <v>0.1</v>
      </c>
      <c r="F112" s="3118">
        <v>15</v>
      </c>
    </row>
    <row r="113" spans="1:6" ht="13.5">
      <c r="A113" s="3118">
        <v>41</v>
      </c>
      <c r="B113" s="3799" t="s">
        <v>2737</v>
      </c>
      <c r="C113" s="3118" t="s">
        <v>2738</v>
      </c>
      <c r="D113" s="3092" t="s">
        <v>2739</v>
      </c>
      <c r="E113" s="3118">
        <v>0.1</v>
      </c>
      <c r="F113" s="3118">
        <v>15</v>
      </c>
    </row>
    <row r="114" spans="1:6" ht="13.5">
      <c r="A114" s="3118">
        <v>42</v>
      </c>
      <c r="B114" s="3799"/>
      <c r="C114" s="3118" t="s">
        <v>2740</v>
      </c>
      <c r="D114" s="3092" t="s">
        <v>2741</v>
      </c>
      <c r="E114" s="3118">
        <v>0.1</v>
      </c>
      <c r="F114" s="3118">
        <v>15</v>
      </c>
    </row>
    <row r="115" spans="1:6" ht="24">
      <c r="A115" s="3118">
        <v>43</v>
      </c>
      <c r="B115" s="3799"/>
      <c r="C115" s="3118" t="s">
        <v>2742</v>
      </c>
      <c r="D115" s="3092" t="s">
        <v>2743</v>
      </c>
      <c r="E115" s="3118">
        <v>0.1</v>
      </c>
      <c r="F115" s="3118">
        <v>15</v>
      </c>
    </row>
    <row r="116" spans="1:6" ht="13.5">
      <c r="A116" s="3118">
        <v>44</v>
      </c>
      <c r="B116" s="3794" t="s">
        <v>2744</v>
      </c>
      <c r="C116" s="3118" t="s">
        <v>2745</v>
      </c>
      <c r="D116" s="3092" t="s">
        <v>2746</v>
      </c>
      <c r="E116" s="3118">
        <v>0.1</v>
      </c>
      <c r="F116" s="3118">
        <v>15</v>
      </c>
    </row>
    <row r="117" spans="1:6" ht="24">
      <c r="A117" s="3118">
        <v>45</v>
      </c>
      <c r="B117" s="3798"/>
      <c r="C117" s="3092" t="s">
        <v>2747</v>
      </c>
      <c r="D117" s="3092" t="s">
        <v>2748</v>
      </c>
      <c r="E117" s="3118">
        <v>0.1</v>
      </c>
      <c r="F117" s="3118">
        <v>15</v>
      </c>
    </row>
    <row r="118" spans="1:6" ht="24">
      <c r="A118" s="3118">
        <v>46</v>
      </c>
      <c r="B118" s="3794" t="s">
        <v>2749</v>
      </c>
      <c r="C118" s="3118" t="s">
        <v>2750</v>
      </c>
      <c r="D118" s="3092" t="s">
        <v>2751</v>
      </c>
      <c r="E118" s="3118">
        <v>0.1</v>
      </c>
      <c r="F118" s="3118">
        <v>15</v>
      </c>
    </row>
    <row r="119" spans="1:6" ht="24">
      <c r="A119" s="3118">
        <v>47</v>
      </c>
      <c r="B119" s="3798"/>
      <c r="C119" s="3118" t="s">
        <v>2752</v>
      </c>
      <c r="D119" s="3092" t="s">
        <v>2753</v>
      </c>
      <c r="E119" s="3118">
        <v>0.1</v>
      </c>
      <c r="F119" s="3118">
        <v>15</v>
      </c>
    </row>
    <row r="120" spans="1:6" ht="13.5">
      <c r="A120" s="3118">
        <v>48</v>
      </c>
      <c r="B120" s="3794" t="s">
        <v>2754</v>
      </c>
      <c r="C120" s="3118" t="s">
        <v>2755</v>
      </c>
      <c r="D120" s="3092" t="s">
        <v>2756</v>
      </c>
      <c r="E120" s="3118">
        <v>0.1</v>
      </c>
      <c r="F120" s="3118">
        <v>15</v>
      </c>
    </row>
    <row r="121" spans="1:6" ht="13.5">
      <c r="A121" s="3118">
        <v>49</v>
      </c>
      <c r="B121" s="3798"/>
      <c r="C121" s="3118" t="s">
        <v>2757</v>
      </c>
      <c r="D121" s="3092" t="s">
        <v>2758</v>
      </c>
      <c r="E121" s="3118">
        <v>0.1</v>
      </c>
      <c r="F121" s="3118">
        <v>15</v>
      </c>
    </row>
    <row r="122" spans="1:6" ht="24">
      <c r="A122" s="3118">
        <v>50</v>
      </c>
      <c r="B122" s="3799" t="s">
        <v>2759</v>
      </c>
      <c r="C122" s="3118" t="s">
        <v>2760</v>
      </c>
      <c r="D122" s="3092" t="s">
        <v>2761</v>
      </c>
      <c r="E122" s="3118">
        <v>0.1</v>
      </c>
      <c r="F122" s="3118">
        <v>15</v>
      </c>
    </row>
    <row r="123" spans="1:6" ht="24">
      <c r="A123" s="3118">
        <v>51</v>
      </c>
      <c r="B123" s="3799"/>
      <c r="C123" s="3118" t="s">
        <v>2762</v>
      </c>
      <c r="D123" s="3092" t="s">
        <v>2763</v>
      </c>
      <c r="E123" s="3118">
        <v>0.1</v>
      </c>
      <c r="F123" s="3118">
        <v>15</v>
      </c>
    </row>
    <row r="124" spans="1:6" ht="24">
      <c r="A124" s="3118">
        <v>52</v>
      </c>
      <c r="B124" s="3799" t="s">
        <v>2764</v>
      </c>
      <c r="C124" s="3118" t="s">
        <v>2765</v>
      </c>
      <c r="D124" s="3092" t="s">
        <v>2766</v>
      </c>
      <c r="E124" s="3118">
        <v>0.1</v>
      </c>
      <c r="F124" s="3118">
        <v>15</v>
      </c>
    </row>
    <row r="125" spans="1:6" ht="24">
      <c r="A125" s="3118">
        <v>53</v>
      </c>
      <c r="B125" s="379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9" t="s">
        <v>2772</v>
      </c>
      <c r="C127" s="3118" t="s">
        <v>2773</v>
      </c>
      <c r="D127" s="3092" t="s">
        <v>2774</v>
      </c>
      <c r="E127" s="3118">
        <v>0.1</v>
      </c>
      <c r="F127" s="3118">
        <v>15</v>
      </c>
    </row>
    <row r="128" spans="1:6" ht="13.5">
      <c r="A128" s="3118">
        <v>56</v>
      </c>
      <c r="B128" s="3799"/>
      <c r="C128" s="3118" t="s">
        <v>2775</v>
      </c>
      <c r="D128" s="3092" t="s">
        <v>2776</v>
      </c>
      <c r="E128" s="3118">
        <v>0.1</v>
      </c>
      <c r="F128" s="3118">
        <v>15</v>
      </c>
    </row>
    <row r="129" spans="1:6" ht="24">
      <c r="A129" s="3118">
        <v>57</v>
      </c>
      <c r="B129" s="3799"/>
      <c r="C129" s="3118" t="s">
        <v>2777</v>
      </c>
      <c r="D129" s="3092" t="s">
        <v>2778</v>
      </c>
      <c r="E129" s="3118">
        <v>0.1</v>
      </c>
      <c r="F129" s="3118">
        <v>15</v>
      </c>
    </row>
    <row r="130" spans="1:6" ht="24">
      <c r="A130" s="3118">
        <v>58</v>
      </c>
      <c r="B130" s="3799" t="s">
        <v>2779</v>
      </c>
      <c r="C130" s="3118" t="s">
        <v>2780</v>
      </c>
      <c r="D130" s="3092" t="s">
        <v>2781</v>
      </c>
      <c r="E130" s="3118">
        <v>0.1</v>
      </c>
      <c r="F130" s="3118">
        <v>15</v>
      </c>
    </row>
    <row r="131" spans="1:6" ht="13.5">
      <c r="A131" s="3118">
        <v>59</v>
      </c>
      <c r="B131" s="3799"/>
      <c r="C131" s="3118" t="s">
        <v>2782</v>
      </c>
      <c r="D131" s="3092" t="s">
        <v>2783</v>
      </c>
      <c r="E131" s="3118">
        <v>0.1</v>
      </c>
      <c r="F131" s="3118">
        <v>15</v>
      </c>
    </row>
    <row r="132" spans="1:6" ht="13.5">
      <c r="A132" s="3118">
        <v>60</v>
      </c>
      <c r="B132" s="3794" t="s">
        <v>2784</v>
      </c>
      <c r="C132" s="3118" t="s">
        <v>2785</v>
      </c>
      <c r="D132" s="3092" t="s">
        <v>2786</v>
      </c>
      <c r="E132" s="3118">
        <v>0.1</v>
      </c>
      <c r="F132" s="3118">
        <v>15</v>
      </c>
    </row>
    <row r="133" spans="1:6" ht="13.5">
      <c r="A133" s="3118">
        <v>61</v>
      </c>
      <c r="B133" s="379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9" t="s">
        <v>2792</v>
      </c>
      <c r="C135" s="3118" t="s">
        <v>2793</v>
      </c>
      <c r="D135" s="3092" t="s">
        <v>2794</v>
      </c>
      <c r="E135" s="3118">
        <v>0.1</v>
      </c>
      <c r="F135" s="3118">
        <v>15</v>
      </c>
    </row>
    <row r="136" spans="1:6" ht="13.5">
      <c r="A136" s="3118">
        <v>64</v>
      </c>
      <c r="B136" s="379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0.94710000000000005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31324</v>
      </c>
      <c r="C2" s="2" t="s">
        <v>106</v>
      </c>
      <c r="D2" s="199"/>
      <c r="E2" s="199"/>
      <c r="F2" s="199"/>
      <c r="G2" s="199"/>
    </row>
    <row r="3" spans="1:7" s="200" customFormat="1" ht="18" customHeight="1" thickBot="1">
      <c r="A3" s="203" t="s">
        <v>58</v>
      </c>
      <c r="B3" s="204">
        <f ca="1">ROUND(B2*10000/'数据-汇总表'!E3,0)</f>
        <v>37852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3083.37</v>
      </c>
      <c r="E9" s="225">
        <f>'数据-取费表'!B27</f>
        <v>0</v>
      </c>
      <c r="F9" s="221"/>
      <c r="G9" s="226"/>
    </row>
    <row r="10" spans="1:7" s="214" customFormat="1" ht="13.5" customHeight="1">
      <c r="A10" s="779" t="s">
        <v>356</v>
      </c>
      <c r="B10" s="224" t="s">
        <v>67</v>
      </c>
      <c r="C10" s="225">
        <f>ROUND(D10*E10/10000,0)</f>
        <v>104</v>
      </c>
      <c r="D10" s="845">
        <f>'数据-汇总表'!E6</f>
        <v>5192.1000000000013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166</v>
      </c>
      <c r="D19" s="849">
        <f>'数据-汇总表'!E3</f>
        <v>8275.4700000000012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3310</v>
      </c>
      <c r="D34" s="217"/>
      <c r="E34" s="220"/>
      <c r="F34" s="257">
        <f>IF('数据-取费表'!B24=0,1,'数据-取费表'!N16)</f>
        <v>1</v>
      </c>
      <c r="G34" s="219" t="s">
        <v>89</v>
      </c>
    </row>
    <row r="35" spans="1:7" ht="13.5" customHeight="1">
      <c r="A35" s="780" t="s">
        <v>351</v>
      </c>
      <c r="B35" s="215" t="s">
        <v>33</v>
      </c>
      <c r="C35" s="220">
        <f>ROUND(C34*F35,0)</f>
        <v>99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166</v>
      </c>
      <c r="D37" s="217">
        <f>'数据-汇总表'!E3</f>
        <v>8275.4700000000012</v>
      </c>
      <c r="E37" s="249">
        <f>'数据-取费表'!B35</f>
        <v>200</v>
      </c>
      <c r="F37" s="259"/>
      <c r="G37" s="261" t="s">
        <v>92</v>
      </c>
    </row>
    <row r="38" spans="1:7" ht="13.5" customHeight="1">
      <c r="A38" s="780" t="s">
        <v>354</v>
      </c>
      <c r="B38" s="215" t="s">
        <v>36</v>
      </c>
      <c r="C38" s="220">
        <f>ROUND(C34*F38,0)</f>
        <v>50</v>
      </c>
      <c r="D38" s="220"/>
      <c r="E38" s="220"/>
      <c r="F38" s="259">
        <f>'数据-取费表'!B36</f>
        <v>1.4999999999999999E-2</v>
      </c>
      <c r="G38" s="219" t="s">
        <v>90</v>
      </c>
    </row>
    <row r="39" spans="1:7" s="214" customFormat="1" ht="13.5" customHeight="1">
      <c r="A39" s="777" t="s">
        <v>338</v>
      </c>
      <c r="B39" s="210" t="s">
        <v>77</v>
      </c>
      <c r="C39" s="232">
        <f>ROUND(C33*F20,0)</f>
        <v>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125</v>
      </c>
      <c r="D42" s="238"/>
      <c r="E42" s="238"/>
      <c r="F42" s="239"/>
      <c r="G42" s="3664" t="s">
        <v>94</v>
      </c>
    </row>
    <row r="43" spans="1:7" ht="13.5" customHeight="1">
      <c r="A43" s="780" t="s">
        <v>347</v>
      </c>
      <c r="B43" s="215" t="s">
        <v>426</v>
      </c>
      <c r="C43" s="238">
        <f ca="1">ROUND(IF('数据-取费表'!B22&lt;=1,C39*F22*'数据-取费表'!B21/2,C39*(POWER((1+F22),'数据-取费表'!B21/2)-1)),0)</f>
        <v>3</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555</v>
      </c>
      <c r="D45" s="235">
        <f>C47</f>
        <v>3.0000000000000001E-3</v>
      </c>
      <c r="E45" s="236" t="s">
        <v>102</v>
      </c>
      <c r="F45" s="246"/>
      <c r="G45" s="247" t="s">
        <v>434</v>
      </c>
    </row>
    <row r="46" spans="1:7" s="214" customFormat="1" ht="13.5" customHeight="1">
      <c r="A46" s="780" t="s">
        <v>349</v>
      </c>
      <c r="B46" s="248" t="s">
        <v>427</v>
      </c>
      <c r="C46" s="249">
        <f>ROUND((C33+C39)*F27,0)</f>
        <v>555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4747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3323</v>
      </c>
      <c r="D51" s="232"/>
      <c r="E51" s="232"/>
      <c r="F51" s="264"/>
      <c r="G51" s="234" t="s">
        <v>37</v>
      </c>
    </row>
    <row r="52" spans="1:7" s="208" customFormat="1" ht="16.5" thickBot="1">
      <c r="A52" s="265" t="s">
        <v>38</v>
      </c>
      <c r="B52" s="266"/>
      <c r="C52" s="267">
        <f ca="1">C31+C51</f>
        <v>31324</v>
      </c>
      <c r="D52" s="266"/>
      <c r="E52" s="266"/>
      <c r="F52" s="266"/>
      <c r="G52" s="268"/>
    </row>
    <row r="55" spans="1:7" ht="15">
      <c r="B55" s="270" t="s">
        <v>39</v>
      </c>
      <c r="C55" s="271"/>
    </row>
    <row r="56" spans="1:7">
      <c r="B56" s="273" t="s">
        <v>40</v>
      </c>
      <c r="C56" s="274">
        <f ca="1">ROUND(C51/C52,3)</f>
        <v>0.106</v>
      </c>
    </row>
    <row r="57" spans="1:7">
      <c r="B57" s="273" t="s">
        <v>41</v>
      </c>
      <c r="C57" s="275">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2842</v>
      </c>
      <c r="B1" s="3802"/>
      <c r="C1" s="3802"/>
      <c r="D1" s="3802"/>
      <c r="E1" s="3802"/>
      <c r="F1" s="3802"/>
      <c r="G1" s="3803"/>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800"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801"/>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3184</v>
      </c>
      <c r="B1" s="3804"/>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3235</v>
      </c>
      <c r="B1" s="3805"/>
      <c r="C1" s="3805"/>
      <c r="D1" s="3805"/>
      <c r="E1" s="3805"/>
      <c r="F1" s="3806"/>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45362</v>
      </c>
      <c r="B1" s="3210" t="s">
        <v>3374</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807" t="s">
        <v>2830</v>
      </c>
      <c r="S23" s="3808"/>
      <c r="T23" s="3808"/>
      <c r="U23" s="3808"/>
      <c r="V23" s="3808"/>
      <c r="W23" s="3808"/>
      <c r="X23" s="3165"/>
      <c r="Y23" s="3807" t="s">
        <v>2831</v>
      </c>
      <c r="Z23" s="3808"/>
      <c r="AA23" s="3808"/>
      <c r="AB23" s="3808"/>
      <c r="AC23" s="3808"/>
      <c r="AD23" s="3808"/>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8275.4700000000012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t="e">
        <f ca="1">结果表!D122</f>
        <v>#REF!</v>
      </c>
      <c r="E8" s="3495"/>
      <c r="F8" s="3495"/>
      <c r="G8" s="3495"/>
      <c r="H8" s="3495"/>
      <c r="I8" s="3495"/>
    </row>
    <row r="9" spans="1:9" ht="15">
      <c r="A9" s="3494" t="s">
        <v>927</v>
      </c>
      <c r="B9" s="3494"/>
      <c r="C9" s="3494"/>
      <c r="D9" s="3494" t="e">
        <f ca="1">结果表!D123</f>
        <v>#REF!</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5" t="s">
        <v>956</v>
      </c>
      <c r="B15" s="3510" t="s">
        <v>109</v>
      </c>
      <c r="C15" s="3511"/>
    </row>
    <row r="16" spans="1:7" ht="13.5">
      <c r="A16" s="3516"/>
      <c r="B16" s="3510" t="s">
        <v>42</v>
      </c>
      <c r="C16" s="3511"/>
    </row>
    <row r="17" spans="1:3" ht="13.5">
      <c r="A17" s="3516"/>
      <c r="B17" s="3513" t="s">
        <v>957</v>
      </c>
      <c r="C17" s="1532" t="s">
        <v>956</v>
      </c>
    </row>
    <row r="18" spans="1:3" ht="13.5">
      <c r="A18" s="3516"/>
      <c r="B18" s="3513"/>
      <c r="C18" s="1532" t="s">
        <v>958</v>
      </c>
    </row>
    <row r="19" spans="1:3" ht="13.5">
      <c r="A19" s="3516"/>
      <c r="B19" s="3513"/>
      <c r="C19" s="1532" t="s">
        <v>959</v>
      </c>
    </row>
    <row r="20" spans="1:3" ht="13.5">
      <c r="A20" s="3517"/>
      <c r="B20" s="3512" t="s">
        <v>960</v>
      </c>
      <c r="C20" s="3511"/>
    </row>
    <row r="21" spans="1:3" ht="13.5">
      <c r="A21" s="1533" t="s">
        <v>961</v>
      </c>
      <c r="B21" s="1534"/>
      <c r="C21" s="1535"/>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2" t="s">
        <v>967</v>
      </c>
    </row>
    <row r="26" spans="1:3" ht="13.5">
      <c r="A26" s="3514"/>
      <c r="B26" s="3513"/>
      <c r="C26" s="1532" t="s">
        <v>968</v>
      </c>
    </row>
    <row r="27" spans="1:3" ht="13.5">
      <c r="A27" s="3514"/>
      <c r="B27" s="3513"/>
      <c r="C27" s="1532" t="s">
        <v>969</v>
      </c>
    </row>
    <row r="28" spans="1:3" ht="13.5">
      <c r="A28" s="3514"/>
      <c r="B28" s="3513"/>
      <c r="C28" s="1532" t="s">
        <v>970</v>
      </c>
    </row>
    <row r="29" spans="1:3" ht="13.5">
      <c r="A29" s="3514"/>
      <c r="B29" s="3513"/>
      <c r="C29" s="1532" t="s">
        <v>971</v>
      </c>
    </row>
    <row r="30" spans="1:3" ht="13.5">
      <c r="A30" s="3514"/>
      <c r="B30" s="3513"/>
      <c r="C30" s="1532" t="s">
        <v>972</v>
      </c>
    </row>
    <row r="31" spans="1:3" ht="13.5">
      <c r="A31" s="3514"/>
      <c r="B31" s="3513"/>
      <c r="C31" s="1532" t="s">
        <v>973</v>
      </c>
    </row>
    <row r="32" spans="1:3" ht="13.5">
      <c r="A32" s="3514"/>
      <c r="B32" s="3513"/>
      <c r="C32" s="1532" t="s">
        <v>974</v>
      </c>
    </row>
    <row r="33" spans="1:3" ht="13.5">
      <c r="A33" s="3514"/>
      <c r="B33" s="35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45362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3"/>
      <c r="E18" s="3520" t="s">
        <v>2161</v>
      </c>
      <c r="F18" s="3519"/>
      <c r="G18" s="351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收益法（办）</vt:lpstr>
      <vt:lpstr>收益法 (元)</vt:lpstr>
      <vt:lpstr>收益法-酒店模型</vt:lpstr>
      <vt:lpstr>收益法（汇总）</vt:lpstr>
      <vt:lpstr>结果表(住宅)</vt:lpstr>
      <vt:lpstr>比较法-住宅</vt:lpstr>
      <vt:lpstr>比较法-商业</vt:lpstr>
      <vt:lpstr>结果表(办公)</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基准地价修正(住宅)</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'基准地价修正(住宅)'!Print_Area</vt:lpstr>
      <vt:lpstr>假设开发法!Print_Area</vt:lpstr>
      <vt:lpstr>结果表!Print_Area</vt:lpstr>
      <vt:lpstr>'结果表(办公)'!Print_Area</vt:lpstr>
      <vt:lpstr>'结果表(住宅)'!Print_Area</vt:lpstr>
      <vt:lpstr>收益法!Print_Area</vt:lpstr>
      <vt:lpstr>'收益法 (元)'!Print_Area</vt:lpstr>
      <vt:lpstr>'收益法（办）'!Print_Area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2024-03-11T08:05:15Z</dcterms:modified>
</cp:coreProperties>
</file>